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7.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8.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amil\OneDrive\Desktop\"/>
    </mc:Choice>
  </mc:AlternateContent>
  <bookViews>
    <workbookView xWindow="0" yWindow="0" windowWidth="23040" windowHeight="8496" firstSheet="6" activeTab="8"/>
  </bookViews>
  <sheets>
    <sheet name="Seguridad Humana" sheetId="1" r:id="rId1"/>
    <sheet name="Vida Digna" sheetId="2" r:id="rId2"/>
    <sheet name="Desarrollo Economico" sheetId="3" r:id="rId3"/>
    <sheet name="Ciudad Conectada" sheetId="4" r:id="rId4"/>
    <sheet name="Innovación Pública" sheetId="5" r:id="rId5"/>
    <sheet name="Capitulo Etnico" sheetId="6" r:id="rId6"/>
    <sheet name="PLAN DE DESARROLLO 2024 - 2027" sheetId="8" r:id="rId7"/>
    <sheet name="SEGUIMIENTO DEL PLAN DE DESARRO" sheetId="7" r:id="rId8"/>
    <sheet name="CRITERIOS DE EVALUACIÓN 2026" sheetId="20" r:id="rId9"/>
    <sheet name="CRITERIOS DE EVALUACIÓN 2025" sheetId="9" r:id="rId10"/>
    <sheet name="GRAFICAS SEGURIDAD HUMANA" sheetId="11" r:id="rId11"/>
    <sheet name="GRAFICAS VIDA DIGNA " sheetId="10" r:id="rId12"/>
    <sheet name="GRAFICAS DESARROLLO ECONOMICO" sheetId="12" r:id="rId13"/>
    <sheet name="GRAFICAS CIUDAD CONECTADA" sheetId="13" r:id="rId14"/>
    <sheet name="GRAFICAS INNOVACIÓN Y PARTICIPA" sheetId="15" r:id="rId15"/>
    <sheet name="GRAFICAS CAPITULO ETNICO" sheetId="17" r:id="rId16"/>
    <sheet name="Matriz de Visor" sheetId="18" r:id="rId17"/>
    <sheet name="REPROGRAMACIÓN - GRAFICAS" sheetId="19" r:id="rId18"/>
  </sheets>
  <externalReferences>
    <externalReference r:id="rId19"/>
    <externalReference r:id="rId20"/>
  </externalReferences>
  <definedNames>
    <definedName name="_xlnm._FilterDatabase" localSheetId="5" hidden="1">'Capitulo Etnico'!$A$2:$AU$53</definedName>
    <definedName name="_xlnm._FilterDatabase" localSheetId="3" hidden="1">'Ciudad Conectada'!$B$2:$AS$171</definedName>
    <definedName name="_xlnm._FilterDatabase" localSheetId="2" hidden="1">'Desarrollo Economico'!$A$2:$AU$132</definedName>
    <definedName name="_xlnm._FilterDatabase" localSheetId="4" hidden="1">'Innovación Pública'!$A$2:$AV$141</definedName>
    <definedName name="_xlnm._FilterDatabase" localSheetId="16" hidden="1">'Matriz de Visor'!$A$1:$P$1396</definedName>
    <definedName name="_xlnm._FilterDatabase" localSheetId="6" hidden="1">'PLAN DE DESARROLLO 2024 - 2027'!$B$2:$Y$206</definedName>
    <definedName name="_xlnm._FilterDatabase" localSheetId="0" hidden="1">'Seguridad Humana'!$A$2:$BC$211</definedName>
    <definedName name="_xlnm._FilterDatabase" localSheetId="1" hidden="1">'Vida Digna'!$A$2:$AZ$205</definedName>
  </definedNames>
  <calcPr calcId="162913"/>
</workbook>
</file>

<file path=xl/calcChain.xml><?xml version="1.0" encoding="utf-8"?>
<calcChain xmlns="http://schemas.openxmlformats.org/spreadsheetml/2006/main">
  <c r="L29" i="20" l="1"/>
  <c r="W8" i="2" l="1"/>
  <c r="O169" i="8" l="1"/>
  <c r="I699" i="18" l="1"/>
  <c r="I698" i="18"/>
  <c r="I697" i="18"/>
  <c r="I696" i="18"/>
  <c r="I695" i="18"/>
  <c r="I694" i="18"/>
  <c r="I693" i="18"/>
  <c r="I692" i="18"/>
  <c r="I691" i="18"/>
  <c r="I690" i="18"/>
  <c r="I689" i="18"/>
  <c r="I688" i="18"/>
  <c r="I687" i="18"/>
  <c r="I686" i="18"/>
  <c r="I685" i="18"/>
  <c r="I684" i="18"/>
  <c r="I683" i="18"/>
  <c r="I682" i="18"/>
  <c r="I681" i="18"/>
  <c r="I680" i="18"/>
  <c r="I679" i="18"/>
  <c r="I678" i="18"/>
  <c r="I677" i="18"/>
  <c r="I676" i="18"/>
  <c r="I675" i="18"/>
  <c r="I674" i="18"/>
  <c r="I673" i="18"/>
  <c r="I672" i="18"/>
  <c r="I671" i="18"/>
  <c r="I670" i="18"/>
  <c r="I669" i="18"/>
  <c r="I668" i="18"/>
  <c r="I667" i="18"/>
  <c r="I666" i="18"/>
  <c r="I665" i="18"/>
  <c r="I664" i="18"/>
  <c r="I663" i="18"/>
  <c r="I662" i="18"/>
  <c r="I661" i="18"/>
  <c r="I660" i="18"/>
  <c r="I659" i="18"/>
  <c r="I658" i="18"/>
  <c r="I657" i="18"/>
  <c r="I656" i="18"/>
  <c r="I655" i="18"/>
  <c r="I654" i="18"/>
  <c r="I653" i="18"/>
  <c r="I652" i="18"/>
  <c r="I651" i="18"/>
  <c r="I650" i="18"/>
  <c r="I649" i="18"/>
  <c r="I648" i="18"/>
  <c r="I647" i="18"/>
  <c r="I646" i="18"/>
  <c r="I645" i="18"/>
  <c r="I644" i="18"/>
  <c r="I643" i="18"/>
  <c r="I642" i="18"/>
  <c r="I641" i="18"/>
  <c r="I640" i="18"/>
  <c r="I639" i="18"/>
  <c r="I638" i="18"/>
  <c r="I637" i="18"/>
  <c r="I636" i="18"/>
  <c r="I635" i="18"/>
  <c r="I634" i="18"/>
  <c r="I633" i="18"/>
  <c r="I632" i="18"/>
  <c r="I631" i="18"/>
  <c r="I630" i="18"/>
  <c r="I629" i="18"/>
  <c r="I628" i="18"/>
  <c r="I627" i="18"/>
  <c r="I626" i="18"/>
  <c r="I625" i="18"/>
  <c r="I624" i="18"/>
  <c r="I623" i="18"/>
  <c r="I622" i="18"/>
  <c r="I621" i="18"/>
  <c r="I620" i="18"/>
  <c r="I619" i="18"/>
  <c r="I618" i="18"/>
  <c r="I617" i="18"/>
  <c r="I616" i="18"/>
  <c r="I615" i="18"/>
  <c r="I614" i="18"/>
  <c r="I613" i="18"/>
  <c r="I612" i="18"/>
  <c r="I611" i="18"/>
  <c r="I610" i="18"/>
  <c r="I609" i="18"/>
  <c r="I608" i="18"/>
  <c r="I607" i="18"/>
  <c r="I606" i="18"/>
  <c r="I605" i="18"/>
  <c r="I604" i="18"/>
  <c r="I603" i="18"/>
  <c r="I602" i="18"/>
  <c r="I601" i="18"/>
  <c r="I600" i="18"/>
  <c r="I599" i="18"/>
  <c r="I598" i="18"/>
  <c r="I597" i="18"/>
  <c r="I596" i="18"/>
  <c r="I595" i="18"/>
  <c r="I594" i="18"/>
  <c r="I593" i="18"/>
  <c r="I592" i="18"/>
  <c r="I591" i="18"/>
  <c r="I590" i="18"/>
  <c r="I589" i="18"/>
  <c r="I588" i="18"/>
  <c r="I587" i="18"/>
  <c r="I586" i="18"/>
  <c r="I585" i="18"/>
  <c r="I584" i="18"/>
  <c r="I583" i="18"/>
  <c r="I582" i="18"/>
  <c r="I581" i="18"/>
  <c r="I580" i="18"/>
  <c r="I579" i="18"/>
  <c r="I578" i="18"/>
  <c r="I577" i="18"/>
  <c r="I576" i="18"/>
  <c r="I575" i="18"/>
  <c r="I574" i="18"/>
  <c r="I573" i="18"/>
  <c r="I572" i="18"/>
  <c r="I571" i="18"/>
  <c r="I570" i="18"/>
  <c r="I569" i="18"/>
  <c r="I568" i="18"/>
  <c r="I567" i="18"/>
  <c r="I566" i="18"/>
  <c r="I565" i="18"/>
  <c r="I564" i="18"/>
  <c r="I563" i="18"/>
  <c r="I562" i="18"/>
  <c r="I561" i="18"/>
  <c r="I560" i="18"/>
  <c r="I559" i="18"/>
  <c r="I558" i="18"/>
  <c r="I557" i="18"/>
  <c r="I556" i="18"/>
  <c r="I555" i="18"/>
  <c r="I554" i="18"/>
  <c r="I553" i="18"/>
  <c r="I552" i="18"/>
  <c r="I551" i="18"/>
  <c r="I550" i="18"/>
  <c r="I549" i="18"/>
  <c r="I548" i="18"/>
  <c r="I547" i="18"/>
  <c r="I546" i="18"/>
  <c r="I545" i="18"/>
  <c r="I544" i="18"/>
  <c r="I543" i="18"/>
  <c r="I542" i="18"/>
  <c r="I541" i="18"/>
  <c r="I540" i="18"/>
  <c r="I539" i="18"/>
  <c r="I538" i="18"/>
  <c r="I537" i="18"/>
  <c r="I536" i="18"/>
  <c r="I535" i="18"/>
  <c r="I534" i="18"/>
  <c r="I533" i="18"/>
  <c r="I532" i="18"/>
  <c r="I531" i="18"/>
  <c r="I530" i="18"/>
  <c r="I529" i="18"/>
  <c r="I528" i="18"/>
  <c r="I527" i="18"/>
  <c r="I526" i="18"/>
  <c r="I525" i="18"/>
  <c r="I524" i="18"/>
  <c r="I523" i="18"/>
  <c r="I522" i="18"/>
  <c r="I521" i="18"/>
  <c r="I520" i="18"/>
  <c r="I519" i="18"/>
  <c r="I518" i="18"/>
  <c r="I517" i="18"/>
  <c r="I516" i="18"/>
  <c r="I515" i="18"/>
  <c r="I514" i="18"/>
  <c r="I513" i="18"/>
  <c r="I512" i="18"/>
  <c r="I511" i="18"/>
  <c r="I510" i="18"/>
  <c r="I509" i="18"/>
  <c r="I508" i="18"/>
  <c r="I507" i="18"/>
  <c r="I506" i="18"/>
  <c r="I505" i="18"/>
  <c r="I504" i="18"/>
  <c r="I503" i="18"/>
  <c r="I502" i="18"/>
  <c r="I501" i="18"/>
  <c r="I500" i="18"/>
  <c r="I499" i="18"/>
  <c r="I498" i="18"/>
  <c r="I497" i="18"/>
  <c r="I496" i="18"/>
  <c r="I495" i="18"/>
  <c r="I494" i="18"/>
  <c r="I493" i="18"/>
  <c r="I492" i="18"/>
  <c r="I491" i="18"/>
  <c r="I490" i="18"/>
  <c r="I489" i="18"/>
  <c r="I488" i="18"/>
  <c r="I487" i="18"/>
  <c r="I486" i="18"/>
  <c r="I485" i="18"/>
  <c r="I484" i="18"/>
  <c r="I483" i="18"/>
  <c r="I482" i="18"/>
  <c r="I481" i="18"/>
  <c r="I480" i="18"/>
  <c r="I479" i="18"/>
  <c r="I478" i="18"/>
  <c r="I477" i="18"/>
  <c r="I476" i="18"/>
  <c r="I475" i="18"/>
  <c r="I474" i="18"/>
  <c r="I473" i="18"/>
  <c r="I472" i="18"/>
  <c r="I471" i="18"/>
  <c r="I470" i="18"/>
  <c r="I469" i="18"/>
  <c r="I468" i="18"/>
  <c r="I467" i="18"/>
  <c r="I466" i="18"/>
  <c r="I465" i="18"/>
  <c r="I464" i="18"/>
  <c r="I463" i="18"/>
  <c r="I462" i="18"/>
  <c r="I461" i="18"/>
  <c r="I460" i="18"/>
  <c r="I459" i="18"/>
  <c r="I458" i="18"/>
  <c r="I457" i="18"/>
  <c r="I456" i="18"/>
  <c r="I455" i="18"/>
  <c r="I454" i="18"/>
  <c r="I453" i="18"/>
  <c r="I452" i="18"/>
  <c r="I451" i="18"/>
  <c r="I450" i="18"/>
  <c r="I449" i="18"/>
  <c r="I448" i="18"/>
  <c r="I447" i="18"/>
  <c r="I446" i="18"/>
  <c r="I445" i="18"/>
  <c r="I444" i="18"/>
  <c r="I443" i="18"/>
  <c r="I442" i="18"/>
  <c r="I441" i="18"/>
  <c r="I440" i="18"/>
  <c r="I439" i="18"/>
  <c r="I438" i="18"/>
  <c r="I437" i="18"/>
  <c r="I436" i="18"/>
  <c r="I435" i="18"/>
  <c r="I434" i="18"/>
  <c r="I433" i="18"/>
  <c r="I432" i="18"/>
  <c r="I431" i="18"/>
  <c r="I430" i="18"/>
  <c r="I429" i="18"/>
  <c r="I428" i="18"/>
  <c r="I427" i="18"/>
  <c r="I426" i="18"/>
  <c r="I425" i="18"/>
  <c r="I424" i="18"/>
  <c r="I423" i="18"/>
  <c r="I422" i="18"/>
  <c r="I421" i="18"/>
  <c r="I420" i="18"/>
  <c r="I419" i="18"/>
  <c r="I418" i="18"/>
  <c r="I417" i="18"/>
  <c r="I416" i="18"/>
  <c r="I415" i="18"/>
  <c r="I414" i="18"/>
  <c r="I413" i="18"/>
  <c r="I412" i="18"/>
  <c r="I411" i="18"/>
  <c r="I410" i="18"/>
  <c r="I409" i="18"/>
  <c r="I408" i="18"/>
  <c r="I407" i="18"/>
  <c r="I406" i="18"/>
  <c r="I405" i="18"/>
  <c r="I404" i="18"/>
  <c r="I403" i="18"/>
  <c r="I402" i="18"/>
  <c r="I401" i="18"/>
  <c r="I400" i="18"/>
  <c r="I399" i="18"/>
  <c r="I398" i="18"/>
  <c r="I397" i="18"/>
  <c r="I396" i="18"/>
  <c r="I395" i="18"/>
  <c r="I394" i="18"/>
  <c r="I393" i="18"/>
  <c r="I392" i="18"/>
  <c r="I391" i="18"/>
  <c r="I390" i="18"/>
  <c r="I389" i="18"/>
  <c r="I388" i="18"/>
  <c r="I387" i="18"/>
  <c r="I386" i="18"/>
  <c r="I385" i="18"/>
  <c r="I384" i="18"/>
  <c r="I383" i="18"/>
  <c r="I382" i="18"/>
  <c r="I381" i="18"/>
  <c r="I380" i="18"/>
  <c r="I379" i="18"/>
  <c r="I378" i="18"/>
  <c r="I377" i="18"/>
  <c r="I376" i="18"/>
  <c r="I375" i="18"/>
  <c r="I374" i="18"/>
  <c r="I373" i="18"/>
  <c r="I372" i="18"/>
  <c r="I371" i="18"/>
  <c r="I370" i="18"/>
  <c r="I369" i="18"/>
  <c r="I368" i="18"/>
  <c r="I367" i="18"/>
  <c r="I366" i="18"/>
  <c r="I365" i="18"/>
  <c r="I364" i="18"/>
  <c r="I363" i="18"/>
  <c r="I362" i="18"/>
  <c r="I361" i="18"/>
  <c r="I360" i="18"/>
  <c r="I359" i="18"/>
  <c r="I358" i="18"/>
  <c r="I357" i="18"/>
  <c r="I356" i="18"/>
  <c r="I355" i="18"/>
  <c r="I354" i="18"/>
  <c r="I353" i="18"/>
  <c r="I352" i="18"/>
  <c r="I351" i="18"/>
  <c r="I350" i="18"/>
  <c r="I349" i="18"/>
  <c r="I348" i="18"/>
  <c r="I347" i="18"/>
  <c r="I346" i="18"/>
  <c r="I345" i="18"/>
  <c r="I344" i="18"/>
  <c r="I343" i="18"/>
  <c r="I342" i="18"/>
  <c r="I341" i="18"/>
  <c r="I340" i="18"/>
  <c r="I339" i="18"/>
  <c r="I338" i="18"/>
  <c r="I337" i="18"/>
  <c r="I336" i="18"/>
  <c r="I335" i="18"/>
  <c r="I334" i="18"/>
  <c r="I333" i="18"/>
  <c r="I332" i="18"/>
  <c r="I331" i="18"/>
  <c r="I330" i="18"/>
  <c r="I329" i="18"/>
  <c r="I328" i="18"/>
  <c r="I327" i="18"/>
  <c r="I326" i="18"/>
  <c r="I325" i="18"/>
  <c r="I324" i="18"/>
  <c r="I323" i="18"/>
  <c r="I322" i="18"/>
  <c r="I321" i="18"/>
  <c r="I320" i="18"/>
  <c r="I319" i="18"/>
  <c r="I318" i="18"/>
  <c r="I317" i="18"/>
  <c r="I316" i="18"/>
  <c r="I315" i="18"/>
  <c r="I314" i="18"/>
  <c r="I313" i="18"/>
  <c r="I312" i="18"/>
  <c r="I311" i="18"/>
  <c r="I310" i="18"/>
  <c r="I309" i="18"/>
  <c r="I308" i="18"/>
  <c r="I307" i="18"/>
  <c r="I306" i="18"/>
  <c r="I305" i="18"/>
  <c r="I304" i="18"/>
  <c r="I303" i="18"/>
  <c r="I302" i="18"/>
  <c r="I301" i="18"/>
  <c r="I300" i="18"/>
  <c r="I299" i="18"/>
  <c r="I298" i="18"/>
  <c r="I297" i="18"/>
  <c r="I296" i="18"/>
  <c r="I295" i="18"/>
  <c r="I294" i="18"/>
  <c r="I293" i="18"/>
  <c r="I292" i="18"/>
  <c r="I291" i="18"/>
  <c r="I290" i="18"/>
  <c r="I289" i="18"/>
  <c r="I288" i="18"/>
  <c r="I287" i="18"/>
  <c r="I286" i="18"/>
  <c r="I285" i="18"/>
  <c r="I284" i="18"/>
  <c r="I283" i="18"/>
  <c r="I282" i="18"/>
  <c r="I281" i="18"/>
  <c r="I280" i="18"/>
  <c r="I279" i="18"/>
  <c r="I278" i="18"/>
  <c r="I277" i="18"/>
  <c r="I276" i="18"/>
  <c r="I275" i="18"/>
  <c r="I274" i="18"/>
  <c r="I273" i="18"/>
  <c r="I272" i="18"/>
  <c r="I271" i="18"/>
  <c r="I270" i="18"/>
  <c r="I269" i="18"/>
  <c r="I268" i="18"/>
  <c r="I267" i="18"/>
  <c r="I266" i="18"/>
  <c r="I265" i="18"/>
  <c r="I264" i="18"/>
  <c r="I263" i="18"/>
  <c r="I262" i="18"/>
  <c r="I261" i="18"/>
  <c r="I260" i="18"/>
  <c r="I259" i="18"/>
  <c r="I258" i="18"/>
  <c r="I257" i="18"/>
  <c r="I256" i="18"/>
  <c r="I255" i="18"/>
  <c r="I254" i="18"/>
  <c r="I253" i="18"/>
  <c r="I252" i="18"/>
  <c r="I251" i="18"/>
  <c r="I250" i="18"/>
  <c r="I249" i="18"/>
  <c r="I248" i="18"/>
  <c r="I247" i="18"/>
  <c r="I246" i="18"/>
  <c r="I245" i="18"/>
  <c r="I244" i="18"/>
  <c r="I243" i="18"/>
  <c r="I242" i="18"/>
  <c r="I241" i="18"/>
  <c r="I240" i="18"/>
  <c r="I239" i="18"/>
  <c r="I238" i="18"/>
  <c r="I237" i="18"/>
  <c r="I236" i="18"/>
  <c r="I235" i="18"/>
  <c r="I234" i="18"/>
  <c r="I233" i="18"/>
  <c r="I232" i="18"/>
  <c r="I231" i="18"/>
  <c r="I230" i="18"/>
  <c r="I229" i="18"/>
  <c r="I228" i="18"/>
  <c r="I227" i="18"/>
  <c r="I226" i="18"/>
  <c r="I225" i="18"/>
  <c r="I224" i="18"/>
  <c r="I223" i="18"/>
  <c r="I222" i="18"/>
  <c r="I221" i="18"/>
  <c r="I220" i="18"/>
  <c r="I219" i="18"/>
  <c r="I218" i="18"/>
  <c r="I217" i="18"/>
  <c r="I216" i="18"/>
  <c r="I215" i="18"/>
  <c r="I214" i="18"/>
  <c r="I213" i="18"/>
  <c r="I212" i="18"/>
  <c r="I211" i="18"/>
  <c r="I210" i="18"/>
  <c r="I209" i="18"/>
  <c r="I208" i="18"/>
  <c r="I207" i="18"/>
  <c r="I206" i="18"/>
  <c r="I205" i="18"/>
  <c r="I204" i="18"/>
  <c r="I203" i="18"/>
  <c r="I202" i="18"/>
  <c r="I201" i="18"/>
  <c r="I200" i="18"/>
  <c r="I199" i="18"/>
  <c r="I198" i="18"/>
  <c r="I197" i="18"/>
  <c r="I196" i="18"/>
  <c r="I195" i="18"/>
  <c r="I194" i="18"/>
  <c r="I193" i="18"/>
  <c r="I192" i="18"/>
  <c r="I191" i="18"/>
  <c r="I190" i="18"/>
  <c r="I189" i="18"/>
  <c r="I188" i="18"/>
  <c r="I187" i="18"/>
  <c r="I186" i="18"/>
  <c r="I185" i="18"/>
  <c r="I184" i="18"/>
  <c r="I183" i="18"/>
  <c r="I182" i="18"/>
  <c r="I181" i="18"/>
  <c r="I180" i="18"/>
  <c r="I179" i="18"/>
  <c r="I178" i="18"/>
  <c r="I177" i="18"/>
  <c r="I176" i="18"/>
  <c r="I175" i="18"/>
  <c r="I174" i="18"/>
  <c r="I173" i="18"/>
  <c r="I172" i="18"/>
  <c r="I171" i="18"/>
  <c r="I170" i="18"/>
  <c r="I169" i="18"/>
  <c r="I168" i="18"/>
  <c r="I167" i="18"/>
  <c r="I166" i="18"/>
  <c r="I165" i="18"/>
  <c r="I164" i="18"/>
  <c r="I163" i="18"/>
  <c r="I162" i="18"/>
  <c r="I161" i="18"/>
  <c r="I160" i="18"/>
  <c r="I159" i="18"/>
  <c r="I158" i="18"/>
  <c r="I157" i="18"/>
  <c r="I156" i="18"/>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I4" i="18"/>
  <c r="I3" i="18"/>
  <c r="I2" i="18"/>
  <c r="D64" i="17"/>
  <c r="D63" i="17"/>
  <c r="D62" i="17"/>
  <c r="E55" i="17"/>
  <c r="E54" i="17"/>
  <c r="E53" i="17"/>
  <c r="E52" i="17"/>
  <c r="E45" i="17"/>
  <c r="E44" i="17"/>
  <c r="E43" i="17"/>
  <c r="E42" i="17"/>
  <c r="D55" i="17"/>
  <c r="D54" i="17"/>
  <c r="D53" i="17"/>
  <c r="D45" i="17"/>
  <c r="D44" i="17"/>
  <c r="D43" i="17"/>
  <c r="M7" i="17"/>
  <c r="M6" i="17"/>
  <c r="M5" i="17"/>
  <c r="D7" i="17"/>
  <c r="D6" i="17"/>
  <c r="D5" i="17"/>
  <c r="E7" i="17"/>
  <c r="E6" i="17"/>
  <c r="E5" i="17"/>
  <c r="E100" i="15"/>
  <c r="E99" i="15"/>
  <c r="E98" i="15"/>
  <c r="E97" i="15"/>
  <c r="E96" i="15"/>
  <c r="E95" i="15"/>
  <c r="E91" i="15"/>
  <c r="E90" i="15"/>
  <c r="E89" i="15"/>
  <c r="E88" i="15"/>
  <c r="E87" i="15"/>
  <c r="E86" i="15"/>
  <c r="E79" i="15"/>
  <c r="E78" i="15"/>
  <c r="E77" i="15"/>
  <c r="E76" i="15"/>
  <c r="E75" i="15"/>
  <c r="E74" i="15"/>
  <c r="E70" i="15"/>
  <c r="E69" i="15"/>
  <c r="E68" i="15"/>
  <c r="E64" i="15"/>
  <c r="E63" i="15"/>
  <c r="E62" i="15"/>
  <c r="E61" i="15"/>
  <c r="E60" i="15"/>
  <c r="E59" i="15"/>
  <c r="E58" i="15"/>
  <c r="E57" i="15"/>
  <c r="E49" i="15"/>
  <c r="E48" i="15"/>
  <c r="E47" i="15"/>
  <c r="D115" i="15"/>
  <c r="D114" i="15"/>
  <c r="D113" i="15"/>
  <c r="D112" i="15"/>
  <c r="D111" i="15"/>
  <c r="D110" i="15"/>
  <c r="D109" i="15"/>
  <c r="D101" i="15"/>
  <c r="D100" i="15"/>
  <c r="D99" i="15"/>
  <c r="D98" i="15"/>
  <c r="D97" i="15"/>
  <c r="D96" i="15"/>
  <c r="D91" i="15"/>
  <c r="D90" i="15"/>
  <c r="D89" i="15"/>
  <c r="D88" i="15"/>
  <c r="D87" i="15"/>
  <c r="D79" i="15"/>
  <c r="D78" i="15"/>
  <c r="D77" i="15"/>
  <c r="D76" i="15"/>
  <c r="D75" i="15"/>
  <c r="D70" i="15"/>
  <c r="D69" i="15"/>
  <c r="D64" i="15"/>
  <c r="D63" i="15"/>
  <c r="D62" i="15"/>
  <c r="D61" i="15"/>
  <c r="D60" i="15"/>
  <c r="D59" i="15"/>
  <c r="D58" i="15"/>
  <c r="D57" i="15"/>
  <c r="D49" i="15"/>
  <c r="D48" i="15"/>
  <c r="D47" i="15"/>
  <c r="O11" i="15"/>
  <c r="O10" i="15"/>
  <c r="O9" i="15"/>
  <c r="O8" i="15"/>
  <c r="O7" i="15"/>
  <c r="O6" i="15"/>
  <c r="O5" i="15"/>
  <c r="D11" i="15"/>
  <c r="D10" i="15"/>
  <c r="D9" i="15"/>
  <c r="D8" i="15"/>
  <c r="D7" i="15"/>
  <c r="D6" i="15"/>
  <c r="D5" i="15"/>
  <c r="E11" i="15"/>
  <c r="E10" i="15"/>
  <c r="E9" i="15"/>
  <c r="E8" i="15"/>
  <c r="E5" i="15"/>
  <c r="D127" i="13"/>
  <c r="D126" i="13"/>
  <c r="D125" i="13"/>
  <c r="D124" i="13"/>
  <c r="D123" i="13"/>
  <c r="D122" i="13"/>
  <c r="D121" i="13"/>
  <c r="D120" i="13"/>
  <c r="E108" i="13"/>
  <c r="E107" i="13"/>
  <c r="E106" i="13"/>
  <c r="E105" i="13"/>
  <c r="E104" i="13"/>
  <c r="E99" i="13"/>
  <c r="E98" i="13"/>
  <c r="E97" i="13"/>
  <c r="E96" i="13"/>
  <c r="E95" i="13"/>
  <c r="E86" i="13"/>
  <c r="E85" i="13"/>
  <c r="E84" i="13"/>
  <c r="E83" i="13"/>
  <c r="E77" i="13"/>
  <c r="E76" i="13"/>
  <c r="E75" i="13"/>
  <c r="E74" i="13"/>
  <c r="E73" i="13"/>
  <c r="E72" i="13"/>
  <c r="E71" i="13"/>
  <c r="E65" i="13"/>
  <c r="E64" i="13"/>
  <c r="E63" i="13"/>
  <c r="E62" i="13"/>
  <c r="E61" i="13"/>
  <c r="E60" i="13"/>
  <c r="E57" i="13"/>
  <c r="E56" i="13"/>
  <c r="E55" i="13"/>
  <c r="E49" i="13"/>
  <c r="E48" i="13"/>
  <c r="E47" i="13"/>
  <c r="D108" i="13"/>
  <c r="D107" i="13"/>
  <c r="D106" i="13"/>
  <c r="D105" i="13"/>
  <c r="D99" i="13"/>
  <c r="D98" i="13"/>
  <c r="D97" i="13"/>
  <c r="D96" i="13"/>
  <c r="D86" i="13"/>
  <c r="D85" i="13"/>
  <c r="D84" i="13"/>
  <c r="D77" i="13"/>
  <c r="D76" i="13"/>
  <c r="D75" i="13"/>
  <c r="D74" i="13"/>
  <c r="D73" i="13"/>
  <c r="D72" i="13"/>
  <c r="D65" i="13"/>
  <c r="D64" i="13"/>
  <c r="D63" i="13"/>
  <c r="D62" i="13"/>
  <c r="D61" i="13"/>
  <c r="D57" i="13"/>
  <c r="D56" i="13"/>
  <c r="D49" i="13"/>
  <c r="D48" i="13"/>
  <c r="P13" i="13"/>
  <c r="P12" i="13"/>
  <c r="P11" i="13"/>
  <c r="P10" i="13"/>
  <c r="P9" i="13"/>
  <c r="P8" i="13"/>
  <c r="P7" i="13"/>
  <c r="P6" i="13"/>
  <c r="AK3" i="4"/>
  <c r="O123" i="8"/>
  <c r="E13" i="13"/>
  <c r="D13" i="13"/>
  <c r="D5" i="13"/>
  <c r="D12" i="13"/>
  <c r="D11" i="13"/>
  <c r="D10" i="13"/>
  <c r="D9" i="13"/>
  <c r="D8" i="13"/>
  <c r="D7" i="13"/>
  <c r="D6" i="13"/>
  <c r="E12" i="13"/>
  <c r="E11" i="13"/>
  <c r="E10" i="13"/>
  <c r="E9" i="13"/>
  <c r="E8" i="13"/>
  <c r="E7" i="13"/>
  <c r="E6" i="13"/>
  <c r="E5" i="13"/>
  <c r="E80" i="12"/>
  <c r="E79" i="12"/>
  <c r="E78" i="12"/>
  <c r="E72" i="12"/>
  <c r="E71" i="12"/>
  <c r="E70" i="12"/>
  <c r="E69" i="12"/>
  <c r="E66" i="12"/>
  <c r="E65" i="12"/>
  <c r="E64" i="12"/>
  <c r="E63" i="12"/>
  <c r="E62" i="12"/>
  <c r="E61" i="12"/>
  <c r="E57" i="12"/>
  <c r="E56" i="12"/>
  <c r="E55" i="12"/>
  <c r="E54" i="12"/>
  <c r="E53" i="12"/>
  <c r="E48" i="12"/>
  <c r="E47" i="12"/>
  <c r="E46" i="12"/>
  <c r="E45" i="12"/>
  <c r="E42" i="12"/>
  <c r="E41" i="12"/>
  <c r="E40" i="12"/>
  <c r="E39" i="12"/>
  <c r="E38" i="12"/>
  <c r="E35" i="12"/>
  <c r="E34" i="12"/>
  <c r="E33" i="12"/>
  <c r="D95" i="12"/>
  <c r="D94" i="12"/>
  <c r="D93" i="12"/>
  <c r="D92" i="12"/>
  <c r="D91" i="12"/>
  <c r="D90" i="12"/>
  <c r="D89" i="12"/>
  <c r="D88" i="12"/>
  <c r="D80" i="12"/>
  <c r="D79" i="12"/>
  <c r="D72" i="12"/>
  <c r="D71" i="12"/>
  <c r="D70" i="12"/>
  <c r="D66" i="12"/>
  <c r="D65" i="12"/>
  <c r="D64" i="12"/>
  <c r="D63" i="12"/>
  <c r="D62" i="12"/>
  <c r="D57" i="12"/>
  <c r="D56" i="12"/>
  <c r="D55" i="12"/>
  <c r="D54" i="12"/>
  <c r="D48" i="12"/>
  <c r="D47" i="12"/>
  <c r="D46" i="12"/>
  <c r="D42" i="12"/>
  <c r="D41" i="12"/>
  <c r="D40" i="12"/>
  <c r="D39" i="12"/>
  <c r="D35" i="12"/>
  <c r="D34" i="12"/>
  <c r="O12" i="12"/>
  <c r="O11" i="12"/>
  <c r="O10" i="12"/>
  <c r="O9" i="12"/>
  <c r="O8" i="12"/>
  <c r="O7" i="12"/>
  <c r="O6" i="12"/>
  <c r="O5" i="12"/>
  <c r="E12" i="12"/>
  <c r="E11" i="12"/>
  <c r="E10" i="12"/>
  <c r="E9" i="12"/>
  <c r="E8" i="12"/>
  <c r="E7" i="12"/>
  <c r="E6" i="12"/>
  <c r="E5" i="12"/>
  <c r="D12" i="12"/>
  <c r="D11" i="12"/>
  <c r="D10" i="12"/>
  <c r="D9" i="12"/>
  <c r="D8" i="12"/>
  <c r="D7" i="12"/>
  <c r="D6" i="12"/>
  <c r="D5" i="12"/>
  <c r="D120" i="10"/>
  <c r="D119" i="10"/>
  <c r="D118" i="10"/>
  <c r="D117" i="10"/>
  <c r="D116" i="10"/>
  <c r="D115" i="10"/>
  <c r="D114" i="10"/>
  <c r="E106" i="10"/>
  <c r="E105" i="10"/>
  <c r="E104" i="10"/>
  <c r="E103" i="10"/>
  <c r="E99" i="10"/>
  <c r="E98" i="10"/>
  <c r="E97" i="10"/>
  <c r="E96" i="10"/>
  <c r="E95" i="10"/>
  <c r="E94" i="10"/>
  <c r="E93" i="10"/>
  <c r="E92" i="10"/>
  <c r="E86" i="10"/>
  <c r="E85" i="10"/>
  <c r="E84" i="10"/>
  <c r="E83" i="10"/>
  <c r="E82" i="10"/>
  <c r="E81" i="10"/>
  <c r="E76" i="10"/>
  <c r="E75" i="10"/>
  <c r="E74" i="10"/>
  <c r="E73" i="10"/>
  <c r="E72" i="10"/>
  <c r="E60" i="10"/>
  <c r="E59" i="10"/>
  <c r="E58" i="10"/>
  <c r="E57" i="10"/>
  <c r="E53" i="10"/>
  <c r="E52" i="10"/>
  <c r="E51" i="10"/>
  <c r="E50" i="10"/>
  <c r="E49" i="10"/>
  <c r="E48" i="10"/>
  <c r="E47" i="10"/>
  <c r="E46" i="10"/>
  <c r="E45" i="10"/>
  <c r="E44" i="10"/>
  <c r="E43" i="10"/>
  <c r="E42" i="10"/>
  <c r="E41" i="10"/>
  <c r="E40" i="10"/>
  <c r="E39" i="10"/>
  <c r="E38" i="10"/>
  <c r="E37" i="10"/>
  <c r="D99" i="10"/>
  <c r="D98" i="10"/>
  <c r="D97" i="10"/>
  <c r="D96" i="10"/>
  <c r="D95" i="10"/>
  <c r="D94" i="10"/>
  <c r="D93" i="10"/>
  <c r="D86" i="10"/>
  <c r="D85" i="10"/>
  <c r="D84" i="10"/>
  <c r="D83" i="10"/>
  <c r="D82" i="10"/>
  <c r="D76" i="10"/>
  <c r="D75" i="10"/>
  <c r="D74" i="10"/>
  <c r="D73" i="10"/>
  <c r="D60" i="10"/>
  <c r="D59" i="10"/>
  <c r="D58" i="10"/>
  <c r="D53" i="10"/>
  <c r="D52" i="10"/>
  <c r="D51" i="10"/>
  <c r="D50" i="10"/>
  <c r="D49" i="10"/>
  <c r="D48" i="10"/>
  <c r="D47" i="10"/>
  <c r="D46" i="10"/>
  <c r="D45" i="10"/>
  <c r="D44" i="10"/>
  <c r="D43" i="10"/>
  <c r="D42" i="10"/>
  <c r="D41" i="10"/>
  <c r="D40" i="10"/>
  <c r="D39" i="10"/>
  <c r="D38" i="10"/>
  <c r="O12" i="10"/>
  <c r="O11" i="10"/>
  <c r="O10" i="10"/>
  <c r="O9" i="10"/>
  <c r="O8" i="10"/>
  <c r="O7" i="10"/>
  <c r="O6" i="10"/>
  <c r="E11" i="10"/>
  <c r="E10" i="10"/>
  <c r="E9" i="10"/>
  <c r="E8" i="10"/>
  <c r="E7" i="10"/>
  <c r="E6" i="10"/>
  <c r="E5" i="10"/>
  <c r="D11" i="10"/>
  <c r="D10" i="10"/>
  <c r="D9" i="10"/>
  <c r="D8" i="10"/>
  <c r="D7" i="10"/>
  <c r="D6" i="10"/>
  <c r="D5" i="10"/>
  <c r="O165" i="8"/>
  <c r="O160" i="8"/>
  <c r="O154" i="8"/>
  <c r="O155" i="8"/>
  <c r="O156" i="8"/>
  <c r="O157" i="8"/>
  <c r="O147" i="8"/>
  <c r="O152" i="8"/>
  <c r="O144" i="8"/>
  <c r="O145" i="8"/>
  <c r="O140" i="8"/>
  <c r="O135" i="8"/>
  <c r="O118" i="8"/>
  <c r="O112" i="8"/>
  <c r="O113" i="8"/>
  <c r="O106" i="8"/>
  <c r="O102" i="8"/>
  <c r="O95" i="8"/>
  <c r="O75" i="8"/>
  <c r="O74" i="8"/>
  <c r="O71" i="8"/>
  <c r="O72" i="8"/>
  <c r="O17" i="8"/>
  <c r="O18" i="8"/>
  <c r="O14" i="8"/>
  <c r="O15" i="8"/>
  <c r="O6" i="8"/>
  <c r="AK141" i="5" l="1"/>
  <c r="W141" i="5"/>
  <c r="AE141" i="5"/>
  <c r="D102" i="11" l="1"/>
  <c r="D101" i="11"/>
  <c r="D100" i="11"/>
  <c r="D99" i="11"/>
  <c r="D98" i="11"/>
  <c r="D97" i="11"/>
  <c r="E93" i="11"/>
  <c r="E92" i="11"/>
  <c r="E91" i="11"/>
  <c r="E90" i="11"/>
  <c r="E89" i="11"/>
  <c r="E88" i="11"/>
  <c r="E87" i="11"/>
  <c r="E86" i="11"/>
  <c r="E85" i="11"/>
  <c r="E84" i="11"/>
  <c r="E83" i="11"/>
  <c r="E82" i="11"/>
  <c r="E76" i="11"/>
  <c r="E75" i="11"/>
  <c r="E74" i="11"/>
  <c r="E73" i="11"/>
  <c r="E72" i="11"/>
  <c r="E71" i="11"/>
  <c r="E70" i="11"/>
  <c r="E65" i="11"/>
  <c r="E64" i="11"/>
  <c r="E63" i="11"/>
  <c r="E62" i="11"/>
  <c r="E61" i="11"/>
  <c r="E60" i="11"/>
  <c r="E56" i="11"/>
  <c r="E55" i="11"/>
  <c r="E54" i="11"/>
  <c r="E53" i="11"/>
  <c r="E52" i="11"/>
  <c r="E51" i="11"/>
  <c r="E50" i="11"/>
  <c r="E49" i="11"/>
  <c r="E37" i="11"/>
  <c r="E36" i="11"/>
  <c r="E35" i="11"/>
  <c r="E34" i="11"/>
  <c r="E33" i="11"/>
  <c r="D93" i="11"/>
  <c r="D92" i="11"/>
  <c r="D91" i="11"/>
  <c r="D90" i="11"/>
  <c r="D89" i="11"/>
  <c r="D88" i="11"/>
  <c r="D87" i="11"/>
  <c r="D86" i="11"/>
  <c r="D85" i="11"/>
  <c r="D84" i="11"/>
  <c r="D83" i="11"/>
  <c r="D76" i="11"/>
  <c r="D75" i="11"/>
  <c r="D74" i="11"/>
  <c r="D73" i="11"/>
  <c r="D72" i="11"/>
  <c r="D71" i="11"/>
  <c r="D65" i="11"/>
  <c r="D64" i="11"/>
  <c r="D63" i="11"/>
  <c r="D62" i="11"/>
  <c r="D61" i="11"/>
  <c r="D56" i="11"/>
  <c r="D55" i="11"/>
  <c r="D54" i="11"/>
  <c r="D53" i="11"/>
  <c r="D52" i="11"/>
  <c r="D51" i="11"/>
  <c r="D50" i="11"/>
  <c r="D49" i="11"/>
  <c r="D37" i="11"/>
  <c r="D36" i="11"/>
  <c r="D35" i="11"/>
  <c r="D34" i="11"/>
  <c r="D33" i="11"/>
  <c r="R6" i="8"/>
  <c r="D32" i="11"/>
  <c r="S10" i="11"/>
  <c r="S9" i="11"/>
  <c r="S8" i="11"/>
  <c r="S7" i="11"/>
  <c r="S6" i="11"/>
  <c r="S5" i="11"/>
  <c r="F10" i="11"/>
  <c r="F9" i="11"/>
  <c r="F8" i="11"/>
  <c r="F7" i="11"/>
  <c r="F6" i="11"/>
  <c r="F5" i="11"/>
  <c r="E10" i="11"/>
  <c r="E9" i="11"/>
  <c r="E8" i="11"/>
  <c r="E5" i="11"/>
  <c r="C5" i="11"/>
  <c r="D10" i="11"/>
  <c r="D9" i="11"/>
  <c r="D8" i="11"/>
  <c r="D7" i="11"/>
  <c r="D6" i="11"/>
  <c r="D5" i="11"/>
  <c r="T4" i="7"/>
  <c r="T5" i="7"/>
  <c r="T6" i="7"/>
  <c r="T7" i="7"/>
  <c r="T9" i="7"/>
  <c r="Q3" i="8"/>
  <c r="AN3" i="6"/>
  <c r="R203" i="8"/>
  <c r="R4" i="8"/>
  <c r="R5"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2" i="8"/>
  <c r="R193" i="8"/>
  <c r="R194" i="8"/>
  <c r="R195" i="8"/>
  <c r="R196" i="8"/>
  <c r="R198" i="8"/>
  <c r="R199" i="8"/>
  <c r="R200" i="8"/>
  <c r="R201" i="8"/>
  <c r="R202" i="8"/>
  <c r="R204" i="8"/>
  <c r="R205" i="8"/>
  <c r="R206" i="8"/>
  <c r="Q8" i="8"/>
  <c r="N5" i="2" l="1"/>
  <c r="F7" i="7"/>
  <c r="F204" i="8"/>
  <c r="F205" i="8"/>
  <c r="F206" i="8"/>
  <c r="F200" i="8"/>
  <c r="F201" i="8"/>
  <c r="F202" i="8"/>
  <c r="F198" i="8"/>
  <c r="F9" i="7" s="1"/>
  <c r="F192" i="8"/>
  <c r="F193" i="8"/>
  <c r="F194" i="8"/>
  <c r="F195" i="8"/>
  <c r="F196" i="8"/>
  <c r="F197" i="8"/>
  <c r="F185" i="8"/>
  <c r="F184" i="8" s="1"/>
  <c r="F186" i="8"/>
  <c r="F187" i="8"/>
  <c r="F188" i="8"/>
  <c r="F189" i="8"/>
  <c r="F190" i="8"/>
  <c r="F179" i="8"/>
  <c r="F180" i="8"/>
  <c r="F181" i="8"/>
  <c r="F182" i="8"/>
  <c r="F183" i="8"/>
  <c r="F176" i="8"/>
  <c r="F177" i="8"/>
  <c r="F167" i="8"/>
  <c r="F168" i="8"/>
  <c r="F169" i="8"/>
  <c r="F170" i="8"/>
  <c r="F171" i="8"/>
  <c r="F172" i="8"/>
  <c r="F173" i="8"/>
  <c r="F174" i="8"/>
  <c r="F163" i="8"/>
  <c r="F164" i="8"/>
  <c r="F165" i="8"/>
  <c r="F161" i="8"/>
  <c r="F8" i="7" s="1"/>
  <c r="F160" i="8"/>
  <c r="F159" i="8" s="1"/>
  <c r="F154" i="8"/>
  <c r="F153" i="8" s="1"/>
  <c r="F155" i="8"/>
  <c r="F156" i="8"/>
  <c r="F157" i="8"/>
  <c r="F158" i="8"/>
  <c r="H158" i="8" s="1"/>
  <c r="F148" i="8"/>
  <c r="F147" i="8" s="1"/>
  <c r="F149" i="8"/>
  <c r="F150" i="8"/>
  <c r="F151" i="8"/>
  <c r="F152" i="8"/>
  <c r="F144" i="8"/>
  <c r="F145" i="8"/>
  <c r="F146" i="8"/>
  <c r="F137" i="8"/>
  <c r="F138" i="8"/>
  <c r="F139" i="8"/>
  <c r="F140" i="8"/>
  <c r="F141" i="8"/>
  <c r="F142" i="8"/>
  <c r="F131" i="8"/>
  <c r="F130" i="8" s="1"/>
  <c r="F132" i="8"/>
  <c r="F133" i="8"/>
  <c r="F134" i="8"/>
  <c r="F135" i="8"/>
  <c r="F128" i="8"/>
  <c r="F127" i="8" s="1"/>
  <c r="F129" i="8"/>
  <c r="F125" i="8"/>
  <c r="F126" i="8"/>
  <c r="F123" i="8"/>
  <c r="F121" i="8"/>
  <c r="F120" i="8" s="1"/>
  <c r="F122" i="8"/>
  <c r="F117" i="8"/>
  <c r="F118" i="8"/>
  <c r="F119" i="8"/>
  <c r="F111" i="8"/>
  <c r="F112" i="8"/>
  <c r="F113" i="8"/>
  <c r="F114" i="8"/>
  <c r="F115" i="8"/>
  <c r="F106" i="8"/>
  <c r="F105" i="8" s="1"/>
  <c r="F107" i="8"/>
  <c r="F108" i="8"/>
  <c r="F109" i="8"/>
  <c r="F102" i="8"/>
  <c r="F101" i="8" s="1"/>
  <c r="F103" i="8"/>
  <c r="F104" i="8"/>
  <c r="F97" i="8"/>
  <c r="F98" i="8"/>
  <c r="F99" i="8"/>
  <c r="F100" i="8"/>
  <c r="F94" i="8"/>
  <c r="F95" i="8"/>
  <c r="F46" i="8"/>
  <c r="F5" i="7" s="1"/>
  <c r="F92" i="8"/>
  <c r="F6" i="7" s="1"/>
  <c r="F89" i="8"/>
  <c r="F90" i="8"/>
  <c r="F91" i="8"/>
  <c r="F81" i="8"/>
  <c r="F82" i="8"/>
  <c r="F83" i="8"/>
  <c r="F84" i="8"/>
  <c r="F85" i="8"/>
  <c r="F86" i="8"/>
  <c r="F87" i="8"/>
  <c r="F74" i="8"/>
  <c r="F73" i="8" s="1"/>
  <c r="F75" i="8"/>
  <c r="F76" i="8"/>
  <c r="F77" i="8"/>
  <c r="F78" i="8"/>
  <c r="F79" i="8"/>
  <c r="F69" i="8"/>
  <c r="F70" i="8"/>
  <c r="F71" i="8"/>
  <c r="F72" i="8"/>
  <c r="L91" i="2"/>
  <c r="F65" i="8"/>
  <c r="F66" i="8"/>
  <c r="F67" i="8"/>
  <c r="F48" i="8"/>
  <c r="F49" i="8"/>
  <c r="F50" i="8"/>
  <c r="F51" i="8"/>
  <c r="F52" i="8"/>
  <c r="F53" i="8"/>
  <c r="F54" i="8"/>
  <c r="F55" i="8"/>
  <c r="F56" i="8"/>
  <c r="F57" i="8"/>
  <c r="F58" i="8"/>
  <c r="F59" i="8"/>
  <c r="F60" i="8"/>
  <c r="F61" i="8"/>
  <c r="F62" i="8"/>
  <c r="F63" i="8"/>
  <c r="L171" i="1"/>
  <c r="F35" i="8"/>
  <c r="F34" i="8" s="1"/>
  <c r="F36" i="8"/>
  <c r="F37" i="8"/>
  <c r="F38" i="8"/>
  <c r="F39" i="8"/>
  <c r="F40" i="8"/>
  <c r="F41" i="8"/>
  <c r="F42" i="8"/>
  <c r="F43" i="8"/>
  <c r="F44" i="8"/>
  <c r="F45" i="8"/>
  <c r="F27" i="8"/>
  <c r="F28" i="8"/>
  <c r="F29" i="8"/>
  <c r="F30" i="8"/>
  <c r="F31" i="8"/>
  <c r="F32" i="8"/>
  <c r="F33" i="8"/>
  <c r="F12" i="8"/>
  <c r="F13" i="8"/>
  <c r="F14" i="8"/>
  <c r="F15" i="8"/>
  <c r="F16" i="8"/>
  <c r="F17" i="8"/>
  <c r="F11" i="8" s="1"/>
  <c r="F18" i="8"/>
  <c r="F19" i="8"/>
  <c r="F21" i="8"/>
  <c r="F22" i="8"/>
  <c r="F23" i="8"/>
  <c r="F24" i="8"/>
  <c r="F25" i="8"/>
  <c r="L45" i="6"/>
  <c r="AK5" i="6"/>
  <c r="L29" i="5"/>
  <c r="L76" i="4"/>
  <c r="L31" i="4"/>
  <c r="L96" i="3"/>
  <c r="L112" i="2"/>
  <c r="L32" i="2"/>
  <c r="N6" i="2"/>
  <c r="L148" i="1"/>
  <c r="AK125" i="1"/>
  <c r="AK57" i="1"/>
  <c r="F6" i="8"/>
  <c r="F7" i="8"/>
  <c r="F9" i="8"/>
  <c r="F10" i="8"/>
  <c r="F93" i="8" l="1"/>
  <c r="F80" i="8"/>
  <c r="F110" i="8"/>
  <c r="F124" i="8"/>
  <c r="F143" i="8"/>
  <c r="F162" i="8"/>
  <c r="F166" i="8"/>
  <c r="F199" i="8"/>
  <c r="F136" i="8"/>
  <c r="F47" i="8"/>
  <c r="F175" i="8"/>
  <c r="F68" i="8"/>
  <c r="F88" i="8"/>
  <c r="F96" i="8"/>
  <c r="F116" i="8"/>
  <c r="F203" i="8"/>
  <c r="F20" i="8"/>
  <c r="F191" i="8"/>
  <c r="F178" i="8"/>
  <c r="F26" i="8"/>
  <c r="F64" i="8"/>
  <c r="L28" i="6"/>
  <c r="O204" i="8"/>
  <c r="O205" i="8"/>
  <c r="O206" i="8"/>
  <c r="O200" i="8"/>
  <c r="O201" i="8"/>
  <c r="O202" i="8"/>
  <c r="L204" i="8"/>
  <c r="L205" i="8"/>
  <c r="L206" i="8"/>
  <c r="L200" i="8"/>
  <c r="L201" i="8"/>
  <c r="O192" i="8"/>
  <c r="O193" i="8"/>
  <c r="O194" i="8"/>
  <c r="O195" i="8"/>
  <c r="O196" i="8"/>
  <c r="L192" i="8"/>
  <c r="L193" i="8"/>
  <c r="L194" i="8"/>
  <c r="L195" i="8"/>
  <c r="L196" i="8"/>
  <c r="O185" i="8"/>
  <c r="O186" i="8"/>
  <c r="O187" i="8"/>
  <c r="O188" i="8"/>
  <c r="O189" i="8"/>
  <c r="O190" i="8"/>
  <c r="L185" i="8"/>
  <c r="L186" i="8"/>
  <c r="L188" i="8"/>
  <c r="L189" i="8"/>
  <c r="L190" i="8"/>
  <c r="O179" i="8"/>
  <c r="O180" i="8"/>
  <c r="O181" i="8"/>
  <c r="O182" i="8"/>
  <c r="O183" i="8"/>
  <c r="L179" i="8"/>
  <c r="L180" i="8"/>
  <c r="L181" i="8"/>
  <c r="L182" i="8"/>
  <c r="L183" i="8"/>
  <c r="O176" i="8"/>
  <c r="L176" i="8"/>
  <c r="L177" i="8"/>
  <c r="O167" i="8"/>
  <c r="O168" i="8"/>
  <c r="O170" i="8"/>
  <c r="O171" i="8"/>
  <c r="O172" i="8"/>
  <c r="O173" i="8"/>
  <c r="O174" i="8"/>
  <c r="L167" i="8"/>
  <c r="L168" i="8"/>
  <c r="L169" i="8"/>
  <c r="L170" i="8"/>
  <c r="L171" i="8"/>
  <c r="L172" i="8"/>
  <c r="L173" i="8"/>
  <c r="L174" i="8"/>
  <c r="O163" i="8"/>
  <c r="O164" i="8"/>
  <c r="L163" i="8"/>
  <c r="L164" i="8"/>
  <c r="L165" i="8"/>
  <c r="O159" i="8"/>
  <c r="L160" i="8"/>
  <c r="L159" i="8" s="1"/>
  <c r="L155" i="8"/>
  <c r="L157" i="8"/>
  <c r="L158" i="8"/>
  <c r="O148" i="8"/>
  <c r="O149" i="8"/>
  <c r="O150" i="8"/>
  <c r="O151" i="8"/>
  <c r="L148" i="8"/>
  <c r="L149" i="8"/>
  <c r="L150" i="8"/>
  <c r="L151" i="8"/>
  <c r="L152" i="8"/>
  <c r="O146" i="8"/>
  <c r="O143" i="8" s="1"/>
  <c r="L146" i="8"/>
  <c r="O137" i="8"/>
  <c r="O138" i="8"/>
  <c r="O139" i="8"/>
  <c r="O141" i="8"/>
  <c r="O142" i="8"/>
  <c r="L137" i="8"/>
  <c r="L138" i="8"/>
  <c r="L139" i="8"/>
  <c r="L140" i="8"/>
  <c r="L141" i="8"/>
  <c r="L142" i="8"/>
  <c r="O131" i="8"/>
  <c r="O132" i="8"/>
  <c r="O133" i="8"/>
  <c r="O134" i="8"/>
  <c r="L131" i="8"/>
  <c r="L132" i="8"/>
  <c r="L133" i="8"/>
  <c r="L134" i="8"/>
  <c r="O128" i="8"/>
  <c r="O129" i="8"/>
  <c r="L128" i="8"/>
  <c r="L129" i="8"/>
  <c r="L125" i="8"/>
  <c r="L126" i="8"/>
  <c r="O125" i="8"/>
  <c r="O126" i="8"/>
  <c r="L92" i="8"/>
  <c r="M6" i="7" s="1"/>
  <c r="AK107" i="3"/>
  <c r="O111" i="8"/>
  <c r="O114" i="8"/>
  <c r="O115" i="8"/>
  <c r="L111" i="8"/>
  <c r="L112" i="8"/>
  <c r="L113" i="8"/>
  <c r="L114" i="8"/>
  <c r="L115" i="8"/>
  <c r="O103" i="8"/>
  <c r="O101" i="8" s="1"/>
  <c r="O104" i="8"/>
  <c r="L102" i="8"/>
  <c r="L103" i="8"/>
  <c r="L104" i="8"/>
  <c r="O97" i="8"/>
  <c r="O98" i="8"/>
  <c r="O99" i="8"/>
  <c r="O100" i="8"/>
  <c r="L97" i="8"/>
  <c r="L98" i="8"/>
  <c r="L99" i="8"/>
  <c r="L100" i="8"/>
  <c r="L94" i="8"/>
  <c r="L93" i="8" s="1"/>
  <c r="L95" i="8"/>
  <c r="O94" i="8"/>
  <c r="L74" i="8"/>
  <c r="L75" i="8"/>
  <c r="L76" i="8"/>
  <c r="L77" i="8"/>
  <c r="L78" i="8"/>
  <c r="L79" i="8"/>
  <c r="O76" i="8"/>
  <c r="O77" i="8"/>
  <c r="O78" i="8"/>
  <c r="O79" i="8"/>
  <c r="O65" i="8"/>
  <c r="O66" i="8"/>
  <c r="O67" i="8"/>
  <c r="L65" i="8"/>
  <c r="L66" i="8"/>
  <c r="O62" i="8"/>
  <c r="L48" i="8"/>
  <c r="L49" i="8"/>
  <c r="L51" i="8"/>
  <c r="L52" i="8"/>
  <c r="L53" i="8"/>
  <c r="L54" i="8"/>
  <c r="L55" i="8"/>
  <c r="L56" i="8"/>
  <c r="L57" i="8"/>
  <c r="L58" i="8"/>
  <c r="L59" i="8"/>
  <c r="L60" i="8"/>
  <c r="L61" i="8"/>
  <c r="L63" i="8"/>
  <c r="O48" i="8"/>
  <c r="O49" i="8"/>
  <c r="O50" i="8"/>
  <c r="O51" i="8"/>
  <c r="O52" i="8"/>
  <c r="O53" i="8"/>
  <c r="O54" i="8"/>
  <c r="O55" i="8"/>
  <c r="O56" i="8"/>
  <c r="O57" i="8"/>
  <c r="O58" i="8"/>
  <c r="O59" i="8"/>
  <c r="O60" i="8"/>
  <c r="O61" i="8"/>
  <c r="O63" i="8"/>
  <c r="O96" i="8" l="1"/>
  <c r="O153" i="8"/>
  <c r="L162" i="8"/>
  <c r="O124" i="8"/>
  <c r="O184" i="8"/>
  <c r="O64" i="8"/>
  <c r="L124" i="8"/>
  <c r="L175" i="8"/>
  <c r="L73" i="8"/>
  <c r="L127" i="8"/>
  <c r="O73" i="8"/>
  <c r="L147" i="8"/>
  <c r="O178" i="8"/>
  <c r="L101" i="8"/>
  <c r="O166" i="8"/>
  <c r="O162" i="8"/>
  <c r="O110" i="8"/>
  <c r="L178" i="8"/>
  <c r="O203" i="8"/>
  <c r="O136" i="8"/>
  <c r="L110" i="8"/>
  <c r="L130" i="8"/>
  <c r="O199" i="8"/>
  <c r="L96" i="8"/>
  <c r="L136" i="8"/>
  <c r="L166" i="8"/>
  <c r="O127" i="8"/>
  <c r="O130" i="8"/>
  <c r="O93" i="8"/>
  <c r="L43" i="2"/>
  <c r="L34" i="2"/>
  <c r="L27" i="8"/>
  <c r="L28" i="8"/>
  <c r="L29" i="8"/>
  <c r="L30" i="8"/>
  <c r="L31" i="8"/>
  <c r="L32" i="8"/>
  <c r="L33" i="8"/>
  <c r="N4" i="8"/>
  <c r="O21" i="8"/>
  <c r="O22" i="8"/>
  <c r="O23" i="8"/>
  <c r="O24" i="8"/>
  <c r="O25" i="8"/>
  <c r="L21" i="8"/>
  <c r="L22" i="8"/>
  <c r="L23" i="8"/>
  <c r="L24" i="8"/>
  <c r="L25" i="8"/>
  <c r="O19" i="8"/>
  <c r="L19" i="8"/>
  <c r="L16" i="8"/>
  <c r="O16" i="8"/>
  <c r="AH48" i="1"/>
  <c r="L44" i="1"/>
  <c r="L45" i="1"/>
  <c r="O10" i="8"/>
  <c r="L29" i="1"/>
  <c r="K17" i="1"/>
  <c r="I4" i="1"/>
  <c r="L23" i="1"/>
  <c r="O9" i="8"/>
  <c r="AK12" i="1"/>
  <c r="L12" i="1"/>
  <c r="O8" i="8"/>
  <c r="O7" i="8"/>
  <c r="E46" i="15" l="1"/>
  <c r="E6" i="15"/>
  <c r="E7" i="15"/>
  <c r="E56" i="15"/>
  <c r="O20" i="8"/>
  <c r="O5" i="8"/>
  <c r="L20" i="8"/>
  <c r="L26" i="8"/>
  <c r="AE122" i="4"/>
  <c r="E6" i="11" l="1"/>
  <c r="E32" i="11"/>
  <c r="W88" i="3"/>
  <c r="AK74" i="3"/>
  <c r="X70" i="4" l="1"/>
  <c r="I70" i="4"/>
  <c r="I143" i="4"/>
  <c r="I142" i="4"/>
  <c r="AK61" i="4" l="1"/>
  <c r="W52" i="4"/>
  <c r="W51" i="4"/>
  <c r="L49" i="4"/>
  <c r="AM26" i="3"/>
  <c r="AK53" i="4" l="1"/>
  <c r="L31" i="5" l="1"/>
  <c r="AK31" i="5"/>
  <c r="AK130" i="2"/>
  <c r="AK101" i="2"/>
  <c r="AK90" i="4" l="1"/>
  <c r="AH125" i="1"/>
  <c r="X39" i="6" l="1"/>
  <c r="I13" i="6"/>
  <c r="L9" i="6"/>
  <c r="AH48" i="6"/>
  <c r="AH16" i="6"/>
  <c r="AH15" i="6"/>
  <c r="AH154" i="1"/>
  <c r="AE154" i="1"/>
  <c r="W51" i="1"/>
  <c r="AK51" i="1"/>
  <c r="AG56" i="5" l="1"/>
  <c r="AE50" i="5"/>
  <c r="V19" i="6" l="1"/>
  <c r="AK17" i="2"/>
  <c r="V7" i="2"/>
  <c r="W146" i="2" l="1"/>
  <c r="AK139" i="2"/>
  <c r="V135" i="2"/>
  <c r="W135" i="2" s="1"/>
  <c r="AK134" i="2"/>
  <c r="AK125" i="5" l="1"/>
  <c r="AE125" i="5"/>
  <c r="W76" i="5" l="1"/>
  <c r="W80" i="5"/>
  <c r="W81" i="5"/>
  <c r="W82" i="5"/>
  <c r="W83" i="5"/>
  <c r="W84" i="5"/>
  <c r="W79" i="5"/>
  <c r="AK79" i="5"/>
  <c r="AK79" i="4" l="1"/>
  <c r="AK5" i="4"/>
  <c r="X129" i="5"/>
  <c r="AK159" i="4"/>
  <c r="AK8" i="4"/>
  <c r="V19" i="4"/>
  <c r="AE115" i="1" l="1"/>
  <c r="L117" i="1"/>
  <c r="AK111" i="1"/>
  <c r="AE111" i="1"/>
  <c r="AK96" i="1"/>
  <c r="AK95" i="1"/>
  <c r="AE96" i="1"/>
  <c r="AE95" i="1"/>
  <c r="AK93" i="1"/>
  <c r="AE93" i="1"/>
  <c r="AE94" i="1"/>
  <c r="L12" i="8" l="1"/>
  <c r="L13" i="8"/>
  <c r="L35" i="8"/>
  <c r="L36" i="8"/>
  <c r="L37" i="8"/>
  <c r="L38" i="8"/>
  <c r="L39" i="8"/>
  <c r="L40" i="8"/>
  <c r="L41" i="8"/>
  <c r="L42" i="8"/>
  <c r="L43" i="8"/>
  <c r="L44" i="8"/>
  <c r="L69" i="8"/>
  <c r="O27" i="8"/>
  <c r="O28" i="8"/>
  <c r="O29" i="8"/>
  <c r="O32" i="8"/>
  <c r="O33" i="8"/>
  <c r="O35" i="8"/>
  <c r="O36" i="8"/>
  <c r="O37" i="8"/>
  <c r="O38" i="8"/>
  <c r="O39" i="8"/>
  <c r="O40" i="8"/>
  <c r="O41" i="8"/>
  <c r="O42" i="8"/>
  <c r="O43" i="8"/>
  <c r="O44" i="8"/>
  <c r="O12" i="8"/>
  <c r="O13" i="8"/>
  <c r="L173" i="1"/>
  <c r="L211" i="1"/>
  <c r="L210" i="1"/>
  <c r="L208" i="1"/>
  <c r="L207" i="1"/>
  <c r="L205" i="1"/>
  <c r="L204" i="1"/>
  <c r="L202" i="1"/>
  <c r="L201" i="1"/>
  <c r="L200" i="1"/>
  <c r="L198" i="1"/>
  <c r="L197" i="1"/>
  <c r="L196" i="1"/>
  <c r="L194" i="1"/>
  <c r="L193" i="1"/>
  <c r="L191" i="1"/>
  <c r="L190" i="1"/>
  <c r="L189" i="1"/>
  <c r="L187" i="1"/>
  <c r="L185" i="1"/>
  <c r="L183" i="1"/>
  <c r="L182" i="1"/>
  <c r="L181" i="1"/>
  <c r="L180" i="1"/>
  <c r="L177" i="1"/>
  <c r="L176" i="1"/>
  <c r="L174" i="1"/>
  <c r="L170" i="1"/>
  <c r="O11" i="8" l="1"/>
  <c r="L11" i="8"/>
  <c r="AH108" i="5"/>
  <c r="AB108" i="5"/>
  <c r="AB107" i="5"/>
  <c r="AE107" i="5" s="1"/>
  <c r="AH107" i="5" s="1"/>
  <c r="AB106" i="5"/>
  <c r="AE106" i="5" s="1"/>
  <c r="AH106" i="5" s="1"/>
  <c r="L107" i="5"/>
  <c r="L106" i="5"/>
  <c r="L105" i="5" s="1"/>
  <c r="H130" i="1"/>
  <c r="I65" i="3"/>
  <c r="AE131" i="1"/>
  <c r="AE133" i="1"/>
  <c r="AE134" i="1"/>
  <c r="AE132" i="1"/>
  <c r="L34" i="1"/>
  <c r="E7" i="11" l="1"/>
  <c r="E48" i="11"/>
  <c r="AE105" i="5"/>
  <c r="AE109" i="4" l="1"/>
  <c r="I117" i="4"/>
  <c r="I112" i="4"/>
  <c r="AB52" i="6" l="1"/>
  <c r="AE52" i="6" s="1"/>
  <c r="AH52" i="6" s="1"/>
  <c r="AB51" i="6"/>
  <c r="AE51" i="6" s="1"/>
  <c r="AH51" i="6" s="1"/>
  <c r="AB50" i="6"/>
  <c r="AE50" i="6" s="1"/>
  <c r="AH50" i="6" s="1"/>
  <c r="AB49" i="6"/>
  <c r="AE49" i="6" s="1"/>
  <c r="AH49" i="6" s="1"/>
  <c r="AB48" i="6"/>
  <c r="AB46" i="6"/>
  <c r="AE46" i="6" s="1"/>
  <c r="AH46" i="6" s="1"/>
  <c r="AB45" i="6"/>
  <c r="AE45" i="6" s="1"/>
  <c r="AH45" i="6" s="1"/>
  <c r="AB44" i="6"/>
  <c r="AE44" i="6" s="1"/>
  <c r="AH44" i="6" s="1"/>
  <c r="AB43" i="6"/>
  <c r="AE43" i="6" s="1"/>
  <c r="AH43" i="6" s="1"/>
  <c r="AB42" i="6"/>
  <c r="AE42" i="6" s="1"/>
  <c r="AH42" i="6" s="1"/>
  <c r="AB41" i="6"/>
  <c r="AE41" i="6" s="1"/>
  <c r="AH41" i="6" s="1"/>
  <c r="AB39" i="6"/>
  <c r="AE39" i="6" s="1"/>
  <c r="AH39" i="6" s="1"/>
  <c r="AB38" i="6"/>
  <c r="AB37" i="6"/>
  <c r="AE37" i="6" s="1"/>
  <c r="AH37" i="6" s="1"/>
  <c r="AB36" i="6"/>
  <c r="AE36" i="6" s="1"/>
  <c r="AH36" i="6" s="1"/>
  <c r="AB35" i="6"/>
  <c r="AE35" i="6" s="1"/>
  <c r="AH35" i="6" s="1"/>
  <c r="AB34" i="6"/>
  <c r="AE34" i="6" s="1"/>
  <c r="AH34" i="6" s="1"/>
  <c r="AB33" i="6"/>
  <c r="AE33" i="6" s="1"/>
  <c r="AH33" i="6" s="1"/>
  <c r="AB32" i="6"/>
  <c r="L52" i="6"/>
  <c r="L51" i="6"/>
  <c r="L50" i="6"/>
  <c r="L49" i="6"/>
  <c r="L46" i="6"/>
  <c r="L44" i="6"/>
  <c r="L43" i="6"/>
  <c r="L42" i="6"/>
  <c r="L41" i="6"/>
  <c r="L39" i="6"/>
  <c r="L37" i="6"/>
  <c r="L36" i="6"/>
  <c r="L35" i="6"/>
  <c r="L34" i="6"/>
  <c r="L33" i="6"/>
  <c r="AK15" i="6"/>
  <c r="AB27" i="6"/>
  <c r="W14" i="6"/>
  <c r="W22" i="6"/>
  <c r="AB29" i="6"/>
  <c r="AE29" i="6" s="1"/>
  <c r="AH29" i="6" s="1"/>
  <c r="AB28" i="6"/>
  <c r="AE28" i="6" s="1"/>
  <c r="AH28" i="6" s="1"/>
  <c r="AB26" i="6"/>
  <c r="AB25" i="6"/>
  <c r="AE25" i="6" s="1"/>
  <c r="AH25" i="6" s="1"/>
  <c r="AB24" i="6"/>
  <c r="AH24" i="6" s="1"/>
  <c r="AB23" i="6"/>
  <c r="AE23" i="6" s="1"/>
  <c r="AH23" i="6" s="1"/>
  <c r="AB21" i="6"/>
  <c r="AE21" i="6" s="1"/>
  <c r="AH21" i="6" s="1"/>
  <c r="AB20" i="6"/>
  <c r="AE20" i="6" s="1"/>
  <c r="AH20" i="6" s="1"/>
  <c r="AB19" i="6"/>
  <c r="AE19" i="6" s="1"/>
  <c r="AH19" i="6" s="1"/>
  <c r="AB18" i="6"/>
  <c r="AE18" i="6" s="1"/>
  <c r="AH18" i="6" s="1"/>
  <c r="AB17" i="6"/>
  <c r="AE17" i="6" s="1"/>
  <c r="AH17" i="6" s="1"/>
  <c r="AB16" i="6"/>
  <c r="AB13" i="6"/>
  <c r="AE13" i="6" s="1"/>
  <c r="AH13" i="6" s="1"/>
  <c r="AB12" i="6"/>
  <c r="AE12" i="6" s="1"/>
  <c r="AH12" i="6" s="1"/>
  <c r="AB11" i="6"/>
  <c r="AE11" i="6" s="1"/>
  <c r="AH11" i="6" s="1"/>
  <c r="AB10" i="6"/>
  <c r="AB9" i="6"/>
  <c r="AB8" i="6"/>
  <c r="AE8" i="6" s="1"/>
  <c r="AH8" i="6" s="1"/>
  <c r="AB7" i="6"/>
  <c r="AE7" i="6" s="1"/>
  <c r="AH7" i="6" s="1"/>
  <c r="AB6" i="6"/>
  <c r="AE6" i="6" s="1"/>
  <c r="AH6" i="6" s="1"/>
  <c r="L29" i="6"/>
  <c r="L25" i="6"/>
  <c r="L24" i="6"/>
  <c r="L23" i="6"/>
  <c r="L21" i="6"/>
  <c r="L20" i="6"/>
  <c r="L18" i="6"/>
  <c r="L17" i="6"/>
  <c r="L16" i="6"/>
  <c r="L7" i="6"/>
  <c r="L8" i="6"/>
  <c r="L11" i="6"/>
  <c r="L12" i="6"/>
  <c r="L13" i="6"/>
  <c r="L6" i="6"/>
  <c r="V139" i="1"/>
  <c r="V138" i="1"/>
  <c r="V137" i="1"/>
  <c r="V134" i="1"/>
  <c r="V132" i="1"/>
  <c r="AE26" i="6" l="1"/>
  <c r="AH26" i="6" s="1"/>
  <c r="AH22" i="6" s="1"/>
  <c r="AE9" i="6"/>
  <c r="AH9" i="6" s="1"/>
  <c r="AH5" i="6" s="1"/>
  <c r="L47" i="6"/>
  <c r="AE5" i="6"/>
  <c r="AH40" i="6"/>
  <c r="AE40" i="6"/>
  <c r="L22" i="6"/>
  <c r="AH14" i="6"/>
  <c r="AE14" i="6"/>
  <c r="AE47" i="6"/>
  <c r="AH47" i="6"/>
  <c r="AH31" i="6"/>
  <c r="AE31" i="6"/>
  <c r="AE22" i="6"/>
  <c r="L202" i="8" s="1"/>
  <c r="L199" i="8" s="1"/>
  <c r="AN15" i="6"/>
  <c r="L14" i="6"/>
  <c r="L31" i="6"/>
  <c r="L5" i="6"/>
  <c r="L40" i="6"/>
  <c r="L4" i="6" l="1"/>
  <c r="AH4" i="6"/>
  <c r="L30" i="6"/>
  <c r="AH30" i="6"/>
  <c r="AE30" i="6"/>
  <c r="AE4" i="6"/>
  <c r="AN111" i="5"/>
  <c r="AN133" i="5"/>
  <c r="AN126" i="5"/>
  <c r="AN114" i="5"/>
  <c r="AH136" i="5"/>
  <c r="AE115" i="5"/>
  <c r="AH115" i="5" s="1"/>
  <c r="AB124" i="5"/>
  <c r="AE124" i="5" s="1"/>
  <c r="AB132" i="5"/>
  <c r="AB141" i="5"/>
  <c r="AH141" i="5" s="1"/>
  <c r="AB140" i="5"/>
  <c r="AE140" i="5" s="1"/>
  <c r="AB138" i="5"/>
  <c r="AE138" i="5" s="1"/>
  <c r="AH138" i="5" s="1"/>
  <c r="AB137" i="5"/>
  <c r="AE137" i="5" s="1"/>
  <c r="AH137" i="5" s="1"/>
  <c r="AB136" i="5"/>
  <c r="AB135" i="5"/>
  <c r="AE135" i="5" s="1"/>
  <c r="AH135" i="5" s="1"/>
  <c r="AB133" i="5"/>
  <c r="AE133" i="5" s="1"/>
  <c r="AH133" i="5" s="1"/>
  <c r="AB130" i="5"/>
  <c r="AE130" i="5" s="1"/>
  <c r="AH130" i="5" s="1"/>
  <c r="AB129" i="5"/>
  <c r="AB128" i="5"/>
  <c r="AE128" i="5" s="1"/>
  <c r="AH128" i="5" s="1"/>
  <c r="AB127" i="5"/>
  <c r="AB126" i="5"/>
  <c r="AE126" i="5" s="1"/>
  <c r="AH126" i="5" s="1"/>
  <c r="AB125" i="5"/>
  <c r="AH125" i="5" s="1"/>
  <c r="AB122" i="5"/>
  <c r="AE122" i="5" s="1"/>
  <c r="AH122" i="5" s="1"/>
  <c r="AB121" i="5"/>
  <c r="AB120" i="5"/>
  <c r="AB119" i="5"/>
  <c r="AE119" i="5" s="1"/>
  <c r="AH119" i="5" s="1"/>
  <c r="AB118" i="5"/>
  <c r="AB117" i="5"/>
  <c r="AB115" i="5"/>
  <c r="AB114" i="5"/>
  <c r="AE114" i="5" s="1"/>
  <c r="AH114" i="5" s="1"/>
  <c r="AB113" i="5"/>
  <c r="AB112" i="5"/>
  <c r="AE112" i="5" s="1"/>
  <c r="AH112" i="5" s="1"/>
  <c r="AB111" i="5"/>
  <c r="AE111" i="5" s="1"/>
  <c r="L137" i="5"/>
  <c r="L141" i="5"/>
  <c r="L140" i="5"/>
  <c r="L138" i="5"/>
  <c r="L135" i="5"/>
  <c r="L133" i="5"/>
  <c r="L132" i="5"/>
  <c r="L131" i="5" s="1"/>
  <c r="L130" i="5"/>
  <c r="L129" i="5"/>
  <c r="L128" i="5"/>
  <c r="L127" i="5"/>
  <c r="L125" i="5"/>
  <c r="L124" i="5"/>
  <c r="L122" i="5"/>
  <c r="L121" i="5"/>
  <c r="L120" i="5"/>
  <c r="L119" i="5"/>
  <c r="L118" i="5"/>
  <c r="L117" i="5"/>
  <c r="L115" i="5"/>
  <c r="AH98" i="5"/>
  <c r="AH100" i="5"/>
  <c r="L187" i="8"/>
  <c r="L184" i="8" s="1"/>
  <c r="AE80" i="5"/>
  <c r="AH80" i="5" s="1"/>
  <c r="AE79" i="5"/>
  <c r="AB104" i="5"/>
  <c r="AE104" i="5" s="1"/>
  <c r="AH104" i="5" s="1"/>
  <c r="AB103" i="5"/>
  <c r="AB102" i="5"/>
  <c r="AE102" i="5" s="1"/>
  <c r="AH102" i="5" s="1"/>
  <c r="AB101" i="5"/>
  <c r="AH101" i="5" s="1"/>
  <c r="AB100" i="5"/>
  <c r="AB98" i="5"/>
  <c r="AE98" i="5" s="1"/>
  <c r="AB97" i="5"/>
  <c r="AE97" i="5" s="1"/>
  <c r="AH97" i="5" s="1"/>
  <c r="AB96" i="5"/>
  <c r="AE96" i="5" s="1"/>
  <c r="AH96" i="5" s="1"/>
  <c r="AB95" i="5"/>
  <c r="AE95" i="5" s="1"/>
  <c r="AH95" i="5" s="1"/>
  <c r="AB93" i="5"/>
  <c r="AB91" i="5"/>
  <c r="AH91" i="5" s="1"/>
  <c r="AB90" i="5"/>
  <c r="AE90" i="5" s="1"/>
  <c r="AH90" i="5" s="1"/>
  <c r="AB89" i="5"/>
  <c r="AH89" i="5" s="1"/>
  <c r="AB88" i="5"/>
  <c r="AE88" i="5" s="1"/>
  <c r="AH88" i="5" s="1"/>
  <c r="AB87" i="5"/>
  <c r="AH87" i="5" s="1"/>
  <c r="AB86" i="5"/>
  <c r="AB84" i="5"/>
  <c r="AE84" i="5" s="1"/>
  <c r="AH84" i="5" s="1"/>
  <c r="AB83" i="5"/>
  <c r="AE83" i="5" s="1"/>
  <c r="AH83" i="5" s="1"/>
  <c r="AB82" i="5"/>
  <c r="AE82" i="5" s="1"/>
  <c r="AH82" i="5" s="1"/>
  <c r="AB81" i="5"/>
  <c r="AE81" i="5" s="1"/>
  <c r="AH81" i="5" s="1"/>
  <c r="AB80" i="5"/>
  <c r="AB79" i="5"/>
  <c r="L103" i="5"/>
  <c r="L104" i="5"/>
  <c r="L102" i="5"/>
  <c r="L98" i="5"/>
  <c r="L97" i="5"/>
  <c r="L96" i="5"/>
  <c r="L95" i="5"/>
  <c r="L93" i="5"/>
  <c r="L92" i="5" s="1"/>
  <c r="L90" i="5"/>
  <c r="L88" i="5"/>
  <c r="L86" i="5"/>
  <c r="L84" i="5"/>
  <c r="L83" i="5"/>
  <c r="L82" i="5"/>
  <c r="L81" i="5"/>
  <c r="L80" i="5"/>
  <c r="L79" i="5"/>
  <c r="AE76" i="5"/>
  <c r="AH76" i="5" s="1"/>
  <c r="AE64" i="5"/>
  <c r="AH64" i="5" s="1"/>
  <c r="AB62" i="5"/>
  <c r="AE62" i="5" s="1"/>
  <c r="AB67" i="5"/>
  <c r="AE67" i="5" s="1"/>
  <c r="AB70" i="5"/>
  <c r="AE70" i="5" s="1"/>
  <c r="AH70" i="5" s="1"/>
  <c r="AB76" i="5"/>
  <c r="AB73" i="5"/>
  <c r="AE73" i="5" s="1"/>
  <c r="AH73" i="5" s="1"/>
  <c r="AB75" i="5"/>
  <c r="AE75" i="5" s="1"/>
  <c r="AB72" i="5"/>
  <c r="AE72" i="5" s="1"/>
  <c r="AH72" i="5" s="1"/>
  <c r="AB71" i="5"/>
  <c r="AE71" i="5" s="1"/>
  <c r="AH71" i="5" s="1"/>
  <c r="AB69" i="5"/>
  <c r="AE69" i="5" s="1"/>
  <c r="AB65" i="5"/>
  <c r="AE65" i="5" s="1"/>
  <c r="AH65" i="5" s="1"/>
  <c r="AB64" i="5"/>
  <c r="AB63" i="5"/>
  <c r="AE63" i="5" s="1"/>
  <c r="AH63" i="5" s="1"/>
  <c r="AB60" i="5"/>
  <c r="AE60" i="5" s="1"/>
  <c r="AH60" i="5" s="1"/>
  <c r="AB59" i="5"/>
  <c r="AE59" i="5" s="1"/>
  <c r="L65" i="5"/>
  <c r="L60" i="5"/>
  <c r="L76" i="5"/>
  <c r="L75" i="5"/>
  <c r="L73" i="5"/>
  <c r="L72" i="5"/>
  <c r="L71" i="5"/>
  <c r="L70" i="5"/>
  <c r="L69" i="5"/>
  <c r="L67" i="5"/>
  <c r="L66" i="5" s="1"/>
  <c r="L64" i="5"/>
  <c r="L63" i="5"/>
  <c r="L62" i="5"/>
  <c r="L59" i="5"/>
  <c r="L50" i="5"/>
  <c r="AN56" i="5"/>
  <c r="AN55" i="5"/>
  <c r="AK55" i="5"/>
  <c r="O177" i="8" s="1"/>
  <c r="O175" i="8" s="1"/>
  <c r="AB56" i="5"/>
  <c r="AE56" i="5" s="1"/>
  <c r="AE55" i="5" s="1"/>
  <c r="AB54" i="5"/>
  <c r="AE54" i="5" s="1"/>
  <c r="AH54" i="5" s="1"/>
  <c r="AB53" i="5"/>
  <c r="AE53" i="5" s="1"/>
  <c r="AH53" i="5" s="1"/>
  <c r="AB52" i="5"/>
  <c r="AE52" i="5" s="1"/>
  <c r="AH52" i="5" s="1"/>
  <c r="AB51" i="5"/>
  <c r="AE51" i="5" s="1"/>
  <c r="AH51" i="5" s="1"/>
  <c r="AB50" i="5"/>
  <c r="AH50" i="5" s="1"/>
  <c r="L56" i="5"/>
  <c r="L55" i="5" s="1"/>
  <c r="L54" i="5"/>
  <c r="L53" i="5"/>
  <c r="L52" i="5"/>
  <c r="L51" i="5"/>
  <c r="AH47" i="5"/>
  <c r="AE20" i="5"/>
  <c r="AH20" i="5" s="1"/>
  <c r="AB47" i="5"/>
  <c r="AB46" i="5"/>
  <c r="AB45" i="5"/>
  <c r="AE45" i="5" s="1"/>
  <c r="AH45" i="5" s="1"/>
  <c r="AB44" i="5"/>
  <c r="AE44" i="5" s="1"/>
  <c r="AH44" i="5" s="1"/>
  <c r="AB42" i="5"/>
  <c r="AE42" i="5" s="1"/>
  <c r="AH42" i="5" s="1"/>
  <c r="AB41" i="5"/>
  <c r="AE41" i="5" s="1"/>
  <c r="AB39" i="5"/>
  <c r="AE39" i="5" s="1"/>
  <c r="AH39" i="5" s="1"/>
  <c r="AB38" i="5"/>
  <c r="AE38" i="5" s="1"/>
  <c r="AH38" i="5" s="1"/>
  <c r="AB37" i="5"/>
  <c r="AE37" i="5" s="1"/>
  <c r="AB35" i="5"/>
  <c r="AE35" i="5" s="1"/>
  <c r="AH35" i="5" s="1"/>
  <c r="AB34" i="5"/>
  <c r="AH34" i="5" s="1"/>
  <c r="AB33" i="5"/>
  <c r="AE32" i="5" s="1"/>
  <c r="AB31" i="5"/>
  <c r="AE31" i="5" s="1"/>
  <c r="AE30" i="5" s="1"/>
  <c r="AB29" i="5"/>
  <c r="AH29" i="5" s="1"/>
  <c r="AB28" i="5"/>
  <c r="AE28" i="5" s="1"/>
  <c r="AH28" i="5" s="1"/>
  <c r="AB27" i="5"/>
  <c r="AE27" i="5" s="1"/>
  <c r="AE26" i="5" s="1"/>
  <c r="AB25" i="5"/>
  <c r="AE25" i="5" s="1"/>
  <c r="AH25" i="5" s="1"/>
  <c r="AB24" i="5"/>
  <c r="AE24" i="5" s="1"/>
  <c r="AB22" i="5"/>
  <c r="AE22" i="5" s="1"/>
  <c r="AH22" i="5" s="1"/>
  <c r="AB21" i="5"/>
  <c r="AE21" i="5" s="1"/>
  <c r="AH21" i="5" s="1"/>
  <c r="AB20" i="5"/>
  <c r="AB19" i="5"/>
  <c r="AE19" i="5" s="1"/>
  <c r="L46" i="5"/>
  <c r="L47" i="5"/>
  <c r="L45" i="5"/>
  <c r="L44" i="5"/>
  <c r="L43" i="5" s="1"/>
  <c r="L42" i="5"/>
  <c r="L41" i="5"/>
  <c r="L39" i="5"/>
  <c r="L38" i="5"/>
  <c r="L37" i="5"/>
  <c r="L35" i="5"/>
  <c r="L30" i="5"/>
  <c r="L28" i="5"/>
  <c r="L27" i="5"/>
  <c r="L25" i="5"/>
  <c r="L24" i="5"/>
  <c r="L22" i="5"/>
  <c r="L20" i="5"/>
  <c r="L19" i="5"/>
  <c r="L16" i="5"/>
  <c r="AN16" i="5"/>
  <c r="AB16" i="5"/>
  <c r="AE16" i="5" s="1"/>
  <c r="AH16" i="5" s="1"/>
  <c r="AB15" i="5"/>
  <c r="AE15" i="5" s="1"/>
  <c r="AH15" i="5" s="1"/>
  <c r="AB14" i="5"/>
  <c r="AE14" i="5" s="1"/>
  <c r="AH14" i="5" s="1"/>
  <c r="AB13" i="5"/>
  <c r="AE13" i="5" s="1"/>
  <c r="AB11" i="5"/>
  <c r="AE11" i="5" s="1"/>
  <c r="AH11" i="5" s="1"/>
  <c r="AB10" i="5"/>
  <c r="AE10" i="5" s="1"/>
  <c r="AB7" i="5"/>
  <c r="AE7" i="5" s="1"/>
  <c r="AH7" i="5" s="1"/>
  <c r="AB8" i="5"/>
  <c r="AE8" i="5" s="1"/>
  <c r="AH8" i="5" s="1"/>
  <c r="AB6" i="5"/>
  <c r="AE6" i="5" s="1"/>
  <c r="L11" i="5"/>
  <c r="L14" i="5"/>
  <c r="L15" i="5"/>
  <c r="L13" i="5"/>
  <c r="L12" i="5" s="1"/>
  <c r="L10" i="5"/>
  <c r="L7" i="5"/>
  <c r="L8" i="5"/>
  <c r="L6" i="5"/>
  <c r="O4" i="5"/>
  <c r="O3" i="5" s="1"/>
  <c r="AN171" i="4"/>
  <c r="AN170" i="4"/>
  <c r="AK171" i="4"/>
  <c r="AK170" i="4"/>
  <c r="AH171" i="4"/>
  <c r="W170" i="4"/>
  <c r="W171" i="4"/>
  <c r="AB171" i="4"/>
  <c r="AB170" i="4"/>
  <c r="AB169" i="4"/>
  <c r="AE169" i="4" s="1"/>
  <c r="L171" i="4"/>
  <c r="L170" i="4"/>
  <c r="L169" i="4"/>
  <c r="AN166" i="4"/>
  <c r="AN165" i="4"/>
  <c r="AN164" i="4"/>
  <c r="AN162" i="4"/>
  <c r="AN161" i="4"/>
  <c r="AN160" i="4"/>
  <c r="AN158" i="4"/>
  <c r="AN156" i="4"/>
  <c r="AN155" i="4"/>
  <c r="AN149" i="4"/>
  <c r="AN147" i="4"/>
  <c r="AN146" i="4"/>
  <c r="AN143" i="4"/>
  <c r="AN142" i="4"/>
  <c r="AN141" i="4"/>
  <c r="AN139" i="4"/>
  <c r="AN140" i="4"/>
  <c r="AK166" i="4"/>
  <c r="AK165" i="4"/>
  <c r="AK164" i="4"/>
  <c r="AK162" i="4"/>
  <c r="AK161" i="4"/>
  <c r="AK160" i="4"/>
  <c r="AK156" i="4"/>
  <c r="AK149" i="4"/>
  <c r="AK140" i="4"/>
  <c r="AK139" i="4"/>
  <c r="AH166" i="4"/>
  <c r="AH149" i="4"/>
  <c r="AH130" i="4"/>
  <c r="AH119" i="4"/>
  <c r="AH93" i="4"/>
  <c r="AH85" i="4"/>
  <c r="AH165" i="4"/>
  <c r="AH164" i="4"/>
  <c r="AH162" i="4"/>
  <c r="AH161" i="4"/>
  <c r="AH160" i="4"/>
  <c r="AE152" i="4"/>
  <c r="AH152" i="4" s="1"/>
  <c r="AE151" i="4"/>
  <c r="AH151" i="4" s="1"/>
  <c r="AH139" i="4"/>
  <c r="W161" i="4"/>
  <c r="W162" i="4"/>
  <c r="W164" i="4"/>
  <c r="W165" i="4"/>
  <c r="W166" i="4"/>
  <c r="W160" i="4"/>
  <c r="W155" i="4"/>
  <c r="W158" i="4"/>
  <c r="W149" i="4"/>
  <c r="W141" i="4"/>
  <c r="W138" i="4"/>
  <c r="AK138" i="4" s="1"/>
  <c r="AN138" i="4" s="1"/>
  <c r="W139" i="4"/>
  <c r="W142" i="4"/>
  <c r="W134" i="4"/>
  <c r="AK134" i="4" s="1"/>
  <c r="AN134" i="4" s="1"/>
  <c r="AB148" i="4"/>
  <c r="AE148" i="4" s="1"/>
  <c r="AH148" i="4" s="1"/>
  <c r="AB166" i="4"/>
  <c r="AB165" i="4"/>
  <c r="AB164" i="4"/>
  <c r="AB163" i="4"/>
  <c r="AE163" i="4" s="1"/>
  <c r="AH163" i="4" s="1"/>
  <c r="AB162" i="4"/>
  <c r="AB161" i="4"/>
  <c r="AB160" i="4"/>
  <c r="AB158" i="4"/>
  <c r="AB157" i="4"/>
  <c r="AH157" i="4" s="1"/>
  <c r="AB156" i="4"/>
  <c r="W156" i="4" s="1"/>
  <c r="AB155" i="4"/>
  <c r="AB154" i="4"/>
  <c r="W154" i="4" s="1"/>
  <c r="AK154" i="4" s="1"/>
  <c r="AB153" i="4"/>
  <c r="AB152" i="4"/>
  <c r="W152" i="4" s="1"/>
  <c r="AK152" i="4" s="1"/>
  <c r="AB151" i="4"/>
  <c r="W151" i="4" s="1"/>
  <c r="AK151" i="4" s="1"/>
  <c r="AN151" i="4" s="1"/>
  <c r="AB149" i="4"/>
  <c r="AB147" i="4"/>
  <c r="AE147" i="4" s="1"/>
  <c r="AH147" i="4" s="1"/>
  <c r="AB146" i="4"/>
  <c r="W146" i="4" s="1"/>
  <c r="AB145" i="4"/>
  <c r="AE145" i="4" s="1"/>
  <c r="AH145" i="4" s="1"/>
  <c r="AB143" i="4"/>
  <c r="W143" i="4" s="1"/>
  <c r="AB142" i="4"/>
  <c r="AH142" i="4" s="1"/>
  <c r="AB141" i="4"/>
  <c r="AE141" i="4" s="1"/>
  <c r="AB139" i="4"/>
  <c r="AB138" i="4"/>
  <c r="AE138" i="4" s="1"/>
  <c r="AE136" i="4" s="1"/>
  <c r="L154" i="8" s="1"/>
  <c r="AB137" i="4"/>
  <c r="AE137" i="4" s="1"/>
  <c r="AH137" i="4" s="1"/>
  <c r="L163" i="4"/>
  <c r="L166" i="4"/>
  <c r="L165" i="4"/>
  <c r="L157" i="4"/>
  <c r="L156" i="4"/>
  <c r="L154" i="4"/>
  <c r="L152" i="4"/>
  <c r="L148" i="4"/>
  <c r="L145" i="4"/>
  <c r="L138" i="4"/>
  <c r="L137" i="4"/>
  <c r="L134" i="4"/>
  <c r="K135" i="4"/>
  <c r="AN127" i="4"/>
  <c r="AN100" i="4"/>
  <c r="AN133" i="4"/>
  <c r="AN132" i="4"/>
  <c r="AN130" i="4"/>
  <c r="AN126" i="4"/>
  <c r="AN124" i="4"/>
  <c r="AN122" i="4"/>
  <c r="AN119" i="4"/>
  <c r="AN111" i="4"/>
  <c r="AN104" i="4"/>
  <c r="AN103" i="4"/>
  <c r="AN102" i="4"/>
  <c r="AN101" i="4"/>
  <c r="AM99" i="4"/>
  <c r="AK124" i="4"/>
  <c r="AK122" i="4"/>
  <c r="AK119" i="4"/>
  <c r="AK111" i="4"/>
  <c r="AK100" i="4"/>
  <c r="AE125" i="4"/>
  <c r="AH125" i="4" s="1"/>
  <c r="AH124" i="4"/>
  <c r="AH123" i="4"/>
  <c r="AE117" i="4"/>
  <c r="AH117" i="4" s="1"/>
  <c r="AE115" i="4"/>
  <c r="AH115" i="4" s="1"/>
  <c r="AE112" i="4"/>
  <c r="AH112" i="4" s="1"/>
  <c r="AE106" i="4"/>
  <c r="AH106" i="4" s="1"/>
  <c r="AH103" i="4"/>
  <c r="AH102" i="4"/>
  <c r="W130" i="4"/>
  <c r="W123" i="4"/>
  <c r="AN123" i="4" s="1"/>
  <c r="W124" i="4"/>
  <c r="W125" i="4"/>
  <c r="AN125" i="4" s="1"/>
  <c r="W122" i="4"/>
  <c r="W115" i="4"/>
  <c r="AK115" i="4" s="1"/>
  <c r="AN115" i="4" s="1"/>
  <c r="W117" i="4"/>
  <c r="AK117" i="4" s="1"/>
  <c r="AN117" i="4" s="1"/>
  <c r="W119" i="4"/>
  <c r="W111" i="4"/>
  <c r="W112" i="4"/>
  <c r="AK112" i="4" s="1"/>
  <c r="AN112" i="4" s="1"/>
  <c r="W101" i="4"/>
  <c r="W85" i="4"/>
  <c r="AB124" i="4"/>
  <c r="AB133" i="4"/>
  <c r="AE133" i="4" s="1"/>
  <c r="AH133" i="4" s="1"/>
  <c r="AB134" i="4"/>
  <c r="AE134" i="4" s="1"/>
  <c r="AH134" i="4" s="1"/>
  <c r="AB132" i="4"/>
  <c r="W132" i="4" s="1"/>
  <c r="AB131" i="4"/>
  <c r="AE131" i="4" s="1"/>
  <c r="AH131" i="4" s="1"/>
  <c r="AB130" i="4"/>
  <c r="AB129" i="4"/>
  <c r="AB128" i="4"/>
  <c r="AE128" i="4" s="1"/>
  <c r="AH128" i="4" s="1"/>
  <c r="AB127" i="4"/>
  <c r="AE127" i="4" s="1"/>
  <c r="AB126" i="4"/>
  <c r="W126" i="4" s="1"/>
  <c r="AB125" i="4"/>
  <c r="AB123" i="4"/>
  <c r="AB122" i="4"/>
  <c r="AB120" i="4"/>
  <c r="W120" i="4" s="1"/>
  <c r="AK120" i="4" s="1"/>
  <c r="AN120" i="4" s="1"/>
  <c r="AB119" i="4"/>
  <c r="AB118" i="4"/>
  <c r="AH118" i="4" s="1"/>
  <c r="AB117" i="4"/>
  <c r="AB116" i="4"/>
  <c r="AE116" i="4" s="1"/>
  <c r="AH116" i="4" s="1"/>
  <c r="AB115" i="4"/>
  <c r="AB114" i="4"/>
  <c r="W114" i="4" s="1"/>
  <c r="AK114" i="4" s="1"/>
  <c r="AN114" i="4" s="1"/>
  <c r="AB113" i="4"/>
  <c r="AE113" i="4" s="1"/>
  <c r="AH113" i="4" s="1"/>
  <c r="AB112" i="4"/>
  <c r="AB111" i="4"/>
  <c r="AE111" i="4" s="1"/>
  <c r="AH111" i="4" s="1"/>
  <c r="AB110" i="4"/>
  <c r="AE110" i="4" s="1"/>
  <c r="AB108" i="4"/>
  <c r="AE108" i="4" s="1"/>
  <c r="AH108" i="4" s="1"/>
  <c r="AB107" i="4"/>
  <c r="AE107" i="4" s="1"/>
  <c r="AB106" i="4"/>
  <c r="W106" i="4" s="1"/>
  <c r="AK106" i="4" s="1"/>
  <c r="AB104" i="4"/>
  <c r="W104" i="4" s="1"/>
  <c r="AB103" i="4"/>
  <c r="W103" i="4" s="1"/>
  <c r="AB102" i="4"/>
  <c r="W102" i="4" s="1"/>
  <c r="AB101" i="4"/>
  <c r="AB99" i="4"/>
  <c r="AE99" i="4" s="1"/>
  <c r="L99" i="4"/>
  <c r="L114" i="4"/>
  <c r="L131" i="4"/>
  <c r="L129" i="4"/>
  <c r="L128" i="4"/>
  <c r="L126" i="4"/>
  <c r="L120" i="4"/>
  <c r="L117" i="4"/>
  <c r="L116" i="4"/>
  <c r="L115" i="4"/>
  <c r="L113" i="4"/>
  <c r="L112" i="4"/>
  <c r="L111" i="4"/>
  <c r="L110" i="4"/>
  <c r="L108" i="4"/>
  <c r="L107" i="4"/>
  <c r="L106" i="4"/>
  <c r="L105" i="4" s="1"/>
  <c r="L96" i="4"/>
  <c r="L98" i="4"/>
  <c r="AN93" i="4"/>
  <c r="AN85" i="4"/>
  <c r="AK94" i="4"/>
  <c r="AN94" i="4" s="1"/>
  <c r="AK93" i="4"/>
  <c r="AK85" i="4"/>
  <c r="AE94" i="4"/>
  <c r="AH94" i="4" s="1"/>
  <c r="AE87" i="4"/>
  <c r="AH87" i="4" s="1"/>
  <c r="W94" i="4"/>
  <c r="W93" i="4"/>
  <c r="W87" i="4"/>
  <c r="AK87" i="4" s="1"/>
  <c r="AN87" i="4" s="1"/>
  <c r="W89" i="4"/>
  <c r="AK89" i="4" s="1"/>
  <c r="AN89" i="4" s="1"/>
  <c r="AB96" i="4"/>
  <c r="W96" i="4" s="1"/>
  <c r="AK96" i="4" s="1"/>
  <c r="AB94" i="4"/>
  <c r="AB93" i="4"/>
  <c r="AB92" i="4"/>
  <c r="W92" i="4" s="1"/>
  <c r="AK92" i="4" s="1"/>
  <c r="AB90" i="4"/>
  <c r="AE90" i="4" s="1"/>
  <c r="AH90" i="4" s="1"/>
  <c r="AB89" i="4"/>
  <c r="AE89" i="4" s="1"/>
  <c r="AH89" i="4" s="1"/>
  <c r="AB88" i="4"/>
  <c r="AE88" i="4" s="1"/>
  <c r="AH88" i="4" s="1"/>
  <c r="AB87" i="4"/>
  <c r="AB86" i="4"/>
  <c r="W86" i="4" s="1"/>
  <c r="AK86" i="4" s="1"/>
  <c r="AN86" i="4" s="1"/>
  <c r="AB85" i="4"/>
  <c r="AB84" i="4"/>
  <c r="AE84" i="4" s="1"/>
  <c r="L91" i="4"/>
  <c r="L94" i="4"/>
  <c r="L92" i="4"/>
  <c r="L90" i="4"/>
  <c r="L89" i="4"/>
  <c r="L88" i="4"/>
  <c r="L87" i="4"/>
  <c r="L86" i="4"/>
  <c r="L84" i="4"/>
  <c r="L95" i="4"/>
  <c r="L66" i="4"/>
  <c r="L59" i="4"/>
  <c r="L80" i="4"/>
  <c r="L78" i="4"/>
  <c r="L77" i="4" s="1"/>
  <c r="L75" i="4"/>
  <c r="L73" i="4"/>
  <c r="L72" i="4"/>
  <c r="L71" i="4"/>
  <c r="L70" i="4"/>
  <c r="L69" i="4" s="1"/>
  <c r="L68" i="4"/>
  <c r="L67" i="4"/>
  <c r="L63" i="4"/>
  <c r="L62" i="4"/>
  <c r="L61" i="4" s="1"/>
  <c r="L79" i="4"/>
  <c r="K60" i="4"/>
  <c r="W70" i="4"/>
  <c r="AK70" i="4" s="1"/>
  <c r="W72" i="4"/>
  <c r="W76" i="4"/>
  <c r="AN76" i="4" s="1"/>
  <c r="W66" i="4"/>
  <c r="AK66" i="4" s="1"/>
  <c r="AN66" i="4" s="1"/>
  <c r="W68" i="4"/>
  <c r="AK68" i="4" s="1"/>
  <c r="AN68" i="4" s="1"/>
  <c r="AB81" i="4"/>
  <c r="W81" i="4" s="1"/>
  <c r="AB80" i="4"/>
  <c r="W80" i="4" s="1"/>
  <c r="AK80" i="4" s="1"/>
  <c r="AB78" i="4"/>
  <c r="AE78" i="4" s="1"/>
  <c r="AH78" i="4" s="1"/>
  <c r="AH77" i="4" s="1"/>
  <c r="AB76" i="4"/>
  <c r="AE76" i="4" s="1"/>
  <c r="AH76" i="4" s="1"/>
  <c r="AB75" i="4"/>
  <c r="AE75" i="4" s="1"/>
  <c r="AH75" i="4" s="1"/>
  <c r="AB74" i="4"/>
  <c r="AE74" i="4" s="1"/>
  <c r="AB72" i="4"/>
  <c r="AE72" i="4" s="1"/>
  <c r="AH72" i="4" s="1"/>
  <c r="AB71" i="4"/>
  <c r="W71" i="4" s="1"/>
  <c r="AB70" i="4"/>
  <c r="AE70" i="4" s="1"/>
  <c r="AB68" i="4"/>
  <c r="AE68" i="4" s="1"/>
  <c r="AH68" i="4" s="1"/>
  <c r="AB67" i="4"/>
  <c r="W67" i="4" s="1"/>
  <c r="AK67" i="4" s="1"/>
  <c r="AN67" i="4" s="1"/>
  <c r="AB66" i="4"/>
  <c r="AE66" i="4" s="1"/>
  <c r="AH66" i="4" s="1"/>
  <c r="AB65" i="4"/>
  <c r="AE65" i="4" s="1"/>
  <c r="AH65" i="4" s="1"/>
  <c r="AB63" i="4"/>
  <c r="W63" i="4" s="1"/>
  <c r="AK63" i="4" s="1"/>
  <c r="AN63" i="4" s="1"/>
  <c r="AB62" i="4"/>
  <c r="W62" i="4" s="1"/>
  <c r="AK62" i="4" s="1"/>
  <c r="AB59" i="4"/>
  <c r="AH81" i="4"/>
  <c r="AE67" i="4"/>
  <c r="AH67" i="4" s="1"/>
  <c r="AE63" i="4"/>
  <c r="AH63" i="4" s="1"/>
  <c r="AN74" i="4"/>
  <c r="AK72" i="4"/>
  <c r="AN72" i="4" s="1"/>
  <c r="AN81" i="4"/>
  <c r="AN59" i="4"/>
  <c r="AN56" i="4"/>
  <c r="AN45" i="4"/>
  <c r="AK59" i="4"/>
  <c r="AK45" i="4"/>
  <c r="AH45" i="4"/>
  <c r="AE55" i="4"/>
  <c r="AH55" i="4" s="1"/>
  <c r="AE58" i="4"/>
  <c r="AH58" i="4" s="1"/>
  <c r="AE52" i="4"/>
  <c r="AH52" i="4" s="1"/>
  <c r="AE48" i="4"/>
  <c r="AH48" i="4" s="1"/>
  <c r="AE57" i="4"/>
  <c r="W59" i="4"/>
  <c r="W56" i="4"/>
  <c r="W54" i="4"/>
  <c r="AK54" i="4" s="1"/>
  <c r="AK52" i="4"/>
  <c r="AN52" i="4" s="1"/>
  <c r="W48" i="4"/>
  <c r="AK48" i="4" s="1"/>
  <c r="AN48" i="4" s="1"/>
  <c r="W47" i="4"/>
  <c r="AK47" i="4" s="1"/>
  <c r="AN47" i="4" s="1"/>
  <c r="W41" i="4"/>
  <c r="AK41" i="4" s="1"/>
  <c r="AN41" i="4" s="1"/>
  <c r="W42" i="4"/>
  <c r="AK42" i="4" s="1"/>
  <c r="AN42" i="4" s="1"/>
  <c r="W44" i="4"/>
  <c r="AK44" i="4" s="1"/>
  <c r="AN44" i="4" s="1"/>
  <c r="W45" i="4"/>
  <c r="W39" i="4"/>
  <c r="AK39" i="4" s="1"/>
  <c r="AB43" i="4"/>
  <c r="W43" i="4" s="1"/>
  <c r="AK43" i="4" s="1"/>
  <c r="AN43" i="4" s="1"/>
  <c r="AB58" i="4"/>
  <c r="W58" i="4" s="1"/>
  <c r="AK58" i="4" s="1"/>
  <c r="AB56" i="4"/>
  <c r="AE56" i="4" s="1"/>
  <c r="AH56" i="4" s="1"/>
  <c r="AB55" i="4"/>
  <c r="W55" i="4" s="1"/>
  <c r="AK55" i="4" s="1"/>
  <c r="AN55" i="4" s="1"/>
  <c r="AB54" i="4"/>
  <c r="AE54" i="4" s="1"/>
  <c r="AB52" i="4"/>
  <c r="AB51" i="4"/>
  <c r="AE51" i="4" s="1"/>
  <c r="AB49" i="4"/>
  <c r="W49" i="4" s="1"/>
  <c r="AK49" i="4" s="1"/>
  <c r="AN49" i="4" s="1"/>
  <c r="AB48" i="4"/>
  <c r="AB47" i="4"/>
  <c r="AE47" i="4" s="1"/>
  <c r="AB45" i="4"/>
  <c r="AB44" i="4"/>
  <c r="AE44" i="4" s="1"/>
  <c r="AH44" i="4" s="1"/>
  <c r="AB42" i="4"/>
  <c r="AE42" i="4" s="1"/>
  <c r="AH42" i="4" s="1"/>
  <c r="AB41" i="4"/>
  <c r="AE41" i="4" s="1"/>
  <c r="AH41" i="4" s="1"/>
  <c r="AB40" i="4"/>
  <c r="W40" i="4" s="1"/>
  <c r="AK40" i="4" s="1"/>
  <c r="AN40" i="4" s="1"/>
  <c r="AB39" i="4"/>
  <c r="AE39" i="4" s="1"/>
  <c r="L58" i="4"/>
  <c r="L55" i="4"/>
  <c r="L52" i="4"/>
  <c r="L53" i="4"/>
  <c r="L54" i="4"/>
  <c r="L51" i="4"/>
  <c r="L50" i="4" s="1"/>
  <c r="L48" i="4"/>
  <c r="L47" i="4"/>
  <c r="L46" i="4" s="1"/>
  <c r="L44" i="4"/>
  <c r="L43" i="4"/>
  <c r="L42" i="4"/>
  <c r="L41" i="4"/>
  <c r="L40" i="4"/>
  <c r="L39" i="4"/>
  <c r="AN32" i="4"/>
  <c r="AK32" i="4"/>
  <c r="AN23" i="4"/>
  <c r="AK25" i="4"/>
  <c r="AN25" i="4" s="1"/>
  <c r="AH32" i="4"/>
  <c r="AE36" i="4"/>
  <c r="AH36" i="4" s="1"/>
  <c r="AH31" i="4"/>
  <c r="AE30" i="4"/>
  <c r="AH30" i="4" s="1"/>
  <c r="W34" i="4"/>
  <c r="AK34" i="4" s="1"/>
  <c r="W29" i="4"/>
  <c r="AK29" i="4" s="1"/>
  <c r="AN29" i="4" s="1"/>
  <c r="W31" i="4"/>
  <c r="AN31" i="4" s="1"/>
  <c r="W32" i="4"/>
  <c r="AB36" i="4"/>
  <c r="W36" i="4" s="1"/>
  <c r="AK36" i="4" s="1"/>
  <c r="AN36" i="4" s="1"/>
  <c r="AB35" i="4"/>
  <c r="AE35" i="4" s="1"/>
  <c r="AH35" i="4" s="1"/>
  <c r="AB34" i="4"/>
  <c r="AE34" i="4" s="1"/>
  <c r="AB32" i="4"/>
  <c r="AB31" i="4"/>
  <c r="AB30" i="4"/>
  <c r="W30" i="4" s="1"/>
  <c r="AK30" i="4" s="1"/>
  <c r="AN30" i="4" s="1"/>
  <c r="AB29" i="4"/>
  <c r="AE29" i="4" s="1"/>
  <c r="AH29" i="4" s="1"/>
  <c r="AB28" i="4"/>
  <c r="AB23" i="4"/>
  <c r="W23" i="4" s="1"/>
  <c r="AB25" i="4"/>
  <c r="AE25" i="4" s="1"/>
  <c r="AH25" i="4" s="1"/>
  <c r="AB24" i="4"/>
  <c r="AE24" i="4" s="1"/>
  <c r="AH24" i="4" s="1"/>
  <c r="L34" i="4"/>
  <c r="L36" i="4"/>
  <c r="L35" i="4"/>
  <c r="L28" i="4"/>
  <c r="K28" i="4"/>
  <c r="L32" i="4"/>
  <c r="L27" i="4"/>
  <c r="L30" i="4"/>
  <c r="L29" i="4"/>
  <c r="L25" i="4"/>
  <c r="L24" i="4"/>
  <c r="L22" i="4"/>
  <c r="AN8" i="4"/>
  <c r="AN9" i="4"/>
  <c r="AN10" i="4"/>
  <c r="AN11" i="4"/>
  <c r="AN21" i="4"/>
  <c r="AH21" i="4"/>
  <c r="AE7" i="4"/>
  <c r="AH7" i="4" s="1"/>
  <c r="AE13" i="4"/>
  <c r="AH13" i="4" s="1"/>
  <c r="AH14" i="4"/>
  <c r="AE16" i="4"/>
  <c r="AH16" i="4" s="1"/>
  <c r="AE6" i="4"/>
  <c r="AH6" i="4" s="1"/>
  <c r="AD6" i="4"/>
  <c r="AD4" i="4"/>
  <c r="W13" i="4"/>
  <c r="AK13" i="4" s="1"/>
  <c r="AN13" i="4" s="1"/>
  <c r="W14" i="4"/>
  <c r="AK14" i="4" s="1"/>
  <c r="AN14" i="4" s="1"/>
  <c r="W16" i="4"/>
  <c r="AK16" i="4" s="1"/>
  <c r="AN16" i="4" s="1"/>
  <c r="W17" i="4"/>
  <c r="AK17" i="4" s="1"/>
  <c r="AN17" i="4" s="1"/>
  <c r="W21" i="4"/>
  <c r="W22" i="4"/>
  <c r="W25" i="4"/>
  <c r="L7" i="4"/>
  <c r="L8" i="4"/>
  <c r="L9" i="4"/>
  <c r="L10" i="4"/>
  <c r="L11" i="4"/>
  <c r="L12" i="4"/>
  <c r="L13" i="4"/>
  <c r="L14" i="4"/>
  <c r="L15" i="4"/>
  <c r="L16" i="4"/>
  <c r="L17" i="4"/>
  <c r="L18" i="4"/>
  <c r="L19" i="4"/>
  <c r="L20" i="4"/>
  <c r="L6" i="4"/>
  <c r="K6" i="4"/>
  <c r="H4" i="4"/>
  <c r="AB7" i="4"/>
  <c r="W7" i="4" s="1"/>
  <c r="AK7" i="4" s="1"/>
  <c r="AB8" i="4"/>
  <c r="AE8" i="4" s="1"/>
  <c r="AH8" i="4" s="1"/>
  <c r="AB9" i="4"/>
  <c r="W9" i="4" s="1"/>
  <c r="AB10" i="4"/>
  <c r="W10" i="4" s="1"/>
  <c r="AB11" i="4"/>
  <c r="AB12" i="4"/>
  <c r="AE12" i="4" s="1"/>
  <c r="AH12" i="4" s="1"/>
  <c r="AB13" i="4"/>
  <c r="AB14" i="4"/>
  <c r="AB15" i="4"/>
  <c r="AE15" i="4" s="1"/>
  <c r="AH15" i="4" s="1"/>
  <c r="AB16" i="4"/>
  <c r="AB17" i="4"/>
  <c r="AE17" i="4" s="1"/>
  <c r="AH17" i="4" s="1"/>
  <c r="AB18" i="4"/>
  <c r="AE18" i="4" s="1"/>
  <c r="AH18" i="4" s="1"/>
  <c r="AB19" i="4"/>
  <c r="AE19" i="4" s="1"/>
  <c r="AH19" i="4" s="1"/>
  <c r="AB20" i="4"/>
  <c r="W20" i="4" s="1"/>
  <c r="AK20" i="4" s="1"/>
  <c r="AN20" i="4" s="1"/>
  <c r="AB21" i="4"/>
  <c r="AB6" i="4"/>
  <c r="W6" i="4" s="1"/>
  <c r="AK6" i="4" s="1"/>
  <c r="AN6" i="4" s="1"/>
  <c r="O5" i="4"/>
  <c r="O4" i="4"/>
  <c r="O3" i="4"/>
  <c r="W133" i="4" l="1"/>
  <c r="AE132" i="4"/>
  <c r="AH132" i="4" s="1"/>
  <c r="AE129" i="4"/>
  <c r="AH129" i="4" s="1"/>
  <c r="W128" i="4"/>
  <c r="AK128" i="4" s="1"/>
  <c r="AN128" i="4" s="1"/>
  <c r="AH127" i="4"/>
  <c r="AE121" i="4"/>
  <c r="W127" i="4"/>
  <c r="AE126" i="4"/>
  <c r="AH126" i="4" s="1"/>
  <c r="AH122" i="4"/>
  <c r="L121" i="4"/>
  <c r="W99" i="4"/>
  <c r="AK99" i="4" s="1"/>
  <c r="AH99" i="4"/>
  <c r="AH98" i="4" s="1"/>
  <c r="AE98" i="4"/>
  <c r="AN99" i="4"/>
  <c r="AN98" i="4" s="1"/>
  <c r="AK98" i="4"/>
  <c r="AH121" i="4"/>
  <c r="W131" i="4"/>
  <c r="AK131" i="4" s="1"/>
  <c r="AE104" i="4"/>
  <c r="AH101" i="4"/>
  <c r="AN152" i="4"/>
  <c r="AE150" i="4"/>
  <c r="W147" i="4"/>
  <c r="AE62" i="4"/>
  <c r="AE61" i="4" s="1"/>
  <c r="AK50" i="4"/>
  <c r="AE50" i="4"/>
  <c r="AH51" i="4"/>
  <c r="AN51" i="4"/>
  <c r="AN50" i="4" s="1"/>
  <c r="AH50" i="4"/>
  <c r="AE49" i="4"/>
  <c r="AH49" i="4" s="1"/>
  <c r="AN46" i="4"/>
  <c r="AE46" i="4"/>
  <c r="AK46" i="4"/>
  <c r="AK37" i="4" s="1"/>
  <c r="AH46" i="4"/>
  <c r="AH47" i="4"/>
  <c r="W137" i="4"/>
  <c r="AK137" i="4" s="1"/>
  <c r="L136" i="4"/>
  <c r="AH138" i="4"/>
  <c r="AH136" i="4" s="1"/>
  <c r="AN54" i="4"/>
  <c r="AN53" i="4" s="1"/>
  <c r="AE53" i="4"/>
  <c r="AH54" i="4"/>
  <c r="AH53" i="4" s="1"/>
  <c r="AE40" i="5"/>
  <c r="L23" i="5"/>
  <c r="AH41" i="5"/>
  <c r="AH40" i="5" s="1"/>
  <c r="L32" i="5"/>
  <c r="AE5" i="5"/>
  <c r="AE96" i="4"/>
  <c r="AE18" i="5"/>
  <c r="L9" i="5"/>
  <c r="W90" i="4"/>
  <c r="AN90" i="4" s="1"/>
  <c r="L49" i="5"/>
  <c r="L48" i="5" s="1"/>
  <c r="W75" i="4"/>
  <c r="AK75" i="4" s="1"/>
  <c r="W74" i="4"/>
  <c r="AE73" i="4"/>
  <c r="AE71" i="4"/>
  <c r="AH71" i="4" s="1"/>
  <c r="AE69" i="4"/>
  <c r="AE60" i="4" s="1"/>
  <c r="AK69" i="4"/>
  <c r="AK60" i="4" s="1"/>
  <c r="AN70" i="4"/>
  <c r="L64" i="4"/>
  <c r="L60" i="4" s="1"/>
  <c r="AE64" i="4"/>
  <c r="AE143" i="4"/>
  <c r="AH143" i="4" s="1"/>
  <c r="AH141" i="4"/>
  <c r="W108" i="4"/>
  <c r="AK108" i="4" s="1"/>
  <c r="AN108" i="4" s="1"/>
  <c r="AH107" i="4"/>
  <c r="AE105" i="4"/>
  <c r="W107" i="4"/>
  <c r="AK107" i="4" s="1"/>
  <c r="AN107" i="4" s="1"/>
  <c r="AH105" i="4"/>
  <c r="AN106" i="4"/>
  <c r="W78" i="4"/>
  <c r="AK78" i="4" s="1"/>
  <c r="AK77" i="4" s="1"/>
  <c r="AE77" i="4"/>
  <c r="AE86" i="5"/>
  <c r="AH86" i="5" s="1"/>
  <c r="AH85" i="5" s="1"/>
  <c r="W86" i="5"/>
  <c r="AE78" i="5"/>
  <c r="L74" i="5"/>
  <c r="L68" i="5"/>
  <c r="L3" i="6"/>
  <c r="AE66" i="5"/>
  <c r="AH67" i="5"/>
  <c r="AH66" i="5" s="1"/>
  <c r="AH31" i="5"/>
  <c r="AH30" i="5" s="1"/>
  <c r="AH79" i="5"/>
  <c r="L5" i="5"/>
  <c r="L4" i="5" s="1"/>
  <c r="L18" i="5"/>
  <c r="L40" i="5"/>
  <c r="AH19" i="5"/>
  <c r="AH18" i="5" s="1"/>
  <c r="L58" i="5"/>
  <c r="AH93" i="5"/>
  <c r="AH92" i="5" s="1"/>
  <c r="AH62" i="5"/>
  <c r="AH61" i="5" s="1"/>
  <c r="AE61" i="5"/>
  <c r="AH13" i="5"/>
  <c r="AE12" i="5"/>
  <c r="AE9" i="5"/>
  <c r="AH10" i="5"/>
  <c r="AH9" i="5" s="1"/>
  <c r="AH6" i="5"/>
  <c r="AH5" i="5" s="1"/>
  <c r="AH24" i="5"/>
  <c r="AH23" i="5" s="1"/>
  <c r="AE23" i="5"/>
  <c r="AH49" i="5"/>
  <c r="AH78" i="5"/>
  <c r="AE68" i="5"/>
  <c r="AH69" i="5"/>
  <c r="AH68" i="5" s="1"/>
  <c r="AH33" i="5"/>
  <c r="AH32" i="5" s="1"/>
  <c r="L134" i="5"/>
  <c r="AH94" i="5"/>
  <c r="AH59" i="5"/>
  <c r="AH58" i="5" s="1"/>
  <c r="AE58" i="5"/>
  <c r="AE132" i="5"/>
  <c r="AH132" i="5" s="1"/>
  <c r="AH131" i="5" s="1"/>
  <c r="AE74" i="5"/>
  <c r="AH75" i="5"/>
  <c r="AH74" i="5" s="1"/>
  <c r="AH27" i="5"/>
  <c r="AH26" i="5" s="1"/>
  <c r="L26" i="5"/>
  <c r="L36" i="5"/>
  <c r="L94" i="5"/>
  <c r="AH37" i="5"/>
  <c r="AH36" i="5" s="1"/>
  <c r="AE36" i="5"/>
  <c r="L61" i="5"/>
  <c r="AE94" i="5"/>
  <c r="L78" i="5"/>
  <c r="AE103" i="5"/>
  <c r="AH103" i="5" s="1"/>
  <c r="L139" i="5"/>
  <c r="L85" i="5"/>
  <c r="L77" i="5" s="1"/>
  <c r="AE139" i="5"/>
  <c r="L197" i="8" s="1"/>
  <c r="L191" i="8" s="1"/>
  <c r="AH140" i="5"/>
  <c r="AH139" i="5" s="1"/>
  <c r="AH134" i="5"/>
  <c r="AE134" i="5"/>
  <c r="AE129" i="5"/>
  <c r="AH129" i="5" s="1"/>
  <c r="AE127" i="5"/>
  <c r="AH127" i="5" s="1"/>
  <c r="L123" i="5"/>
  <c r="AH124" i="5"/>
  <c r="AE121" i="5"/>
  <c r="AH121" i="5" s="1"/>
  <c r="AE120" i="5"/>
  <c r="AH120" i="5" s="1"/>
  <c r="L116" i="5"/>
  <c r="AE118" i="5"/>
  <c r="AH118" i="5" s="1"/>
  <c r="AE117" i="5"/>
  <c r="L110" i="5"/>
  <c r="AH113" i="5"/>
  <c r="AE110" i="5"/>
  <c r="AH111" i="5"/>
  <c r="L168" i="4"/>
  <c r="L167" i="4" s="1"/>
  <c r="AE168" i="4"/>
  <c r="AE167" i="4" s="1"/>
  <c r="AH169" i="4"/>
  <c r="AH168" i="4" s="1"/>
  <c r="W169" i="4"/>
  <c r="AK169" i="4" s="1"/>
  <c r="W163" i="4"/>
  <c r="AK163" i="4" s="1"/>
  <c r="AN163" i="4" s="1"/>
  <c r="AN159" i="4" s="1"/>
  <c r="L159" i="4"/>
  <c r="AH159" i="4"/>
  <c r="AE159" i="4"/>
  <c r="W157" i="4"/>
  <c r="AK157" i="4" s="1"/>
  <c r="AN157" i="4" s="1"/>
  <c r="AE156" i="4"/>
  <c r="AH156" i="4" s="1"/>
  <c r="L150" i="4"/>
  <c r="AN154" i="4"/>
  <c r="AE154" i="4"/>
  <c r="AH154" i="4" s="1"/>
  <c r="AH150" i="4" s="1"/>
  <c r="W88" i="4"/>
  <c r="AK88" i="4" s="1"/>
  <c r="AN88" i="4" s="1"/>
  <c r="W35" i="4"/>
  <c r="AK35" i="4" s="1"/>
  <c r="AN35" i="4" s="1"/>
  <c r="AE33" i="4"/>
  <c r="AH34" i="4"/>
  <c r="AH33" i="4" s="1"/>
  <c r="AN34" i="4"/>
  <c r="AN33" i="4" s="1"/>
  <c r="AK33" i="4"/>
  <c r="L33" i="4"/>
  <c r="L26" i="4" s="1"/>
  <c r="AH28" i="4"/>
  <c r="AH27" i="4" s="1"/>
  <c r="AE27" i="4"/>
  <c r="AE20" i="4"/>
  <c r="AH20" i="4" s="1"/>
  <c r="W19" i="4"/>
  <c r="AK19" i="4" s="1"/>
  <c r="AN19" i="4" s="1"/>
  <c r="W18" i="4"/>
  <c r="AK18" i="4" s="1"/>
  <c r="AN18" i="4" s="1"/>
  <c r="W15" i="4"/>
  <c r="AK15" i="4" s="1"/>
  <c r="AN15" i="4" s="1"/>
  <c r="W12" i="4"/>
  <c r="AK12" i="4" s="1"/>
  <c r="AN12" i="4" s="1"/>
  <c r="W11" i="4"/>
  <c r="AE10" i="4"/>
  <c r="AH10" i="4" s="1"/>
  <c r="AE9" i="4"/>
  <c r="AH9" i="4" s="1"/>
  <c r="W8" i="4"/>
  <c r="AN7" i="4"/>
  <c r="AN5" i="4"/>
  <c r="AH5" i="4"/>
  <c r="AH4" i="4" s="1"/>
  <c r="I4" i="4" s="1"/>
  <c r="AE5" i="4"/>
  <c r="AE3" i="6"/>
  <c r="L198" i="8" s="1"/>
  <c r="M9" i="7" s="1"/>
  <c r="AH99" i="5"/>
  <c r="L99" i="5"/>
  <c r="AE43" i="4"/>
  <c r="AH43" i="4" s="1"/>
  <c r="AE40" i="4"/>
  <c r="AH40" i="4" s="1"/>
  <c r="AN39" i="4"/>
  <c r="AN38" i="4" s="1"/>
  <c r="AK38" i="4"/>
  <c r="AE38" i="4"/>
  <c r="L38" i="4"/>
  <c r="AH39" i="4"/>
  <c r="AH38" i="4" s="1"/>
  <c r="AE46" i="5"/>
  <c r="AH46" i="5" s="1"/>
  <c r="AH43" i="5" s="1"/>
  <c r="AE120" i="4"/>
  <c r="AH120" i="4" s="1"/>
  <c r="W118" i="4"/>
  <c r="AK118" i="4" s="1"/>
  <c r="AN118" i="4" s="1"/>
  <c r="W116" i="4"/>
  <c r="AK116" i="4" s="1"/>
  <c r="AN116" i="4" s="1"/>
  <c r="AE114" i="4"/>
  <c r="AH114" i="4" s="1"/>
  <c r="W113" i="4"/>
  <c r="AK113" i="4" s="1"/>
  <c r="AN113" i="4" s="1"/>
  <c r="AN109" i="4" s="1"/>
  <c r="W110" i="4"/>
  <c r="AK110" i="4" s="1"/>
  <c r="AN110" i="4" s="1"/>
  <c r="AH110" i="4"/>
  <c r="AH109" i="4" s="1"/>
  <c r="L109" i="4"/>
  <c r="W145" i="4"/>
  <c r="AK145" i="4" s="1"/>
  <c r="AN145" i="4" s="1"/>
  <c r="L144" i="4"/>
  <c r="AH144" i="4"/>
  <c r="AK109" i="4"/>
  <c r="AK91" i="4"/>
  <c r="AN92" i="4"/>
  <c r="AN91" i="4" s="1"/>
  <c r="AE92" i="4"/>
  <c r="AE86" i="4"/>
  <c r="AH86" i="4" s="1"/>
  <c r="AH84" i="4"/>
  <c r="AE83" i="4"/>
  <c r="L144" i="8" s="1"/>
  <c r="W84" i="4"/>
  <c r="AK84" i="4" s="1"/>
  <c r="AK83" i="4" s="1"/>
  <c r="AH83" i="4"/>
  <c r="L83" i="4"/>
  <c r="L82" i="4" s="1"/>
  <c r="AE80" i="4"/>
  <c r="AE79" i="4" s="1"/>
  <c r="AN58" i="4"/>
  <c r="AN57" i="4" s="1"/>
  <c r="AN37" i="4" s="1"/>
  <c r="AK57" i="4"/>
  <c r="L57" i="4"/>
  <c r="AH57" i="4"/>
  <c r="W24" i="4"/>
  <c r="AK24" i="4" s="1"/>
  <c r="AE23" i="4"/>
  <c r="AH23" i="4" s="1"/>
  <c r="AH22" i="4" s="1"/>
  <c r="AE49" i="5"/>
  <c r="AE48" i="5" s="1"/>
  <c r="AH56" i="5"/>
  <c r="AH55" i="5" s="1"/>
  <c r="AH12" i="5"/>
  <c r="AH167" i="4"/>
  <c r="I167" i="4" s="1"/>
  <c r="AN84" i="4"/>
  <c r="AN83" i="4" s="1"/>
  <c r="AN96" i="4"/>
  <c r="AN95" i="4" s="1"/>
  <c r="AK95" i="4"/>
  <c r="AN75" i="4"/>
  <c r="AN73" i="4" s="1"/>
  <c r="AK73" i="4"/>
  <c r="AN80" i="4"/>
  <c r="AH80" i="4"/>
  <c r="AH79" i="4" s="1"/>
  <c r="AH64" i="4"/>
  <c r="AH74" i="4"/>
  <c r="AH70" i="4"/>
  <c r="AH69" i="4" s="1"/>
  <c r="AH62" i="4"/>
  <c r="AH61" i="4" s="1"/>
  <c r="AH73" i="4"/>
  <c r="AN71" i="4"/>
  <c r="AN62" i="4"/>
  <c r="AN78" i="4"/>
  <c r="AN77" i="4" s="1"/>
  <c r="AN69" i="4"/>
  <c r="AN79" i="4"/>
  <c r="AN61" i="4"/>
  <c r="AE37" i="4"/>
  <c r="AE22" i="4"/>
  <c r="L5" i="4"/>
  <c r="L4" i="4" s="1"/>
  <c r="AB132" i="3"/>
  <c r="AE132" i="3" s="1"/>
  <c r="AH132" i="3" s="1"/>
  <c r="AB131" i="3"/>
  <c r="AE131" i="3" s="1"/>
  <c r="AH131" i="3" s="1"/>
  <c r="AB130" i="3"/>
  <c r="AE130" i="3" s="1"/>
  <c r="AB128" i="3"/>
  <c r="AE128" i="3" s="1"/>
  <c r="AH128" i="3" s="1"/>
  <c r="AB127" i="3"/>
  <c r="AB126" i="3"/>
  <c r="AE126" i="3" s="1"/>
  <c r="L132" i="3"/>
  <c r="L131" i="3"/>
  <c r="L130" i="3"/>
  <c r="L128" i="3"/>
  <c r="L127" i="3"/>
  <c r="L126" i="3"/>
  <c r="AH108" i="3"/>
  <c r="AG105" i="3"/>
  <c r="AB123" i="3"/>
  <c r="AE123" i="3" s="1"/>
  <c r="AH123" i="3" s="1"/>
  <c r="AB122" i="3"/>
  <c r="AE122" i="3" s="1"/>
  <c r="AH122" i="3" s="1"/>
  <c r="AB121" i="3"/>
  <c r="AB120" i="3"/>
  <c r="AE120" i="3" s="1"/>
  <c r="AH120" i="3" s="1"/>
  <c r="AB119" i="3"/>
  <c r="AB118" i="3"/>
  <c r="AE118" i="3" s="1"/>
  <c r="AH118" i="3" s="1"/>
  <c r="AB116" i="3"/>
  <c r="AH116" i="3" s="1"/>
  <c r="AB115" i="3"/>
  <c r="AH115" i="3" s="1"/>
  <c r="AB114" i="3"/>
  <c r="AE114" i="3" s="1"/>
  <c r="AH114" i="3" s="1"/>
  <c r="AB113" i="3"/>
  <c r="AE113" i="3" s="1"/>
  <c r="AH113" i="3" s="1"/>
  <c r="AB112" i="3"/>
  <c r="AE112" i="3" s="1"/>
  <c r="AH112" i="3" s="1"/>
  <c r="AB111" i="3"/>
  <c r="AE111" i="3" s="1"/>
  <c r="AH111" i="3" s="1"/>
  <c r="AB110" i="3"/>
  <c r="AE110" i="3" s="1"/>
  <c r="AH110" i="3" s="1"/>
  <c r="AB109" i="3"/>
  <c r="AB108" i="3"/>
  <c r="AB106" i="3"/>
  <c r="AB105" i="3"/>
  <c r="AB104" i="3"/>
  <c r="AE104" i="3" s="1"/>
  <c r="AH104" i="3" s="1"/>
  <c r="AB103" i="3"/>
  <c r="AB102" i="3"/>
  <c r="AE102" i="3" s="1"/>
  <c r="AH102" i="3" s="1"/>
  <c r="L123" i="3"/>
  <c r="L122" i="3"/>
  <c r="L120" i="3"/>
  <c r="L119" i="3"/>
  <c r="L118" i="3"/>
  <c r="L114" i="3"/>
  <c r="L113" i="3"/>
  <c r="L111" i="3"/>
  <c r="L110" i="3"/>
  <c r="L109" i="3"/>
  <c r="L106" i="3"/>
  <c r="L105" i="3"/>
  <c r="L104" i="3"/>
  <c r="L103" i="3"/>
  <c r="L102" i="3"/>
  <c r="L99" i="3"/>
  <c r="AN97" i="3"/>
  <c r="AF89" i="3"/>
  <c r="AF90" i="3"/>
  <c r="AB99" i="3"/>
  <c r="AE99" i="3" s="1"/>
  <c r="AH99" i="3" s="1"/>
  <c r="AB98" i="3"/>
  <c r="AE98" i="3" s="1"/>
  <c r="AH98" i="3" s="1"/>
  <c r="AB97" i="3"/>
  <c r="AE97" i="3" s="1"/>
  <c r="AB95" i="3"/>
  <c r="AE95" i="3" s="1"/>
  <c r="AH95" i="3" s="1"/>
  <c r="AB94" i="3"/>
  <c r="AE94" i="3" s="1"/>
  <c r="AH94" i="3" s="1"/>
  <c r="AB93" i="3"/>
  <c r="AE93" i="3" s="1"/>
  <c r="AH93" i="3" s="1"/>
  <c r="AB92" i="3"/>
  <c r="AE92" i="3" s="1"/>
  <c r="AH92" i="3" s="1"/>
  <c r="AB90" i="3"/>
  <c r="AE90" i="3" s="1"/>
  <c r="AH90" i="3" s="1"/>
  <c r="AB89" i="3"/>
  <c r="AE89" i="3" s="1"/>
  <c r="AH89" i="3" s="1"/>
  <c r="AB88" i="3"/>
  <c r="AE88" i="3" s="1"/>
  <c r="AH88" i="3" s="1"/>
  <c r="AB87" i="3"/>
  <c r="AE87" i="3" s="1"/>
  <c r="AH87" i="3" s="1"/>
  <c r="AB85" i="3"/>
  <c r="AE85" i="3" s="1"/>
  <c r="AH85" i="3" s="1"/>
  <c r="AB84" i="3"/>
  <c r="AE84" i="3" s="1"/>
  <c r="AH84" i="3" s="1"/>
  <c r="AB83" i="3"/>
  <c r="AE83" i="3" s="1"/>
  <c r="AH83" i="3" s="1"/>
  <c r="AB82" i="3"/>
  <c r="AE82" i="3" s="1"/>
  <c r="AH82" i="3" s="1"/>
  <c r="AB81" i="3"/>
  <c r="AE81" i="3" s="1"/>
  <c r="AH81" i="3" s="1"/>
  <c r="AB80" i="3"/>
  <c r="AE80" i="3" s="1"/>
  <c r="AH80" i="3" s="1"/>
  <c r="AB79" i="3"/>
  <c r="AE79" i="3" s="1"/>
  <c r="AH79" i="3" s="1"/>
  <c r="AB78" i="3"/>
  <c r="AE78" i="3" s="1"/>
  <c r="AH78" i="3" s="1"/>
  <c r="AB77" i="3"/>
  <c r="AE77" i="3" s="1"/>
  <c r="AH77" i="3" s="1"/>
  <c r="AB76" i="3"/>
  <c r="AE76" i="3" s="1"/>
  <c r="AH76" i="3" s="1"/>
  <c r="AB75" i="3"/>
  <c r="AE75" i="3" s="1"/>
  <c r="AH75" i="3" s="1"/>
  <c r="AB74" i="3"/>
  <c r="AE74" i="3" s="1"/>
  <c r="AB72" i="3"/>
  <c r="AE72" i="3" s="1"/>
  <c r="AH72" i="3" s="1"/>
  <c r="AB71" i="3"/>
  <c r="AE71" i="3" s="1"/>
  <c r="AH71" i="3" s="1"/>
  <c r="AB70" i="3"/>
  <c r="AE70" i="3" s="1"/>
  <c r="AH70" i="3" s="1"/>
  <c r="AB69" i="3"/>
  <c r="AE69" i="3" s="1"/>
  <c r="AH69" i="3" s="1"/>
  <c r="L98" i="3"/>
  <c r="L92" i="3"/>
  <c r="L95" i="3"/>
  <c r="L94" i="3"/>
  <c r="L93" i="3"/>
  <c r="L88" i="3"/>
  <c r="L87" i="3"/>
  <c r="L85" i="3"/>
  <c r="L84" i="3"/>
  <c r="L81" i="3"/>
  <c r="L80" i="3"/>
  <c r="L79" i="3"/>
  <c r="L78" i="3"/>
  <c r="L77" i="3"/>
  <c r="L76" i="3"/>
  <c r="L75" i="3"/>
  <c r="L74" i="3"/>
  <c r="L72" i="3"/>
  <c r="L71" i="3"/>
  <c r="L70" i="3"/>
  <c r="L69" i="3"/>
  <c r="AB66" i="3"/>
  <c r="AE66" i="3" s="1"/>
  <c r="AH66" i="3" s="1"/>
  <c r="AB65" i="3"/>
  <c r="AB63" i="3"/>
  <c r="AE63" i="3" s="1"/>
  <c r="AH63" i="3" s="1"/>
  <c r="AB62" i="3"/>
  <c r="AE62" i="3" s="1"/>
  <c r="AH62" i="3" s="1"/>
  <c r="AB61" i="3"/>
  <c r="AB60" i="3"/>
  <c r="AB58" i="3"/>
  <c r="AE58" i="3" s="1"/>
  <c r="AH58" i="3" s="1"/>
  <c r="AB57" i="3"/>
  <c r="AE57" i="3" s="1"/>
  <c r="AH57" i="3" s="1"/>
  <c r="AB56" i="3"/>
  <c r="AB55" i="3"/>
  <c r="AB53" i="3"/>
  <c r="AE53" i="3" s="1"/>
  <c r="AH53" i="3" s="1"/>
  <c r="AB52" i="3"/>
  <c r="AE52" i="3" s="1"/>
  <c r="AH52" i="3" s="1"/>
  <c r="AB51" i="3"/>
  <c r="AE51" i="3" s="1"/>
  <c r="AH51" i="3" s="1"/>
  <c r="AB50" i="3"/>
  <c r="AE50" i="3" s="1"/>
  <c r="AH50" i="3" s="1"/>
  <c r="AB49" i="3"/>
  <c r="AE49" i="3" s="1"/>
  <c r="AH49" i="3" s="1"/>
  <c r="AB48" i="3"/>
  <c r="AE48" i="3" s="1"/>
  <c r="AH48" i="3" s="1"/>
  <c r="AB47" i="3"/>
  <c r="AE47" i="3" s="1"/>
  <c r="AH47" i="3" s="1"/>
  <c r="L57" i="3"/>
  <c r="L49" i="3"/>
  <c r="L66" i="3"/>
  <c r="L65" i="3"/>
  <c r="L63" i="3"/>
  <c r="L62" i="3"/>
  <c r="L61" i="3"/>
  <c r="L60" i="3"/>
  <c r="L58" i="3"/>
  <c r="L56" i="3"/>
  <c r="L55" i="3"/>
  <c r="L53" i="3"/>
  <c r="L52" i="3"/>
  <c r="L51" i="3"/>
  <c r="L50" i="3"/>
  <c r="L48" i="3"/>
  <c r="L47" i="3"/>
  <c r="AN36" i="3"/>
  <c r="AN35" i="3"/>
  <c r="L44" i="3"/>
  <c r="L43" i="3" s="1"/>
  <c r="L42" i="3"/>
  <c r="L41" i="3"/>
  <c r="L40" i="3" s="1"/>
  <c r="L39" i="3"/>
  <c r="L38" i="3"/>
  <c r="L37" i="3"/>
  <c r="L36" i="3"/>
  <c r="L35" i="3"/>
  <c r="AB44" i="3"/>
  <c r="AE44" i="3" s="1"/>
  <c r="AB42" i="3"/>
  <c r="AE42" i="3" s="1"/>
  <c r="AH42" i="3" s="1"/>
  <c r="AB41" i="3"/>
  <c r="AE41" i="3" s="1"/>
  <c r="AH41" i="3" s="1"/>
  <c r="AB39" i="3"/>
  <c r="AE39" i="3" s="1"/>
  <c r="AH39" i="3" s="1"/>
  <c r="AB38" i="3"/>
  <c r="AE38" i="3" s="1"/>
  <c r="AH38" i="3" s="1"/>
  <c r="AB37" i="3"/>
  <c r="AE37" i="3" s="1"/>
  <c r="AH37" i="3" s="1"/>
  <c r="AB36" i="3"/>
  <c r="AH36" i="3" s="1"/>
  <c r="AB35" i="3"/>
  <c r="AN31" i="3"/>
  <c r="AN25" i="3"/>
  <c r="AN20" i="3"/>
  <c r="AN19" i="3"/>
  <c r="AB26" i="3"/>
  <c r="AE26" i="3" s="1"/>
  <c r="AH26" i="3" s="1"/>
  <c r="AB32" i="3"/>
  <c r="AE32" i="3" s="1"/>
  <c r="AH32" i="3" s="1"/>
  <c r="AB31" i="3"/>
  <c r="AE31" i="3" s="1"/>
  <c r="AH31" i="3" s="1"/>
  <c r="AB30" i="3"/>
  <c r="AE30" i="3" s="1"/>
  <c r="AH30" i="3" s="1"/>
  <c r="AB29" i="3"/>
  <c r="AE29" i="3" s="1"/>
  <c r="AH29" i="3" s="1"/>
  <c r="AB27" i="3"/>
  <c r="AE27" i="3" s="1"/>
  <c r="AH27" i="3" s="1"/>
  <c r="AB25" i="3"/>
  <c r="AE24" i="3" s="1"/>
  <c r="AB23" i="3"/>
  <c r="AE23" i="3" s="1"/>
  <c r="AH23" i="3" s="1"/>
  <c r="AB22" i="3"/>
  <c r="AE22" i="3" s="1"/>
  <c r="AH22" i="3" s="1"/>
  <c r="AB20" i="3"/>
  <c r="AE20" i="3" s="1"/>
  <c r="AH20" i="3" s="1"/>
  <c r="AB19" i="3"/>
  <c r="AE19" i="3" s="1"/>
  <c r="AH19" i="3" s="1"/>
  <c r="AB18" i="3"/>
  <c r="AE18" i="3" s="1"/>
  <c r="AH18" i="3" s="1"/>
  <c r="AB17" i="3"/>
  <c r="AE17" i="3" s="1"/>
  <c r="AE16" i="3" s="1"/>
  <c r="L13" i="3"/>
  <c r="L32" i="3"/>
  <c r="L30" i="3"/>
  <c r="L29" i="3"/>
  <c r="L27" i="3"/>
  <c r="L26" i="3"/>
  <c r="L23" i="3"/>
  <c r="L22" i="3"/>
  <c r="L18" i="3"/>
  <c r="L17" i="3"/>
  <c r="AB12" i="3"/>
  <c r="AE12" i="3" s="1"/>
  <c r="AH12" i="3" s="1"/>
  <c r="AB14" i="3"/>
  <c r="AE14" i="3" s="1"/>
  <c r="AH14" i="3" s="1"/>
  <c r="AB13" i="3"/>
  <c r="AE13" i="3" s="1"/>
  <c r="AH13" i="3" s="1"/>
  <c r="L14" i="3"/>
  <c r="L12" i="3"/>
  <c r="L10" i="3"/>
  <c r="AB7" i="3"/>
  <c r="AE7" i="3" s="1"/>
  <c r="AB8" i="3"/>
  <c r="AE8" i="3" s="1"/>
  <c r="AH8" i="3" s="1"/>
  <c r="AB9" i="3"/>
  <c r="AE9" i="3" s="1"/>
  <c r="AH9" i="3" s="1"/>
  <c r="AB10" i="3"/>
  <c r="AE10" i="3" s="1"/>
  <c r="AH10" i="3" s="1"/>
  <c r="AB6" i="3"/>
  <c r="O3" i="3"/>
  <c r="L9" i="3"/>
  <c r="L7" i="3"/>
  <c r="L8" i="3"/>
  <c r="K6" i="3"/>
  <c r="J6" i="3"/>
  <c r="AC203" i="2"/>
  <c r="AD203" i="2"/>
  <c r="AE195" i="2"/>
  <c r="AH195" i="2" s="1"/>
  <c r="AB200" i="2"/>
  <c r="AE200" i="2" s="1"/>
  <c r="AH200" i="2" s="1"/>
  <c r="AB205" i="2"/>
  <c r="AE205" i="2" s="1"/>
  <c r="AB204" i="2"/>
  <c r="AE204" i="2" s="1"/>
  <c r="AH204" i="2" s="1"/>
  <c r="AB202" i="2"/>
  <c r="AE202" i="2" s="1"/>
  <c r="AH202" i="2" s="1"/>
  <c r="AB201" i="2"/>
  <c r="AB199" i="2"/>
  <c r="AE199" i="2" s="1"/>
  <c r="AH199" i="2" s="1"/>
  <c r="AB197" i="2"/>
  <c r="AE197" i="2" s="1"/>
  <c r="AH197" i="2" s="1"/>
  <c r="AB196" i="2"/>
  <c r="AE196" i="2" s="1"/>
  <c r="AH196" i="2" s="1"/>
  <c r="AB195" i="2"/>
  <c r="AB194" i="2"/>
  <c r="L205" i="2"/>
  <c r="L204" i="2"/>
  <c r="L202" i="2"/>
  <c r="L200" i="2"/>
  <c r="L199" i="2"/>
  <c r="L197" i="2"/>
  <c r="L195" i="2"/>
  <c r="L194" i="2"/>
  <c r="AN189" i="2"/>
  <c r="AH179" i="2"/>
  <c r="AE175" i="2"/>
  <c r="AH175" i="2" s="1"/>
  <c r="AB190" i="2"/>
  <c r="AB191" i="2"/>
  <c r="AE191" i="2" s="1"/>
  <c r="AH191" i="2" s="1"/>
  <c r="AB189" i="2"/>
  <c r="AE189" i="2" s="1"/>
  <c r="AH189" i="2" s="1"/>
  <c r="AB188" i="2"/>
  <c r="AE188" i="2" s="1"/>
  <c r="AB186" i="2"/>
  <c r="AB185" i="2"/>
  <c r="AB183" i="2"/>
  <c r="AE183" i="2" s="1"/>
  <c r="AB181" i="2"/>
  <c r="AE181" i="2" s="1"/>
  <c r="AH181" i="2" s="1"/>
  <c r="AB180" i="2"/>
  <c r="AB179" i="2"/>
  <c r="AB178" i="2"/>
  <c r="AB177" i="2"/>
  <c r="AB175" i="2"/>
  <c r="AB174" i="2"/>
  <c r="AE174" i="2" s="1"/>
  <c r="AB172" i="2"/>
  <c r="AE172" i="2" s="1"/>
  <c r="AH172" i="2" s="1"/>
  <c r="AB171" i="2"/>
  <c r="AE171" i="2" s="1"/>
  <c r="AB169" i="2"/>
  <c r="AE169" i="2" s="1"/>
  <c r="AH169" i="2" s="1"/>
  <c r="AB168" i="2"/>
  <c r="AE168" i="2" s="1"/>
  <c r="AH168" i="2" s="1"/>
  <c r="AB167" i="2"/>
  <c r="AE167" i="2" s="1"/>
  <c r="AH167" i="2" s="1"/>
  <c r="AB166" i="2"/>
  <c r="AE166" i="2" s="1"/>
  <c r="AH166" i="2" s="1"/>
  <c r="L190" i="2"/>
  <c r="L191" i="2"/>
  <c r="L188" i="2"/>
  <c r="L186" i="2"/>
  <c r="L185" i="2"/>
  <c r="L184" i="2" s="1"/>
  <c r="L183" i="2"/>
  <c r="L182" i="2" s="1"/>
  <c r="L181" i="2"/>
  <c r="L180" i="2"/>
  <c r="L178" i="2"/>
  <c r="L177" i="2"/>
  <c r="L174" i="2"/>
  <c r="L175" i="2"/>
  <c r="L173" i="2" s="1"/>
  <c r="L172" i="2"/>
  <c r="L171" i="2"/>
  <c r="L169" i="2"/>
  <c r="L168" i="2"/>
  <c r="L167" i="2"/>
  <c r="L166" i="2"/>
  <c r="AN155" i="2"/>
  <c r="AN144" i="2"/>
  <c r="AN143" i="2"/>
  <c r="AN141" i="2"/>
  <c r="AN136" i="2"/>
  <c r="AN135" i="2"/>
  <c r="AE153" i="2"/>
  <c r="AH153" i="2" s="1"/>
  <c r="AE142" i="2"/>
  <c r="AH142" i="2" s="1"/>
  <c r="AE132" i="2"/>
  <c r="AH132" i="2" s="1"/>
  <c r="AB163" i="2"/>
  <c r="AE163" i="2" s="1"/>
  <c r="AH163" i="2" s="1"/>
  <c r="AB162" i="2"/>
  <c r="AE162" i="2" s="1"/>
  <c r="AH162" i="2" s="1"/>
  <c r="AB161" i="2"/>
  <c r="AE161" i="2" s="1"/>
  <c r="AB157" i="2"/>
  <c r="AE157" i="2" s="1"/>
  <c r="AH157" i="2" s="1"/>
  <c r="AB159" i="2"/>
  <c r="AE159" i="2" s="1"/>
  <c r="AH159" i="2" s="1"/>
  <c r="AB158" i="2"/>
  <c r="AE158" i="2" s="1"/>
  <c r="AH158" i="2" s="1"/>
  <c r="AB156" i="2"/>
  <c r="AE156" i="2" s="1"/>
  <c r="AH156" i="2" s="1"/>
  <c r="AB155" i="2"/>
  <c r="AE155" i="2" s="1"/>
  <c r="AH155" i="2" s="1"/>
  <c r="AB151" i="2"/>
  <c r="AE151" i="2" s="1"/>
  <c r="AH151" i="2" s="1"/>
  <c r="AB153" i="2"/>
  <c r="AB152" i="2"/>
  <c r="AE152" i="2" s="1"/>
  <c r="AH152" i="2" s="1"/>
  <c r="AB150" i="2"/>
  <c r="AE150" i="2" s="1"/>
  <c r="AH150" i="2" s="1"/>
  <c r="AB149" i="2"/>
  <c r="AE149" i="2" s="1"/>
  <c r="AH149" i="2" s="1"/>
  <c r="AB147" i="2"/>
  <c r="AE147" i="2" s="1"/>
  <c r="AH147" i="2" s="1"/>
  <c r="AB144" i="2"/>
  <c r="AE144" i="2" s="1"/>
  <c r="AH144" i="2" s="1"/>
  <c r="AB143" i="2"/>
  <c r="AH143" i="2" s="1"/>
  <c r="AB142" i="2"/>
  <c r="AB141" i="2"/>
  <c r="AE141" i="2" s="1"/>
  <c r="AB134" i="2"/>
  <c r="AE134" i="2" s="1"/>
  <c r="AH134" i="2" s="1"/>
  <c r="AB139" i="2"/>
  <c r="AB138" i="2"/>
  <c r="AB137" i="2"/>
  <c r="AE137" i="2" s="1"/>
  <c r="AH137" i="2" s="1"/>
  <c r="AB136" i="2"/>
  <c r="AE136" i="2" s="1"/>
  <c r="AH136" i="2" s="1"/>
  <c r="AB135" i="2"/>
  <c r="AE135" i="2" s="1"/>
  <c r="AH135" i="2" s="1"/>
  <c r="AB133" i="2"/>
  <c r="AB132" i="2"/>
  <c r="L142" i="2"/>
  <c r="L163" i="2"/>
  <c r="L162" i="2"/>
  <c r="L161" i="2"/>
  <c r="L160" i="2" s="1"/>
  <c r="L159" i="2"/>
  <c r="L158" i="2"/>
  <c r="L157" i="2"/>
  <c r="L156" i="2"/>
  <c r="L153" i="2"/>
  <c r="L152" i="2"/>
  <c r="L150" i="2"/>
  <c r="L149" i="2"/>
  <c r="L146" i="2"/>
  <c r="L147" i="2"/>
  <c r="L139" i="2"/>
  <c r="L137" i="2"/>
  <c r="L134" i="2"/>
  <c r="L133" i="2"/>
  <c r="L132" i="2"/>
  <c r="N7" i="1"/>
  <c r="N8" i="1"/>
  <c r="N5" i="1"/>
  <c r="N4" i="1"/>
  <c r="N3" i="1"/>
  <c r="AB129" i="2"/>
  <c r="AE129" i="2" s="1"/>
  <c r="AH129" i="2" s="1"/>
  <c r="AB128" i="2"/>
  <c r="AB127" i="2"/>
  <c r="AE127" i="2" s="1"/>
  <c r="AB125" i="2"/>
  <c r="AE125" i="2" s="1"/>
  <c r="AB123" i="2"/>
  <c r="AB121" i="2"/>
  <c r="AE121" i="2" s="1"/>
  <c r="AH121" i="2" s="1"/>
  <c r="AH120" i="2" s="1"/>
  <c r="L128" i="2"/>
  <c r="L129" i="2"/>
  <c r="L127" i="2"/>
  <c r="L125" i="2"/>
  <c r="L124" i="2" s="1"/>
  <c r="L123" i="2"/>
  <c r="L122" i="2" s="1"/>
  <c r="L121" i="2"/>
  <c r="L120" i="2" s="1"/>
  <c r="L97" i="4" l="1"/>
  <c r="AK82" i="4"/>
  <c r="AN131" i="4"/>
  <c r="AH104" i="4"/>
  <c r="AH100" i="4" s="1"/>
  <c r="AH97" i="4" s="1"/>
  <c r="I97" i="4" s="1"/>
  <c r="AE100" i="4"/>
  <c r="AE97" i="4" s="1"/>
  <c r="AE144" i="4"/>
  <c r="L156" i="8" s="1"/>
  <c r="L153" i="8" s="1"/>
  <c r="AK136" i="4"/>
  <c r="AN137" i="4"/>
  <c r="AN136" i="4" s="1"/>
  <c r="L135" i="4"/>
  <c r="AE160" i="2"/>
  <c r="AN82" i="4"/>
  <c r="AH96" i="4"/>
  <c r="AH95" i="4" s="1"/>
  <c r="AE95" i="4"/>
  <c r="L17" i="5"/>
  <c r="AE5" i="3"/>
  <c r="AK133" i="2"/>
  <c r="W133" i="2"/>
  <c r="AE133" i="2"/>
  <c r="AH133" i="2" s="1"/>
  <c r="AH26" i="4"/>
  <c r="I26" i="4" s="1"/>
  <c r="AE26" i="4"/>
  <c r="AE139" i="2"/>
  <c r="AH139" i="2" s="1"/>
  <c r="W139" i="2"/>
  <c r="L148" i="2"/>
  <c r="L140" i="2"/>
  <c r="AH140" i="4"/>
  <c r="AH135" i="4" s="1"/>
  <c r="I135" i="4" s="1"/>
  <c r="AE140" i="4"/>
  <c r="AN105" i="4"/>
  <c r="AK105" i="4"/>
  <c r="AE85" i="5"/>
  <c r="AE77" i="5" s="1"/>
  <c r="L57" i="5"/>
  <c r="AE57" i="5"/>
  <c r="L5" i="3"/>
  <c r="L11" i="3"/>
  <c r="L24" i="3"/>
  <c r="AH28" i="3"/>
  <c r="L68" i="3"/>
  <c r="AH141" i="2"/>
  <c r="AH140" i="2" s="1"/>
  <c r="AE140" i="2"/>
  <c r="L131" i="2"/>
  <c r="L154" i="2"/>
  <c r="L170" i="2"/>
  <c r="AH154" i="2"/>
  <c r="AH161" i="2"/>
  <c r="AH160" i="2" s="1"/>
  <c r="AE154" i="2"/>
  <c r="L145" i="2"/>
  <c r="AH174" i="2"/>
  <c r="AH173" i="2" s="1"/>
  <c r="AE173" i="2"/>
  <c r="L83" i="8" s="1"/>
  <c r="AH148" i="2"/>
  <c r="AE177" i="2"/>
  <c r="AE178" i="2"/>
  <c r="AH178" i="2" s="1"/>
  <c r="AE148" i="2"/>
  <c r="AE201" i="2"/>
  <c r="AH201" i="2" s="1"/>
  <c r="AH198" i="2" s="1"/>
  <c r="L203" i="2"/>
  <c r="L126" i="2"/>
  <c r="L119" i="2" s="1"/>
  <c r="AE203" i="2"/>
  <c r="L91" i="8" s="1"/>
  <c r="AE128" i="2"/>
  <c r="AH128" i="2" s="1"/>
  <c r="W128" i="2"/>
  <c r="L193" i="2"/>
  <c r="L165" i="2"/>
  <c r="AE180" i="2"/>
  <c r="AH180" i="2" s="1"/>
  <c r="AH57" i="5"/>
  <c r="I57" i="5" s="1"/>
  <c r="AE131" i="5"/>
  <c r="AH4" i="5"/>
  <c r="I4" i="5" s="1"/>
  <c r="AH123" i="5"/>
  <c r="AH48" i="5"/>
  <c r="I48" i="5" s="1"/>
  <c r="AE4" i="5"/>
  <c r="AE99" i="5"/>
  <c r="AH17" i="5"/>
  <c r="I17" i="5" s="1"/>
  <c r="AE123" i="5"/>
  <c r="L109" i="5"/>
  <c r="AH117" i="5"/>
  <c r="AH116" i="5" s="1"/>
  <c r="AE116" i="5"/>
  <c r="AH110" i="5"/>
  <c r="AN169" i="4"/>
  <c r="AN168" i="4" s="1"/>
  <c r="AN167" i="4" s="1"/>
  <c r="AK168" i="4"/>
  <c r="AK167" i="4" s="1"/>
  <c r="AE4" i="4"/>
  <c r="L28" i="3"/>
  <c r="AH74" i="3"/>
  <c r="AH73" i="3" s="1"/>
  <c r="AE73" i="3"/>
  <c r="L129" i="3"/>
  <c r="L124" i="3" s="1"/>
  <c r="AH21" i="3"/>
  <c r="L34" i="3"/>
  <c r="L33" i="3" s="1"/>
  <c r="AE91" i="3"/>
  <c r="AH40" i="3"/>
  <c r="AH68" i="3"/>
  <c r="AH86" i="3"/>
  <c r="L86" i="3"/>
  <c r="AH17" i="3"/>
  <c r="L91" i="3"/>
  <c r="L73" i="3"/>
  <c r="AH34" i="3"/>
  <c r="AE34" i="3"/>
  <c r="AH11" i="3"/>
  <c r="AH91" i="3"/>
  <c r="AE119" i="3"/>
  <c r="AH119" i="3" s="1"/>
  <c r="L54" i="3"/>
  <c r="AE96" i="3"/>
  <c r="AH97" i="3"/>
  <c r="AH96" i="3" s="1"/>
  <c r="AH16" i="3"/>
  <c r="AH46" i="3"/>
  <c r="AE56" i="3"/>
  <c r="AH56" i="3" s="1"/>
  <c r="AE103" i="3"/>
  <c r="AH103" i="3" s="1"/>
  <c r="AH25" i="3"/>
  <c r="AH24" i="3" s="1"/>
  <c r="AH126" i="3"/>
  <c r="AE125" i="3"/>
  <c r="L121" i="8" s="1"/>
  <c r="AH130" i="3"/>
  <c r="AH129" i="3" s="1"/>
  <c r="AE129" i="3"/>
  <c r="L122" i="8" s="1"/>
  <c r="L117" i="3"/>
  <c r="AE106" i="3"/>
  <c r="AH106" i="3" s="1"/>
  <c r="L64" i="3"/>
  <c r="AE105" i="3"/>
  <c r="AH105" i="3" s="1"/>
  <c r="L101" i="3"/>
  <c r="L125" i="3"/>
  <c r="AE123" i="2"/>
  <c r="AH123" i="2" s="1"/>
  <c r="AH122" i="2" s="1"/>
  <c r="AE190" i="2"/>
  <c r="AH190" i="2" s="1"/>
  <c r="L187" i="2"/>
  <c r="AH188" i="2"/>
  <c r="AH187" i="2" s="1"/>
  <c r="AE186" i="2"/>
  <c r="AH186" i="2" s="1"/>
  <c r="AE185" i="2"/>
  <c r="AH185" i="2" s="1"/>
  <c r="AH184" i="2" s="1"/>
  <c r="AE184" i="2"/>
  <c r="L86" i="8" s="1"/>
  <c r="AH183" i="2"/>
  <c r="AH182" i="2" s="1"/>
  <c r="AE182" i="2"/>
  <c r="L85" i="8" s="1"/>
  <c r="AE176" i="2"/>
  <c r="L84" i="8" s="1"/>
  <c r="L176" i="2"/>
  <c r="AH177" i="2"/>
  <c r="AH171" i="2"/>
  <c r="AH170" i="2" s="1"/>
  <c r="AE170" i="2"/>
  <c r="L82" i="8" s="1"/>
  <c r="AE165" i="2"/>
  <c r="L81" i="8" s="1"/>
  <c r="AH165" i="2"/>
  <c r="AH105" i="5"/>
  <c r="AH77" i="5" s="1"/>
  <c r="I77" i="5" s="1"/>
  <c r="L37" i="4"/>
  <c r="AH37" i="4"/>
  <c r="I37" i="4" s="1"/>
  <c r="AE121" i="3"/>
  <c r="AH121" i="3" s="1"/>
  <c r="AE109" i="3"/>
  <c r="AH109" i="3" s="1"/>
  <c r="AH107" i="3" s="1"/>
  <c r="L107" i="3"/>
  <c r="AE61" i="3"/>
  <c r="AH61" i="3" s="1"/>
  <c r="AE60" i="3"/>
  <c r="AE55" i="3"/>
  <c r="AH55" i="3" s="1"/>
  <c r="AE43" i="3"/>
  <c r="AH44" i="3"/>
  <c r="AH43" i="3" s="1"/>
  <c r="AH205" i="2"/>
  <c r="AH203" i="2" s="1"/>
  <c r="L198" i="2"/>
  <c r="AE194" i="2"/>
  <c r="AE193" i="2" s="1"/>
  <c r="AH194" i="2"/>
  <c r="AH193" i="2" s="1"/>
  <c r="AE43" i="5"/>
  <c r="AE91" i="4"/>
  <c r="L145" i="8" s="1"/>
  <c r="L143" i="8" s="1"/>
  <c r="AH92" i="4"/>
  <c r="AH91" i="4" s="1"/>
  <c r="AH82" i="4" s="1"/>
  <c r="I82" i="4" s="1"/>
  <c r="AN24" i="4"/>
  <c r="AN22" i="4" s="1"/>
  <c r="AN4" i="4" s="1"/>
  <c r="R124" i="8" s="1"/>
  <c r="AK22" i="4"/>
  <c r="AK4" i="4" s="1"/>
  <c r="AE127" i="3"/>
  <c r="AH127" i="3" s="1"/>
  <c r="AE65" i="3"/>
  <c r="AH60" i="4"/>
  <c r="I60" i="4" s="1"/>
  <c r="AH7" i="3"/>
  <c r="L21" i="3"/>
  <c r="L59" i="3"/>
  <c r="L46" i="3"/>
  <c r="L16" i="3"/>
  <c r="AH127" i="2"/>
  <c r="AH126" i="2" s="1"/>
  <c r="AE124" i="2"/>
  <c r="L71" i="8" s="1"/>
  <c r="AH125" i="2"/>
  <c r="AH124" i="2" s="1"/>
  <c r="AB118" i="2"/>
  <c r="AH118" i="2" s="1"/>
  <c r="AB117" i="2"/>
  <c r="AE117" i="2" s="1"/>
  <c r="AH117" i="2" s="1"/>
  <c r="AB116" i="2"/>
  <c r="AH116" i="2" s="1"/>
  <c r="AB115" i="2"/>
  <c r="AE115" i="2" s="1"/>
  <c r="AH115" i="2" s="1"/>
  <c r="AB114" i="2"/>
  <c r="AE114" i="2" s="1"/>
  <c r="AH114" i="2" s="1"/>
  <c r="AB113" i="2"/>
  <c r="AE113" i="2" s="1"/>
  <c r="AH113" i="2" s="1"/>
  <c r="AB112" i="2"/>
  <c r="AH112" i="2" s="1"/>
  <c r="AB111" i="2"/>
  <c r="AE111" i="2" s="1"/>
  <c r="AH111" i="2" s="1"/>
  <c r="AB110" i="2"/>
  <c r="AH110" i="2" s="1"/>
  <c r="AB109" i="2"/>
  <c r="AE109" i="2" s="1"/>
  <c r="AH109" i="2" s="1"/>
  <c r="AB108" i="2"/>
  <c r="AE108" i="2" s="1"/>
  <c r="AH108" i="2" s="1"/>
  <c r="AB107" i="2"/>
  <c r="L117" i="2"/>
  <c r="L115" i="2"/>
  <c r="L114" i="2"/>
  <c r="L113" i="2"/>
  <c r="L111" i="2"/>
  <c r="L108" i="2"/>
  <c r="AM102" i="2"/>
  <c r="L192" i="2" l="1"/>
  <c r="AE82" i="4"/>
  <c r="L3" i="4"/>
  <c r="AE135" i="4"/>
  <c r="AE106" i="2"/>
  <c r="L67" i="8" s="1"/>
  <c r="L64" i="8" s="1"/>
  <c r="AH33" i="3"/>
  <c r="I33" i="3" s="1"/>
  <c r="L4" i="3"/>
  <c r="AE131" i="2"/>
  <c r="AH131" i="2"/>
  <c r="L130" i="2"/>
  <c r="L3" i="5"/>
  <c r="AH117" i="3"/>
  <c r="AH54" i="3"/>
  <c r="AH15" i="3"/>
  <c r="I15" i="3" s="1"/>
  <c r="L120" i="8"/>
  <c r="L164" i="2"/>
  <c r="L106" i="2"/>
  <c r="AH176" i="2"/>
  <c r="AH107" i="2"/>
  <c r="AH106" i="2" s="1"/>
  <c r="AE198" i="2"/>
  <c r="L90" i="8" s="1"/>
  <c r="AE122" i="2"/>
  <c r="L70" i="8" s="1"/>
  <c r="AE192" i="2"/>
  <c r="L89" i="8"/>
  <c r="AE126" i="2"/>
  <c r="L72" i="8" s="1"/>
  <c r="AE17" i="5"/>
  <c r="AE109" i="5"/>
  <c r="AH109" i="5"/>
  <c r="I109" i="5" s="1"/>
  <c r="AH3" i="5" s="1"/>
  <c r="AE124" i="3"/>
  <c r="AH125" i="3"/>
  <c r="AH124" i="3" s="1"/>
  <c r="I124" i="3" s="1"/>
  <c r="L67" i="3"/>
  <c r="AH101" i="3"/>
  <c r="AH100" i="3" s="1"/>
  <c r="I100" i="3" s="1"/>
  <c r="AH67" i="3"/>
  <c r="I67" i="3" s="1"/>
  <c r="L45" i="3"/>
  <c r="AE107" i="3"/>
  <c r="L118" i="8" s="1"/>
  <c r="L100" i="3"/>
  <c r="AH5" i="3"/>
  <c r="AH4" i="3" s="1"/>
  <c r="I4" i="3" s="1"/>
  <c r="AH119" i="2"/>
  <c r="I119" i="2" s="1"/>
  <c r="AE187" i="2"/>
  <c r="L87" i="8" s="1"/>
  <c r="L80" i="8" s="1"/>
  <c r="AE164" i="2"/>
  <c r="AH164" i="2"/>
  <c r="AH60" i="3"/>
  <c r="AH59" i="3" s="1"/>
  <c r="AE59" i="3"/>
  <c r="L108" i="8" s="1"/>
  <c r="AH192" i="2"/>
  <c r="AH3" i="4"/>
  <c r="AH65" i="3"/>
  <c r="AH64" i="3" s="1"/>
  <c r="AE64" i="3"/>
  <c r="L109" i="8" s="1"/>
  <c r="L15" i="3"/>
  <c r="AB105" i="2"/>
  <c r="AH105" i="2" s="1"/>
  <c r="AB104" i="2"/>
  <c r="AE104" i="2" s="1"/>
  <c r="AH104" i="2" s="1"/>
  <c r="AB103" i="2"/>
  <c r="AE103" i="2" s="1"/>
  <c r="AH103" i="2" s="1"/>
  <c r="AB102" i="2"/>
  <c r="AE102" i="2" s="1"/>
  <c r="L105" i="2"/>
  <c r="L104" i="2"/>
  <c r="L103" i="2"/>
  <c r="L102" i="2"/>
  <c r="AM90" i="2"/>
  <c r="AB100" i="2"/>
  <c r="AE100" i="2" s="1"/>
  <c r="AH100" i="2" s="1"/>
  <c r="AB99" i="2"/>
  <c r="AE99" i="2" s="1"/>
  <c r="AH99" i="2" s="1"/>
  <c r="AB98" i="2"/>
  <c r="AE98" i="2" s="1"/>
  <c r="AH98" i="2" s="1"/>
  <c r="AB97" i="2"/>
  <c r="W97" i="2" s="1"/>
  <c r="AB96" i="2"/>
  <c r="AE96" i="2" s="1"/>
  <c r="AH96" i="2" s="1"/>
  <c r="AB95" i="2"/>
  <c r="AB94" i="2"/>
  <c r="AE94" i="2" s="1"/>
  <c r="AH94" i="2" s="1"/>
  <c r="AB93" i="2"/>
  <c r="AE93" i="2" s="1"/>
  <c r="L97" i="2"/>
  <c r="L93" i="2"/>
  <c r="L100" i="2"/>
  <c r="L99" i="2"/>
  <c r="L98" i="2"/>
  <c r="L96" i="2"/>
  <c r="L94" i="2"/>
  <c r="AE3" i="4" l="1"/>
  <c r="L123" i="8" s="1"/>
  <c r="M7" i="7" s="1"/>
  <c r="AE97" i="2"/>
  <c r="AH97" i="2" s="1"/>
  <c r="W95" i="2"/>
  <c r="AE3" i="5"/>
  <c r="L161" i="8" s="1"/>
  <c r="M8" i="7" s="1"/>
  <c r="L92" i="2"/>
  <c r="L101" i="2"/>
  <c r="L88" i="8"/>
  <c r="AE92" i="2"/>
  <c r="AH93" i="2"/>
  <c r="AH102" i="2"/>
  <c r="AH101" i="2" s="1"/>
  <c r="AE101" i="2"/>
  <c r="AE119" i="2"/>
  <c r="L68" i="8"/>
  <c r="AH45" i="3"/>
  <c r="I45" i="3" s="1"/>
  <c r="AH3" i="3" s="1"/>
  <c r="L3" i="3"/>
  <c r="L90" i="2"/>
  <c r="L88" i="2"/>
  <c r="L87" i="2"/>
  <c r="L86" i="2"/>
  <c r="AB90" i="2"/>
  <c r="AE90" i="2" s="1"/>
  <c r="AH90" i="2" s="1"/>
  <c r="AB89" i="2"/>
  <c r="AE89" i="2" s="1"/>
  <c r="AH89" i="2" s="1"/>
  <c r="AB88" i="2"/>
  <c r="AE88" i="2" s="1"/>
  <c r="AH88" i="2" s="1"/>
  <c r="AB87" i="2"/>
  <c r="AE87" i="2" s="1"/>
  <c r="AH87" i="2" s="1"/>
  <c r="AB86" i="2"/>
  <c r="AE86" i="2" s="1"/>
  <c r="AN89" i="2"/>
  <c r="AH82" i="2"/>
  <c r="AH81" i="2"/>
  <c r="AB84" i="2"/>
  <c r="AH84" i="2" s="1"/>
  <c r="AB83" i="2"/>
  <c r="AH83" i="2" s="1"/>
  <c r="AB82" i="2"/>
  <c r="AB81" i="2"/>
  <c r="AB80" i="2"/>
  <c r="AH80" i="2" s="1"/>
  <c r="AB79" i="2"/>
  <c r="AH79" i="2" s="1"/>
  <c r="AB78" i="2"/>
  <c r="L84" i="2"/>
  <c r="L83" i="2"/>
  <c r="L82" i="2"/>
  <c r="L81" i="2"/>
  <c r="L79" i="2"/>
  <c r="L78" i="2"/>
  <c r="L77" i="2" s="1"/>
  <c r="L76" i="2"/>
  <c r="L75" i="2"/>
  <c r="L74" i="2"/>
  <c r="L73" i="2" s="1"/>
  <c r="L72" i="2"/>
  <c r="L71" i="2"/>
  <c r="L70" i="2"/>
  <c r="L69" i="2"/>
  <c r="L68" i="2" s="1"/>
  <c r="AB76" i="2"/>
  <c r="AE76" i="2" s="1"/>
  <c r="AH76" i="2" s="1"/>
  <c r="AB75" i="2"/>
  <c r="AE75" i="2" s="1"/>
  <c r="AH75" i="2" s="1"/>
  <c r="AB74" i="2"/>
  <c r="AE74" i="2" s="1"/>
  <c r="AB72" i="2"/>
  <c r="AE72" i="2" s="1"/>
  <c r="AH72" i="2" s="1"/>
  <c r="AB71" i="2"/>
  <c r="AE71" i="2" s="1"/>
  <c r="AH71" i="2" s="1"/>
  <c r="AB70" i="2"/>
  <c r="AE70" i="2" s="1"/>
  <c r="AH70" i="2" s="1"/>
  <c r="AB69" i="2"/>
  <c r="AE69" i="2" s="1"/>
  <c r="AH74" i="2"/>
  <c r="AE62" i="2"/>
  <c r="AH62" i="2" s="1"/>
  <c r="AB67" i="2"/>
  <c r="AE67" i="2" s="1"/>
  <c r="AH67" i="2" s="1"/>
  <c r="AB66" i="2"/>
  <c r="AE66" i="2" s="1"/>
  <c r="AH66" i="2" s="1"/>
  <c r="AB65" i="2"/>
  <c r="AE65" i="2" s="1"/>
  <c r="AH65" i="2" s="1"/>
  <c r="AB64" i="2"/>
  <c r="AE64" i="2" s="1"/>
  <c r="AH64" i="2" s="1"/>
  <c r="AB63" i="2"/>
  <c r="AE63" i="2" s="1"/>
  <c r="AH63" i="2" s="1"/>
  <c r="AB62" i="2"/>
  <c r="AB61" i="2"/>
  <c r="AE61" i="2" s="1"/>
  <c r="AH61" i="2" s="1"/>
  <c r="AB59" i="2"/>
  <c r="AE59" i="2" s="1"/>
  <c r="AH59" i="2" s="1"/>
  <c r="AB58" i="2"/>
  <c r="AH58" i="2" s="1"/>
  <c r="AB57" i="2"/>
  <c r="AE57" i="2" s="1"/>
  <c r="L67" i="2"/>
  <c r="L66" i="2"/>
  <c r="L65" i="2"/>
  <c r="L64" i="2"/>
  <c r="L63" i="2"/>
  <c r="L62" i="2"/>
  <c r="L60" i="2" s="1"/>
  <c r="L61" i="2"/>
  <c r="L59" i="2"/>
  <c r="L57" i="2"/>
  <c r="L55" i="2"/>
  <c r="L53" i="2"/>
  <c r="L50" i="2"/>
  <c r="L51" i="2"/>
  <c r="AB55" i="2"/>
  <c r="AB54" i="2"/>
  <c r="AE54" i="2" s="1"/>
  <c r="AH54" i="2" s="1"/>
  <c r="AB53" i="2"/>
  <c r="AE53" i="2" s="1"/>
  <c r="AB51" i="2"/>
  <c r="AE51" i="2" s="1"/>
  <c r="AH51" i="2" s="1"/>
  <c r="AB50" i="2"/>
  <c r="AE50" i="2" s="1"/>
  <c r="AE55" i="2"/>
  <c r="AH55" i="2" s="1"/>
  <c r="AB48" i="2"/>
  <c r="AE48" i="2" s="1"/>
  <c r="AH48" i="2" s="1"/>
  <c r="AB47" i="2"/>
  <c r="AE47" i="2" s="1"/>
  <c r="AH47" i="2" s="1"/>
  <c r="AB46" i="2"/>
  <c r="AH46" i="2" s="1"/>
  <c r="AB45" i="2"/>
  <c r="AE45" i="2" s="1"/>
  <c r="AH45" i="2" s="1"/>
  <c r="AB44" i="2"/>
  <c r="AE44" i="2" s="1"/>
  <c r="L44" i="2"/>
  <c r="L48" i="2"/>
  <c r="L47" i="2"/>
  <c r="L45" i="2"/>
  <c r="L41" i="2"/>
  <c r="AB42" i="2"/>
  <c r="AE42" i="2" s="1"/>
  <c r="AH42" i="2" s="1"/>
  <c r="AB41" i="2"/>
  <c r="AE41" i="2" s="1"/>
  <c r="AH41" i="2" s="1"/>
  <c r="AB40" i="2"/>
  <c r="AE40" i="2" s="1"/>
  <c r="AN40" i="2"/>
  <c r="AN42" i="2"/>
  <c r="AN36" i="2"/>
  <c r="AN35" i="2"/>
  <c r="AH36" i="2"/>
  <c r="AB38" i="2"/>
  <c r="AE38" i="2" s="1"/>
  <c r="AH38" i="2" s="1"/>
  <c r="AB37" i="2"/>
  <c r="AE37" i="2" s="1"/>
  <c r="AH37" i="2" s="1"/>
  <c r="AB36" i="2"/>
  <c r="AB35" i="2"/>
  <c r="AE35" i="2" s="1"/>
  <c r="L38" i="2"/>
  <c r="L37" i="2"/>
  <c r="L33" i="2"/>
  <c r="L29" i="2"/>
  <c r="L30" i="2"/>
  <c r="AE32" i="2"/>
  <c r="AH32" i="2" s="1"/>
  <c r="AH31" i="2"/>
  <c r="AE30" i="2"/>
  <c r="AH30" i="2" s="1"/>
  <c r="AB33" i="2"/>
  <c r="AE33" i="2" s="1"/>
  <c r="AH33" i="2" s="1"/>
  <c r="AB32" i="2"/>
  <c r="AB31" i="2"/>
  <c r="AB30" i="2"/>
  <c r="AN31" i="2"/>
  <c r="AE25" i="2"/>
  <c r="AH25" i="2" s="1"/>
  <c r="AE24" i="2"/>
  <c r="AH24" i="2" s="1"/>
  <c r="AB22" i="2"/>
  <c r="AB28" i="2"/>
  <c r="AE28" i="2" s="1"/>
  <c r="AH28" i="2" s="1"/>
  <c r="AB27" i="2"/>
  <c r="AE27" i="2" s="1"/>
  <c r="AH27" i="2" s="1"/>
  <c r="AB26" i="2"/>
  <c r="AE26" i="2" s="1"/>
  <c r="AH26" i="2" s="1"/>
  <c r="AB25" i="2"/>
  <c r="AB24" i="2"/>
  <c r="AB23" i="2"/>
  <c r="AE23" i="2" s="1"/>
  <c r="AH23" i="2" s="1"/>
  <c r="L28" i="2"/>
  <c r="L27" i="2"/>
  <c r="L26" i="2"/>
  <c r="L25" i="2"/>
  <c r="L24" i="2"/>
  <c r="L22" i="2"/>
  <c r="L17" i="2"/>
  <c r="AN17" i="2"/>
  <c r="AB20" i="2"/>
  <c r="AE20" i="2" s="1"/>
  <c r="AH20" i="2" s="1"/>
  <c r="AB19" i="2"/>
  <c r="AE19" i="2" s="1"/>
  <c r="AH19" i="2" s="1"/>
  <c r="AB18" i="2"/>
  <c r="AE18" i="2" s="1"/>
  <c r="AH18" i="2" s="1"/>
  <c r="AB17" i="2"/>
  <c r="AH17" i="2" s="1"/>
  <c r="AB16" i="2"/>
  <c r="AE16" i="2" s="1"/>
  <c r="L20" i="2"/>
  <c r="L19" i="2"/>
  <c r="L18" i="2"/>
  <c r="L16" i="2"/>
  <c r="AB14" i="2"/>
  <c r="AE14" i="2" s="1"/>
  <c r="AH14" i="2" s="1"/>
  <c r="AB13" i="2"/>
  <c r="AE13" i="2" s="1"/>
  <c r="L13" i="2"/>
  <c r="L12" i="2" s="1"/>
  <c r="L14" i="2"/>
  <c r="AI205" i="2"/>
  <c r="N205" i="2"/>
  <c r="M205" i="2"/>
  <c r="K205" i="2"/>
  <c r="J205" i="2"/>
  <c r="AI204" i="2"/>
  <c r="N204" i="2"/>
  <c r="M204" i="2"/>
  <c r="K204" i="2"/>
  <c r="J204" i="2"/>
  <c r="AI202" i="2"/>
  <c r="M202" i="2"/>
  <c r="J202" i="2"/>
  <c r="AI201" i="2"/>
  <c r="N201" i="2"/>
  <c r="M201" i="2"/>
  <c r="K201" i="2"/>
  <c r="J201" i="2"/>
  <c r="AI200" i="2"/>
  <c r="N200" i="2"/>
  <c r="M200" i="2"/>
  <c r="K200" i="2"/>
  <c r="J200" i="2"/>
  <c r="AI199" i="2"/>
  <c r="N199" i="2"/>
  <c r="M199" i="2"/>
  <c r="K199" i="2"/>
  <c r="J199" i="2"/>
  <c r="AI197" i="2"/>
  <c r="M197" i="2"/>
  <c r="J197" i="2"/>
  <c r="N196" i="2"/>
  <c r="K196" i="2"/>
  <c r="AI195" i="2"/>
  <c r="N195" i="2"/>
  <c r="M195" i="2"/>
  <c r="K195" i="2"/>
  <c r="J195" i="2"/>
  <c r="AI194" i="2"/>
  <c r="N194" i="2"/>
  <c r="M194" i="2"/>
  <c r="K194" i="2"/>
  <c r="J194" i="2"/>
  <c r="AI191" i="2"/>
  <c r="N191" i="2"/>
  <c r="M191" i="2"/>
  <c r="K191" i="2"/>
  <c r="J191" i="2"/>
  <c r="AI190" i="2"/>
  <c r="N190" i="2"/>
  <c r="M190" i="2"/>
  <c r="K190" i="2"/>
  <c r="J190" i="2"/>
  <c r="AI189" i="2"/>
  <c r="N189" i="2"/>
  <c r="M189" i="2"/>
  <c r="K189" i="2"/>
  <c r="J189" i="2"/>
  <c r="AI188" i="2"/>
  <c r="N188" i="2"/>
  <c r="M188" i="2"/>
  <c r="K188" i="2"/>
  <c r="J188" i="2"/>
  <c r="AI186" i="2"/>
  <c r="N186" i="2"/>
  <c r="M186" i="2"/>
  <c r="K186" i="2"/>
  <c r="J186" i="2"/>
  <c r="AI185" i="2"/>
  <c r="N185" i="2"/>
  <c r="M185" i="2"/>
  <c r="K185" i="2"/>
  <c r="J185" i="2"/>
  <c r="AI183" i="2"/>
  <c r="N183" i="2"/>
  <c r="M183" i="2"/>
  <c r="K183" i="2"/>
  <c r="J183" i="2"/>
  <c r="AI181" i="2"/>
  <c r="N181" i="2"/>
  <c r="M181" i="2"/>
  <c r="K181" i="2"/>
  <c r="J181" i="2"/>
  <c r="AI180" i="2"/>
  <c r="N180" i="2"/>
  <c r="M180" i="2"/>
  <c r="K180" i="2"/>
  <c r="J180" i="2"/>
  <c r="N179" i="2"/>
  <c r="K179" i="2"/>
  <c r="AI178" i="2"/>
  <c r="N178" i="2"/>
  <c r="M178" i="2"/>
  <c r="K178" i="2"/>
  <c r="J178" i="2"/>
  <c r="AI177" i="2"/>
  <c r="N177" i="2"/>
  <c r="M177" i="2"/>
  <c r="K177" i="2"/>
  <c r="J177" i="2"/>
  <c r="AI175" i="2"/>
  <c r="N175" i="2"/>
  <c r="M175" i="2"/>
  <c r="K175" i="2"/>
  <c r="J175" i="2"/>
  <c r="AI174" i="2"/>
  <c r="N174" i="2"/>
  <c r="M174" i="2"/>
  <c r="K174" i="2"/>
  <c r="J174" i="2"/>
  <c r="AI172" i="2"/>
  <c r="N172" i="2"/>
  <c r="M172" i="2"/>
  <c r="K172" i="2"/>
  <c r="J172" i="2"/>
  <c r="AI171" i="2"/>
  <c r="N171" i="2"/>
  <c r="M171" i="2"/>
  <c r="K171" i="2"/>
  <c r="J171" i="2"/>
  <c r="AI169" i="2"/>
  <c r="N169" i="2"/>
  <c r="M169" i="2"/>
  <c r="K169" i="2"/>
  <c r="J169" i="2"/>
  <c r="AI168" i="2"/>
  <c r="N168" i="2"/>
  <c r="M168" i="2"/>
  <c r="K168" i="2"/>
  <c r="J168" i="2"/>
  <c r="AI167" i="2"/>
  <c r="N167" i="2"/>
  <c r="M167" i="2"/>
  <c r="K167" i="2"/>
  <c r="J167" i="2"/>
  <c r="AI166" i="2"/>
  <c r="N166" i="2"/>
  <c r="M166" i="2"/>
  <c r="K166" i="2"/>
  <c r="J166" i="2"/>
  <c r="N163" i="2"/>
  <c r="K163" i="2"/>
  <c r="N161" i="2"/>
  <c r="K161" i="2"/>
  <c r="N159" i="2"/>
  <c r="K159" i="2"/>
  <c r="AI158" i="2"/>
  <c r="N158" i="2"/>
  <c r="M158" i="2"/>
  <c r="K158" i="2"/>
  <c r="J158" i="2"/>
  <c r="AI157" i="2"/>
  <c r="N157" i="2"/>
  <c r="M157" i="2"/>
  <c r="K157" i="2"/>
  <c r="J157" i="2"/>
  <c r="AI156" i="2"/>
  <c r="N156" i="2"/>
  <c r="M156" i="2"/>
  <c r="K156" i="2"/>
  <c r="J156" i="2"/>
  <c r="AI155" i="2"/>
  <c r="N155" i="2"/>
  <c r="M155" i="2"/>
  <c r="K155" i="2"/>
  <c r="J155" i="2"/>
  <c r="N153" i="2"/>
  <c r="K153" i="2"/>
  <c r="N152" i="2"/>
  <c r="K152" i="2"/>
  <c r="AI151" i="2"/>
  <c r="N151" i="2"/>
  <c r="M151" i="2"/>
  <c r="K151" i="2"/>
  <c r="J151" i="2"/>
  <c r="AI150" i="2"/>
  <c r="N150" i="2"/>
  <c r="M150" i="2"/>
  <c r="K150" i="2"/>
  <c r="J150" i="2"/>
  <c r="AI149" i="2"/>
  <c r="N149" i="2"/>
  <c r="M149" i="2"/>
  <c r="K149" i="2"/>
  <c r="J149" i="2"/>
  <c r="AI147" i="2"/>
  <c r="N147" i="2"/>
  <c r="M147" i="2"/>
  <c r="K147" i="2"/>
  <c r="J147" i="2"/>
  <c r="AI146" i="2"/>
  <c r="N146" i="2"/>
  <c r="M146" i="2"/>
  <c r="K146" i="2"/>
  <c r="J146" i="2"/>
  <c r="AI144" i="2"/>
  <c r="N144" i="2"/>
  <c r="M144" i="2"/>
  <c r="K144" i="2"/>
  <c r="J144" i="2"/>
  <c r="AI143" i="2"/>
  <c r="N143" i="2"/>
  <c r="M143" i="2"/>
  <c r="K143" i="2"/>
  <c r="J143" i="2"/>
  <c r="AI142" i="2"/>
  <c r="N142" i="2"/>
  <c r="M142" i="2"/>
  <c r="K142" i="2"/>
  <c r="J142" i="2"/>
  <c r="AI141" i="2"/>
  <c r="N141" i="2"/>
  <c r="M141" i="2"/>
  <c r="K141" i="2"/>
  <c r="J141" i="2"/>
  <c r="AI139" i="2"/>
  <c r="N139" i="2"/>
  <c r="M139" i="2"/>
  <c r="K139" i="2"/>
  <c r="J139" i="2"/>
  <c r="N138" i="2"/>
  <c r="K138" i="2"/>
  <c r="AI137" i="2"/>
  <c r="N137" i="2"/>
  <c r="M137" i="2"/>
  <c r="K137" i="2"/>
  <c r="J137" i="2"/>
  <c r="AI136" i="2"/>
  <c r="N136" i="2"/>
  <c r="M136" i="2"/>
  <c r="K136" i="2"/>
  <c r="J136" i="2"/>
  <c r="AI135" i="2"/>
  <c r="N135" i="2"/>
  <c r="M135" i="2"/>
  <c r="K135" i="2"/>
  <c r="J135" i="2"/>
  <c r="AI134" i="2"/>
  <c r="N134" i="2"/>
  <c r="M134" i="2"/>
  <c r="K134" i="2"/>
  <c r="J134" i="2"/>
  <c r="AI133" i="2"/>
  <c r="N133" i="2"/>
  <c r="M133" i="2"/>
  <c r="K133" i="2"/>
  <c r="J133" i="2"/>
  <c r="AI132" i="2"/>
  <c r="N132" i="2"/>
  <c r="M132" i="2"/>
  <c r="K132" i="2"/>
  <c r="J132" i="2"/>
  <c r="AI129" i="2"/>
  <c r="N129" i="2"/>
  <c r="M129" i="2"/>
  <c r="K129" i="2"/>
  <c r="J129" i="2"/>
  <c r="N128" i="2"/>
  <c r="K128" i="2"/>
  <c r="AI127" i="2"/>
  <c r="N127" i="2"/>
  <c r="M127" i="2"/>
  <c r="K127" i="2"/>
  <c r="J127" i="2"/>
  <c r="AI125" i="2"/>
  <c r="N125" i="2"/>
  <c r="M125" i="2"/>
  <c r="K125" i="2"/>
  <c r="J125" i="2"/>
  <c r="AI123" i="2"/>
  <c r="N123" i="2"/>
  <c r="M123" i="2"/>
  <c r="K123" i="2"/>
  <c r="J123" i="2"/>
  <c r="AI121" i="2"/>
  <c r="N121" i="2"/>
  <c r="M121" i="2"/>
  <c r="K121" i="2"/>
  <c r="J121" i="2"/>
  <c r="N118" i="2"/>
  <c r="K118" i="2"/>
  <c r="N117" i="2"/>
  <c r="K117" i="2"/>
  <c r="N116" i="2"/>
  <c r="K116" i="2"/>
  <c r="N115" i="2"/>
  <c r="K115" i="2"/>
  <c r="N114" i="2"/>
  <c r="K114" i="2"/>
  <c r="AI108" i="2"/>
  <c r="N108" i="2"/>
  <c r="M108" i="2"/>
  <c r="K108" i="2"/>
  <c r="J108" i="2"/>
  <c r="AI107" i="2"/>
  <c r="M107" i="2"/>
  <c r="K107" i="2"/>
  <c r="J107" i="2"/>
  <c r="AI104" i="2"/>
  <c r="N104" i="2"/>
  <c r="M104" i="2"/>
  <c r="K104" i="2"/>
  <c r="J104" i="2"/>
  <c r="AI103" i="2"/>
  <c r="N103" i="2"/>
  <c r="M103" i="2"/>
  <c r="K103" i="2"/>
  <c r="J103" i="2"/>
  <c r="AI102" i="2"/>
  <c r="AL102" i="2" s="1"/>
  <c r="N102" i="2"/>
  <c r="M102" i="2"/>
  <c r="K102" i="2"/>
  <c r="J102" i="2"/>
  <c r="AI100" i="2"/>
  <c r="N100" i="2"/>
  <c r="M100" i="2"/>
  <c r="K100" i="2"/>
  <c r="J100" i="2"/>
  <c r="N99" i="2"/>
  <c r="K99" i="2"/>
  <c r="N98" i="2"/>
  <c r="K98" i="2"/>
  <c r="AI97" i="2"/>
  <c r="N97" i="2"/>
  <c r="M97" i="2"/>
  <c r="K97" i="2"/>
  <c r="J97" i="2"/>
  <c r="AI96" i="2"/>
  <c r="N96" i="2"/>
  <c r="M96" i="2"/>
  <c r="K96" i="2"/>
  <c r="J96" i="2"/>
  <c r="AI95" i="2"/>
  <c r="N95" i="2"/>
  <c r="M95" i="2"/>
  <c r="K95" i="2"/>
  <c r="J95" i="2"/>
  <c r="N94" i="2"/>
  <c r="K94" i="2"/>
  <c r="N93" i="2"/>
  <c r="K93" i="2"/>
  <c r="AI90" i="2"/>
  <c r="N90" i="2"/>
  <c r="M90" i="2"/>
  <c r="K90" i="2"/>
  <c r="J90" i="2"/>
  <c r="AI89" i="2"/>
  <c r="N89" i="2"/>
  <c r="M89" i="2"/>
  <c r="K89" i="2"/>
  <c r="J89" i="2"/>
  <c r="AI88" i="2"/>
  <c r="N88" i="2"/>
  <c r="M88" i="2"/>
  <c r="K88" i="2"/>
  <c r="J88" i="2"/>
  <c r="AI87" i="2"/>
  <c r="N87" i="2"/>
  <c r="M87" i="2"/>
  <c r="K87" i="2"/>
  <c r="J87" i="2"/>
  <c r="AI86" i="2"/>
  <c r="N86" i="2"/>
  <c r="M86" i="2"/>
  <c r="K86" i="2"/>
  <c r="J86" i="2"/>
  <c r="N84" i="2"/>
  <c r="K84" i="2"/>
  <c r="AI81" i="2"/>
  <c r="N81" i="2"/>
  <c r="M81" i="2"/>
  <c r="K81" i="2"/>
  <c r="J81" i="2"/>
  <c r="AI79" i="2"/>
  <c r="M79" i="2"/>
  <c r="J79" i="2"/>
  <c r="N78" i="2"/>
  <c r="K78" i="2"/>
  <c r="AI76" i="2"/>
  <c r="N76" i="2"/>
  <c r="M76" i="2"/>
  <c r="K76" i="2"/>
  <c r="J76" i="2"/>
  <c r="AI75" i="2"/>
  <c r="N75" i="2"/>
  <c r="M75" i="2"/>
  <c r="K75" i="2"/>
  <c r="J75" i="2"/>
  <c r="AI74" i="2"/>
  <c r="N74" i="2"/>
  <c r="M74" i="2"/>
  <c r="K74" i="2"/>
  <c r="J74" i="2"/>
  <c r="AI72" i="2"/>
  <c r="N72" i="2"/>
  <c r="M72" i="2"/>
  <c r="K72" i="2"/>
  <c r="J72" i="2"/>
  <c r="AI71" i="2"/>
  <c r="N71" i="2"/>
  <c r="M71" i="2"/>
  <c r="K71" i="2"/>
  <c r="J71" i="2"/>
  <c r="AI70" i="2"/>
  <c r="N70" i="2"/>
  <c r="M70" i="2"/>
  <c r="K70" i="2"/>
  <c r="J70" i="2"/>
  <c r="AI69" i="2"/>
  <c r="N69" i="2"/>
  <c r="M69" i="2"/>
  <c r="K69" i="2"/>
  <c r="J69" i="2"/>
  <c r="N67" i="2"/>
  <c r="K67" i="2"/>
  <c r="AI66" i="2"/>
  <c r="N66" i="2"/>
  <c r="M66" i="2"/>
  <c r="K66" i="2"/>
  <c r="J66" i="2"/>
  <c r="N65" i="2"/>
  <c r="K65" i="2"/>
  <c r="AI64" i="2"/>
  <c r="N64" i="2"/>
  <c r="M64" i="2"/>
  <c r="K64" i="2"/>
  <c r="J64" i="2"/>
  <c r="AI63" i="2"/>
  <c r="N63" i="2"/>
  <c r="M63" i="2"/>
  <c r="K63" i="2"/>
  <c r="J63" i="2"/>
  <c r="AI62" i="2"/>
  <c r="N62" i="2"/>
  <c r="M62" i="2"/>
  <c r="K62" i="2"/>
  <c r="J62" i="2"/>
  <c r="AI61" i="2"/>
  <c r="N61" i="2"/>
  <c r="M61" i="2"/>
  <c r="K61" i="2"/>
  <c r="J61" i="2"/>
  <c r="AI59" i="2"/>
  <c r="N59" i="2"/>
  <c r="M59" i="2"/>
  <c r="K59" i="2"/>
  <c r="J59" i="2"/>
  <c r="AI58" i="2"/>
  <c r="N58" i="2"/>
  <c r="M58" i="2"/>
  <c r="K58" i="2"/>
  <c r="J58" i="2"/>
  <c r="AI57" i="2"/>
  <c r="N57" i="2"/>
  <c r="M57" i="2"/>
  <c r="K57" i="2"/>
  <c r="J57" i="2"/>
  <c r="AI55" i="2"/>
  <c r="N55" i="2"/>
  <c r="M55" i="2"/>
  <c r="K55" i="2"/>
  <c r="J55" i="2"/>
  <c r="AI54" i="2"/>
  <c r="N54" i="2"/>
  <c r="M54" i="2"/>
  <c r="K54" i="2"/>
  <c r="J54" i="2"/>
  <c r="AI53" i="2"/>
  <c r="N53" i="2"/>
  <c r="M53" i="2"/>
  <c r="K53" i="2"/>
  <c r="J53" i="2"/>
  <c r="N51" i="2"/>
  <c r="K51" i="2"/>
  <c r="N50" i="2"/>
  <c r="K50" i="2"/>
  <c r="AI48" i="2"/>
  <c r="N48" i="2"/>
  <c r="M48" i="2"/>
  <c r="K48" i="2"/>
  <c r="J48" i="2"/>
  <c r="AI47" i="2"/>
  <c r="N47" i="2"/>
  <c r="M47" i="2"/>
  <c r="K47" i="2"/>
  <c r="J47" i="2"/>
  <c r="AI46" i="2"/>
  <c r="N46" i="2"/>
  <c r="M46" i="2"/>
  <c r="K46" i="2"/>
  <c r="J46" i="2"/>
  <c r="AI45" i="2"/>
  <c r="N45" i="2"/>
  <c r="M45" i="2"/>
  <c r="K45" i="2"/>
  <c r="J45" i="2"/>
  <c r="AI44" i="2"/>
  <c r="N44" i="2"/>
  <c r="M44" i="2"/>
  <c r="K44" i="2"/>
  <c r="J44" i="2"/>
  <c r="AI42" i="2"/>
  <c r="N42" i="2"/>
  <c r="M42" i="2"/>
  <c r="K42" i="2"/>
  <c r="J42" i="2"/>
  <c r="AI41" i="2"/>
  <c r="N41" i="2"/>
  <c r="M41" i="2"/>
  <c r="K41" i="2"/>
  <c r="J41" i="2"/>
  <c r="AI40" i="2"/>
  <c r="N40" i="2"/>
  <c r="M40" i="2"/>
  <c r="K40" i="2"/>
  <c r="J40" i="2"/>
  <c r="AI38" i="2"/>
  <c r="N38" i="2"/>
  <c r="M38" i="2"/>
  <c r="K38" i="2"/>
  <c r="J38" i="2"/>
  <c r="AI37" i="2"/>
  <c r="N37" i="2"/>
  <c r="M37" i="2"/>
  <c r="K37" i="2"/>
  <c r="J37" i="2"/>
  <c r="AI36" i="2"/>
  <c r="N36" i="2"/>
  <c r="M36" i="2"/>
  <c r="K36" i="2"/>
  <c r="J36" i="2"/>
  <c r="AI35" i="2"/>
  <c r="N35" i="2"/>
  <c r="M35" i="2"/>
  <c r="K35" i="2"/>
  <c r="J35" i="2"/>
  <c r="AI33" i="2"/>
  <c r="N33" i="2"/>
  <c r="M33" i="2"/>
  <c r="K33" i="2"/>
  <c r="J33" i="2"/>
  <c r="AI32" i="2"/>
  <c r="N32" i="2"/>
  <c r="M32" i="2"/>
  <c r="K32" i="2"/>
  <c r="J32" i="2"/>
  <c r="AI31" i="2"/>
  <c r="N31" i="2"/>
  <c r="M31" i="2"/>
  <c r="K31" i="2"/>
  <c r="J31" i="2"/>
  <c r="AI30" i="2"/>
  <c r="N30" i="2"/>
  <c r="M30" i="2"/>
  <c r="K30" i="2"/>
  <c r="J30" i="2"/>
  <c r="AI28" i="2"/>
  <c r="N28" i="2"/>
  <c r="M28" i="2"/>
  <c r="K28" i="2"/>
  <c r="J28" i="2"/>
  <c r="AI27" i="2"/>
  <c r="N27" i="2"/>
  <c r="M27" i="2"/>
  <c r="K27" i="2"/>
  <c r="J27" i="2"/>
  <c r="AI26" i="2"/>
  <c r="N26" i="2"/>
  <c r="M26" i="2"/>
  <c r="K26" i="2"/>
  <c r="J26" i="2"/>
  <c r="AI25" i="2"/>
  <c r="N25" i="2"/>
  <c r="M25" i="2"/>
  <c r="K25" i="2"/>
  <c r="J25" i="2"/>
  <c r="AI24" i="2"/>
  <c r="N24" i="2"/>
  <c r="M24" i="2"/>
  <c r="K24" i="2"/>
  <c r="J24" i="2"/>
  <c r="AI23" i="2"/>
  <c r="N23" i="2"/>
  <c r="M23" i="2"/>
  <c r="K23" i="2"/>
  <c r="J23" i="2"/>
  <c r="AI22" i="2"/>
  <c r="N22" i="2"/>
  <c r="M22" i="2"/>
  <c r="K22" i="2"/>
  <c r="J22" i="2"/>
  <c r="AI20" i="2"/>
  <c r="N20" i="2"/>
  <c r="M20" i="2"/>
  <c r="K20" i="2"/>
  <c r="J20" i="2"/>
  <c r="AI19" i="2"/>
  <c r="N19" i="2"/>
  <c r="M19" i="2"/>
  <c r="K19" i="2"/>
  <c r="J19" i="2"/>
  <c r="AI18" i="2"/>
  <c r="N18" i="2"/>
  <c r="M18" i="2"/>
  <c r="K18" i="2"/>
  <c r="J18" i="2"/>
  <c r="AI17" i="2"/>
  <c r="N17" i="2"/>
  <c r="M17" i="2"/>
  <c r="K17" i="2"/>
  <c r="J17" i="2"/>
  <c r="N16" i="2"/>
  <c r="K16" i="2"/>
  <c r="AI14" i="2"/>
  <c r="N14" i="2"/>
  <c r="M14" i="2"/>
  <c r="K14" i="2"/>
  <c r="J14" i="2"/>
  <c r="AI13" i="2"/>
  <c r="N13" i="2"/>
  <c r="M13" i="2"/>
  <c r="K13" i="2"/>
  <c r="J13" i="2"/>
  <c r="AI11" i="2"/>
  <c r="N11" i="2"/>
  <c r="M11" i="2"/>
  <c r="L11" i="2"/>
  <c r="K11" i="2"/>
  <c r="J11" i="2"/>
  <c r="AI10" i="2"/>
  <c r="N10" i="2"/>
  <c r="M10" i="2"/>
  <c r="L10" i="2"/>
  <c r="K10" i="2"/>
  <c r="J10" i="2"/>
  <c r="AI9" i="2"/>
  <c r="N9" i="2"/>
  <c r="M9" i="2"/>
  <c r="L9" i="2"/>
  <c r="K9" i="2"/>
  <c r="J9" i="2"/>
  <c r="AI8" i="2"/>
  <c r="N8" i="2"/>
  <c r="M8" i="2"/>
  <c r="L8" i="2"/>
  <c r="K8" i="2"/>
  <c r="J8" i="2"/>
  <c r="AI7" i="2"/>
  <c r="N7" i="2"/>
  <c r="M7" i="2"/>
  <c r="L7" i="2"/>
  <c r="K7" i="2"/>
  <c r="J7" i="2"/>
  <c r="L6" i="2"/>
  <c r="K6" i="2"/>
  <c r="I192" i="2"/>
  <c r="I164" i="2"/>
  <c r="AB7" i="2"/>
  <c r="AB8" i="2"/>
  <c r="AE8" i="2" s="1"/>
  <c r="AH8" i="2" s="1"/>
  <c r="AB9" i="2"/>
  <c r="AE9" i="2" s="1"/>
  <c r="AH9" i="2" s="1"/>
  <c r="AB10" i="2"/>
  <c r="AE10" i="2" s="1"/>
  <c r="AH10" i="2" s="1"/>
  <c r="AB11" i="2"/>
  <c r="AE11" i="2" s="1"/>
  <c r="AH11" i="2" s="1"/>
  <c r="AB6" i="2"/>
  <c r="AE6" i="2" s="1"/>
  <c r="AH6" i="2" s="1"/>
  <c r="AH92" i="2" l="1"/>
  <c r="AH91" i="2" s="1"/>
  <c r="I91" i="2" s="1"/>
  <c r="AE91" i="2"/>
  <c r="AE73" i="2"/>
  <c r="L52" i="2"/>
  <c r="L49" i="2"/>
  <c r="AE49" i="2"/>
  <c r="AE43" i="2"/>
  <c r="AE39" i="2"/>
  <c r="AH29" i="2"/>
  <c r="AE15" i="2"/>
  <c r="L50" i="8" s="1"/>
  <c r="L47" i="8" s="1"/>
  <c r="AH13" i="2"/>
  <c r="AE12" i="2"/>
  <c r="AH12" i="2"/>
  <c r="L39" i="2"/>
  <c r="K160" i="2"/>
  <c r="AE60" i="2"/>
  <c r="L15" i="2"/>
  <c r="L56" i="2"/>
  <c r="AE29" i="2"/>
  <c r="L85" i="2"/>
  <c r="AE52" i="2"/>
  <c r="AH53" i="2"/>
  <c r="AH52" i="2" s="1"/>
  <c r="AH60" i="2"/>
  <c r="AE34" i="2"/>
  <c r="AH35" i="2"/>
  <c r="AH34" i="2" s="1"/>
  <c r="AE56" i="2"/>
  <c r="AH57" i="2"/>
  <c r="AH56" i="2" s="1"/>
  <c r="AH78" i="2"/>
  <c r="AH77" i="2" s="1"/>
  <c r="L21" i="2"/>
  <c r="AH44" i="2"/>
  <c r="AH43" i="2" s="1"/>
  <c r="AH16" i="2"/>
  <c r="AH15" i="2" s="1"/>
  <c r="AH22" i="2"/>
  <c r="AH21" i="2" s="1"/>
  <c r="AE21" i="2"/>
  <c r="L5" i="2"/>
  <c r="K5" i="2"/>
  <c r="AE7" i="2"/>
  <c r="AH7" i="2" s="1"/>
  <c r="AH5" i="2" s="1"/>
  <c r="AH86" i="2"/>
  <c r="AH85" i="2" s="1"/>
  <c r="AE85" i="2"/>
  <c r="AH69" i="2"/>
  <c r="AH68" i="2" s="1"/>
  <c r="AE68" i="2"/>
  <c r="AH73" i="2"/>
  <c r="AH50" i="2"/>
  <c r="AH49" i="2" s="1"/>
  <c r="AH40" i="2"/>
  <c r="AH39" i="2" s="1"/>
  <c r="AN210" i="1"/>
  <c r="AG209" i="1"/>
  <c r="AE208" i="1"/>
  <c r="AH208" i="1" s="1"/>
  <c r="AE201" i="1"/>
  <c r="AH201" i="1" s="1"/>
  <c r="AE200" i="1"/>
  <c r="AE199" i="1" s="1"/>
  <c r="AK196" i="1"/>
  <c r="AM194" i="1"/>
  <c r="AN188" i="1"/>
  <c r="AK188" i="1"/>
  <c r="AH188" i="1"/>
  <c r="AG179" i="1"/>
  <c r="AK178" i="1"/>
  <c r="AN178" i="1" s="1"/>
  <c r="AE176" i="1"/>
  <c r="AH176" i="1" s="1"/>
  <c r="AE174" i="1"/>
  <c r="AH174" i="1" s="1"/>
  <c r="AK167" i="1"/>
  <c r="AN167" i="1" s="1"/>
  <c r="AE170" i="1"/>
  <c r="AH170" i="1" s="1"/>
  <c r="AE168" i="1"/>
  <c r="AH168" i="1" s="1"/>
  <c r="AN163" i="1"/>
  <c r="AK163" i="1"/>
  <c r="AH163" i="1"/>
  <c r="AM157" i="1"/>
  <c r="AN158" i="1"/>
  <c r="AN156" i="1"/>
  <c r="AK158" i="1"/>
  <c r="AK156" i="1"/>
  <c r="AN150" i="1"/>
  <c r="AE152" i="1"/>
  <c r="AH152" i="1" s="1"/>
  <c r="AE150" i="1"/>
  <c r="AH150" i="1" s="1"/>
  <c r="AE146" i="1"/>
  <c r="AH146" i="1" s="1"/>
  <c r="AE145" i="1"/>
  <c r="AH145" i="1" s="1"/>
  <c r="AE142" i="1"/>
  <c r="AH142" i="1" s="1"/>
  <c r="W210" i="1"/>
  <c r="W201" i="1"/>
  <c r="AK201" i="1" s="1"/>
  <c r="AN201" i="1" s="1"/>
  <c r="W200" i="1"/>
  <c r="AK200" i="1" s="1"/>
  <c r="W198" i="1"/>
  <c r="AK198" i="1" s="1"/>
  <c r="AN198" i="1" s="1"/>
  <c r="W196" i="1"/>
  <c r="W188" i="1"/>
  <c r="W187" i="1"/>
  <c r="AK187" i="1" s="1"/>
  <c r="W185" i="1"/>
  <c r="AK185" i="1" s="1"/>
  <c r="W183" i="1"/>
  <c r="AK183" i="1" s="1"/>
  <c r="AN183" i="1" s="1"/>
  <c r="W180" i="1"/>
  <c r="AK180" i="1" s="1"/>
  <c r="W178" i="1"/>
  <c r="W177" i="1"/>
  <c r="AK177" i="1" s="1"/>
  <c r="AN177" i="1" s="1"/>
  <c r="W168" i="1"/>
  <c r="AK168" i="1" s="1"/>
  <c r="AN168" i="1" s="1"/>
  <c r="W167" i="1"/>
  <c r="AB165" i="1"/>
  <c r="W165" i="1" s="1"/>
  <c r="AK165" i="1" s="1"/>
  <c r="W163" i="1"/>
  <c r="W161" i="1"/>
  <c r="AK161" i="1" s="1"/>
  <c r="AN161" i="1" s="1"/>
  <c r="W158" i="1"/>
  <c r="W156" i="1"/>
  <c r="W154" i="1"/>
  <c r="AN154" i="1" s="1"/>
  <c r="W151" i="1"/>
  <c r="AK151" i="1" s="1"/>
  <c r="AN151" i="1" s="1"/>
  <c r="W152" i="1"/>
  <c r="AK152" i="1" s="1"/>
  <c r="AN152" i="1" s="1"/>
  <c r="W149" i="1"/>
  <c r="AK149" i="1" s="1"/>
  <c r="W145" i="1"/>
  <c r="AK145" i="1" s="1"/>
  <c r="AN145" i="1" s="1"/>
  <c r="W144" i="1"/>
  <c r="AK144" i="1" s="1"/>
  <c r="L157" i="1"/>
  <c r="L152" i="1"/>
  <c r="L146" i="1"/>
  <c r="L144" i="1"/>
  <c r="W141" i="1"/>
  <c r="AK141" i="1" s="1"/>
  <c r="AB211" i="1"/>
  <c r="W211" i="1" s="1"/>
  <c r="AK211" i="1" s="1"/>
  <c r="AB210" i="1"/>
  <c r="AE210" i="1" s="1"/>
  <c r="AB208" i="1"/>
  <c r="W208" i="1" s="1"/>
  <c r="AK208" i="1" s="1"/>
  <c r="AN208" i="1" s="1"/>
  <c r="AB207" i="1"/>
  <c r="W207" i="1" s="1"/>
  <c r="AK207" i="1" s="1"/>
  <c r="AB205" i="1"/>
  <c r="W205" i="1" s="1"/>
  <c r="AK205" i="1" s="1"/>
  <c r="AN205" i="1" s="1"/>
  <c r="AB204" i="1"/>
  <c r="AE204" i="1" s="1"/>
  <c r="AB202" i="1"/>
  <c r="AE202" i="1" s="1"/>
  <c r="AH202" i="1" s="1"/>
  <c r="AB201" i="1"/>
  <c r="AB200" i="1"/>
  <c r="AB198" i="1"/>
  <c r="AE198" i="1" s="1"/>
  <c r="AH198" i="1" s="1"/>
  <c r="AB197" i="1"/>
  <c r="AE197" i="1" s="1"/>
  <c r="AH197" i="1" s="1"/>
  <c r="AB196" i="1"/>
  <c r="AE196" i="1" s="1"/>
  <c r="AB194" i="1"/>
  <c r="W194" i="1" s="1"/>
  <c r="AK194" i="1" s="1"/>
  <c r="AN194" i="1" s="1"/>
  <c r="AB193" i="1"/>
  <c r="AE193" i="1" s="1"/>
  <c r="AB191" i="1"/>
  <c r="AE191" i="1" s="1"/>
  <c r="AH191" i="1" s="1"/>
  <c r="AB190" i="1"/>
  <c r="AE190" i="1" s="1"/>
  <c r="AH190" i="1" s="1"/>
  <c r="AB189" i="1"/>
  <c r="W189" i="1" s="1"/>
  <c r="AK189" i="1" s="1"/>
  <c r="AN189" i="1" s="1"/>
  <c r="AB188" i="1"/>
  <c r="AB187" i="1"/>
  <c r="AE187" i="1" s="1"/>
  <c r="AB185" i="1"/>
  <c r="AE185" i="1" s="1"/>
  <c r="AB183" i="1"/>
  <c r="AE183" i="1" s="1"/>
  <c r="AH183" i="1" s="1"/>
  <c r="AB182" i="1"/>
  <c r="AE182" i="1" s="1"/>
  <c r="AH182" i="1" s="1"/>
  <c r="AB181" i="1"/>
  <c r="AE181" i="1" s="1"/>
  <c r="AH181" i="1" s="1"/>
  <c r="AB180" i="1"/>
  <c r="AE180" i="1" s="1"/>
  <c r="AB178" i="1"/>
  <c r="AB177" i="1"/>
  <c r="AE177" i="1" s="1"/>
  <c r="AB176" i="1"/>
  <c r="W176" i="1" s="1"/>
  <c r="AK176" i="1" s="1"/>
  <c r="AB174" i="1"/>
  <c r="W174" i="1" s="1"/>
  <c r="AK174" i="1" s="1"/>
  <c r="AN174" i="1" s="1"/>
  <c r="AB173" i="1"/>
  <c r="AE173" i="1" s="1"/>
  <c r="AH173" i="1" s="1"/>
  <c r="AB170" i="1"/>
  <c r="W170" i="1" s="1"/>
  <c r="AK170" i="1" s="1"/>
  <c r="AN170" i="1" s="1"/>
  <c r="AB169" i="1"/>
  <c r="W169" i="1" s="1"/>
  <c r="AK169" i="1" s="1"/>
  <c r="AB168" i="1"/>
  <c r="AB167" i="1"/>
  <c r="AE167" i="1" s="1"/>
  <c r="AH167" i="1" s="1"/>
  <c r="AB164" i="1"/>
  <c r="AE164" i="1" s="1"/>
  <c r="AH164" i="1" s="1"/>
  <c r="AB163" i="1"/>
  <c r="AB162" i="1"/>
  <c r="W162" i="1" s="1"/>
  <c r="AK162" i="1" s="1"/>
  <c r="AN162" i="1" s="1"/>
  <c r="AB161" i="1"/>
  <c r="AE161" i="1" s="1"/>
  <c r="AH161" i="1" s="1"/>
  <c r="AB159" i="1"/>
  <c r="AH159" i="1" s="1"/>
  <c r="AB158" i="1"/>
  <c r="AB157" i="1"/>
  <c r="W157" i="1" s="1"/>
  <c r="AK157" i="1" s="1"/>
  <c r="AN157" i="1" s="1"/>
  <c r="AB156" i="1"/>
  <c r="AE156" i="1" s="1"/>
  <c r="AH156" i="1" s="1"/>
  <c r="AB155" i="1"/>
  <c r="W155" i="1" s="1"/>
  <c r="AN155" i="1" s="1"/>
  <c r="AB154" i="1"/>
  <c r="AB152" i="1"/>
  <c r="AB151" i="1"/>
  <c r="AE151" i="1" s="1"/>
  <c r="AH151" i="1" s="1"/>
  <c r="AB150" i="1"/>
  <c r="W150" i="1" s="1"/>
  <c r="AB149" i="1"/>
  <c r="AE149" i="1" s="1"/>
  <c r="AH149" i="1" s="1"/>
  <c r="AB147" i="1"/>
  <c r="W147" i="1" s="1"/>
  <c r="AK147" i="1" s="1"/>
  <c r="AN147" i="1" s="1"/>
  <c r="AB146" i="1"/>
  <c r="W146" i="1" s="1"/>
  <c r="AK146" i="1" s="1"/>
  <c r="AN146" i="1" s="1"/>
  <c r="AB145" i="1"/>
  <c r="AB144" i="1"/>
  <c r="AE144" i="1" s="1"/>
  <c r="AH144" i="1" s="1"/>
  <c r="AB142" i="1"/>
  <c r="W142" i="1" s="1"/>
  <c r="AK142" i="1" s="1"/>
  <c r="AN142" i="1" s="1"/>
  <c r="AB141" i="1"/>
  <c r="AE141" i="1" s="1"/>
  <c r="AK135" i="1"/>
  <c r="AN135" i="1" s="1"/>
  <c r="AE135" i="1"/>
  <c r="AB139" i="1"/>
  <c r="W139" i="1" s="1"/>
  <c r="AK139" i="1" s="1"/>
  <c r="AN139" i="1" s="1"/>
  <c r="AB138" i="1"/>
  <c r="W138" i="1" s="1"/>
  <c r="AK138" i="1" s="1"/>
  <c r="AN138" i="1" s="1"/>
  <c r="AB137" i="1"/>
  <c r="W137" i="1" s="1"/>
  <c r="AK137" i="1" s="1"/>
  <c r="AN137" i="1" s="1"/>
  <c r="AB136" i="1"/>
  <c r="W136" i="1" s="1"/>
  <c r="AK136" i="1" s="1"/>
  <c r="AN136" i="1" s="1"/>
  <c r="AB135" i="1"/>
  <c r="W135" i="1" s="1"/>
  <c r="AB134" i="1"/>
  <c r="W134" i="1" s="1"/>
  <c r="AK134" i="1" s="1"/>
  <c r="AN134" i="1" s="1"/>
  <c r="AB133" i="1"/>
  <c r="AH133" i="1" s="1"/>
  <c r="AB132" i="1"/>
  <c r="L169" i="1"/>
  <c r="L168" i="1"/>
  <c r="L167" i="1"/>
  <c r="L165" i="1"/>
  <c r="L164" i="1"/>
  <c r="L162" i="1"/>
  <c r="L161" i="1"/>
  <c r="L159" i="1"/>
  <c r="L156" i="1"/>
  <c r="L151" i="1"/>
  <c r="L149" i="1"/>
  <c r="L147" i="1"/>
  <c r="L145" i="1"/>
  <c r="L143" i="1"/>
  <c r="L142" i="1"/>
  <c r="L141" i="1"/>
  <c r="L140" i="1" s="1"/>
  <c r="L135" i="1"/>
  <c r="L137" i="1"/>
  <c r="L134" i="1"/>
  <c r="L133" i="1"/>
  <c r="L132" i="1"/>
  <c r="L127" i="1"/>
  <c r="L124" i="1"/>
  <c r="K130" i="1"/>
  <c r="L125" i="1"/>
  <c r="AN129" i="1"/>
  <c r="AN128" i="1"/>
  <c r="AN126" i="1"/>
  <c r="AK129" i="1"/>
  <c r="AK128" i="1"/>
  <c r="AK126" i="1"/>
  <c r="AE125" i="1"/>
  <c r="W128" i="1"/>
  <c r="W129" i="1"/>
  <c r="W126" i="1"/>
  <c r="AB129" i="1"/>
  <c r="AB128" i="1"/>
  <c r="AB127" i="1"/>
  <c r="AE127" i="1" s="1"/>
  <c r="AH127" i="1" s="1"/>
  <c r="AB126" i="1"/>
  <c r="W124" i="1"/>
  <c r="AK124" i="1" s="1"/>
  <c r="AN124" i="1" s="1"/>
  <c r="AN120" i="1"/>
  <c r="AK119" i="1"/>
  <c r="AN119" i="1" s="1"/>
  <c r="AE118" i="1"/>
  <c r="AH118" i="1" s="1"/>
  <c r="AE117" i="1"/>
  <c r="AH117" i="1" s="1"/>
  <c r="AE116" i="1"/>
  <c r="AH116" i="1" s="1"/>
  <c r="AH115" i="1"/>
  <c r="AE107" i="1"/>
  <c r="AH107" i="1" s="1"/>
  <c r="AE106" i="1"/>
  <c r="W120" i="1"/>
  <c r="W119" i="1"/>
  <c r="W118" i="1"/>
  <c r="AK118" i="1" s="1"/>
  <c r="AN118" i="1" s="1"/>
  <c r="W111" i="1"/>
  <c r="AN111" i="1" s="1"/>
  <c r="W107" i="1"/>
  <c r="AK107" i="1" s="1"/>
  <c r="AN107" i="1" s="1"/>
  <c r="W104" i="1"/>
  <c r="W103" i="1"/>
  <c r="AK104" i="1"/>
  <c r="AN104" i="1" s="1"/>
  <c r="AK103" i="1"/>
  <c r="AK102" i="1" s="1"/>
  <c r="L118" i="1"/>
  <c r="L106" i="1"/>
  <c r="AB124" i="1"/>
  <c r="AE124" i="1" s="1"/>
  <c r="AH124" i="1" s="1"/>
  <c r="AB123" i="1"/>
  <c r="AE123" i="1" s="1"/>
  <c r="AH123" i="1" s="1"/>
  <c r="AB122" i="1"/>
  <c r="AE122" i="1" s="1"/>
  <c r="AH122" i="1" s="1"/>
  <c r="AB121" i="1"/>
  <c r="AE121" i="1" s="1"/>
  <c r="AH121" i="1" s="1"/>
  <c r="AB120" i="1"/>
  <c r="AE120" i="1" s="1"/>
  <c r="AH120" i="1" s="1"/>
  <c r="AB119" i="1"/>
  <c r="AE119" i="1" s="1"/>
  <c r="AH119" i="1" s="1"/>
  <c r="AB118" i="1"/>
  <c r="AB117" i="1"/>
  <c r="W117" i="1" s="1"/>
  <c r="AK117" i="1" s="1"/>
  <c r="AN117" i="1" s="1"/>
  <c r="AB116" i="1"/>
  <c r="W116" i="1" s="1"/>
  <c r="AK116" i="1" s="1"/>
  <c r="AN116" i="1" s="1"/>
  <c r="AB115" i="1"/>
  <c r="W115" i="1" s="1"/>
  <c r="AK115" i="1" s="1"/>
  <c r="AN115" i="1" s="1"/>
  <c r="AB114" i="1"/>
  <c r="AE114" i="1" s="1"/>
  <c r="AH114" i="1" s="1"/>
  <c r="AB113" i="1"/>
  <c r="W113" i="1" s="1"/>
  <c r="AK113" i="1" s="1"/>
  <c r="AN113" i="1" s="1"/>
  <c r="AB112" i="1"/>
  <c r="AE112" i="1" s="1"/>
  <c r="AH112" i="1" s="1"/>
  <c r="AB111" i="1"/>
  <c r="AH111" i="1" s="1"/>
  <c r="AB110" i="1"/>
  <c r="W110" i="1" s="1"/>
  <c r="AK110" i="1" s="1"/>
  <c r="AN110" i="1" s="1"/>
  <c r="AB109" i="1"/>
  <c r="AE109" i="1" s="1"/>
  <c r="AH109" i="1" s="1"/>
  <c r="AB108" i="1"/>
  <c r="AE108" i="1" s="1"/>
  <c r="AH108" i="1" s="1"/>
  <c r="AB107" i="1"/>
  <c r="AB106" i="1"/>
  <c r="W106" i="1" s="1"/>
  <c r="AK106" i="1" s="1"/>
  <c r="AB104" i="1"/>
  <c r="AB103" i="1"/>
  <c r="AE103" i="1" s="1"/>
  <c r="L123" i="1"/>
  <c r="L122" i="1"/>
  <c r="L121" i="1"/>
  <c r="L120" i="1"/>
  <c r="L119" i="1"/>
  <c r="L116" i="1"/>
  <c r="L115" i="1"/>
  <c r="L114" i="1"/>
  <c r="L113" i="1"/>
  <c r="L112" i="1"/>
  <c r="L111" i="1"/>
  <c r="L110" i="1"/>
  <c r="L109" i="1"/>
  <c r="L108" i="1"/>
  <c r="L107" i="1"/>
  <c r="L101" i="1"/>
  <c r="L99" i="1" s="1"/>
  <c r="L103" i="1"/>
  <c r="L102" i="1"/>
  <c r="L209" i="1"/>
  <c r="L206" i="1"/>
  <c r="L203" i="1"/>
  <c r="L199" i="1"/>
  <c r="L195" i="1"/>
  <c r="L192" i="1"/>
  <c r="L184" i="1"/>
  <c r="L175" i="1"/>
  <c r="L172" i="1"/>
  <c r="AE101" i="1"/>
  <c r="AH101" i="1" s="1"/>
  <c r="AB101" i="1"/>
  <c r="W101" i="1" s="1"/>
  <c r="AK101" i="1" s="1"/>
  <c r="AN101" i="1" s="1"/>
  <c r="AB100" i="1"/>
  <c r="AE100" i="1" s="1"/>
  <c r="L100" i="1"/>
  <c r="AN93" i="1"/>
  <c r="AF92" i="1"/>
  <c r="AG92" i="1"/>
  <c r="AG91" i="1"/>
  <c r="AH94" i="1"/>
  <c r="AH96" i="1"/>
  <c r="AH98" i="1"/>
  <c r="W96" i="1"/>
  <c r="AN96" i="1" s="1"/>
  <c r="AB95" i="1"/>
  <c r="W95" i="1" s="1"/>
  <c r="AN95" i="1" s="1"/>
  <c r="AB98" i="1"/>
  <c r="AE98" i="1" s="1"/>
  <c r="AB97" i="1"/>
  <c r="AE97" i="1" s="1"/>
  <c r="AH97" i="1" s="1"/>
  <c r="AB96" i="1"/>
  <c r="AB94" i="1"/>
  <c r="W94" i="1" s="1"/>
  <c r="AK94" i="1" s="1"/>
  <c r="AB93" i="1"/>
  <c r="W93" i="1" s="1"/>
  <c r="L95" i="1"/>
  <c r="L98" i="1"/>
  <c r="L97" i="1"/>
  <c r="L96" i="1"/>
  <c r="L94" i="1"/>
  <c r="L93" i="1"/>
  <c r="K91" i="1"/>
  <c r="AN88" i="1"/>
  <c r="AK90" i="1"/>
  <c r="AN90" i="1" s="1"/>
  <c r="AK88" i="1"/>
  <c r="AE90" i="1"/>
  <c r="AH90" i="1" s="1"/>
  <c r="AK83" i="1"/>
  <c r="AN83" i="1" s="1"/>
  <c r="AG77" i="1"/>
  <c r="AD87" i="1"/>
  <c r="AD77" i="1"/>
  <c r="AE83" i="1"/>
  <c r="AH83" i="1" s="1"/>
  <c r="AE82" i="1"/>
  <c r="AH82" i="1" s="1"/>
  <c r="AE80" i="1"/>
  <c r="AH80" i="1" s="1"/>
  <c r="AB89" i="1"/>
  <c r="W89" i="1" s="1"/>
  <c r="AK89" i="1" s="1"/>
  <c r="AB90" i="1"/>
  <c r="AB88" i="1"/>
  <c r="W90" i="1"/>
  <c r="W88" i="1"/>
  <c r="L90" i="1"/>
  <c r="L89" i="1"/>
  <c r="L87" i="1" s="1"/>
  <c r="W83" i="1"/>
  <c r="W84" i="1"/>
  <c r="AN84" i="1" s="1"/>
  <c r="AB86" i="1"/>
  <c r="W86" i="1" s="1"/>
  <c r="AN86" i="1" s="1"/>
  <c r="AB85" i="1"/>
  <c r="W85" i="1" s="1"/>
  <c r="AK85" i="1" s="1"/>
  <c r="AN85" i="1" s="1"/>
  <c r="AB84" i="1"/>
  <c r="AH84" i="1" s="1"/>
  <c r="AB83" i="1"/>
  <c r="AB82" i="1"/>
  <c r="W82" i="1" s="1"/>
  <c r="AK82" i="1" s="1"/>
  <c r="AN82" i="1" s="1"/>
  <c r="AB81" i="1"/>
  <c r="W81" i="1" s="1"/>
  <c r="AK81" i="1" s="1"/>
  <c r="AN81" i="1" s="1"/>
  <c r="AB80" i="1"/>
  <c r="W80" i="1" s="1"/>
  <c r="AK80" i="1" s="1"/>
  <c r="AN80" i="1" s="1"/>
  <c r="AB79" i="1"/>
  <c r="W79" i="1" s="1"/>
  <c r="AB78" i="1"/>
  <c r="AH78" i="1" s="1"/>
  <c r="L86" i="1"/>
  <c r="L85" i="1"/>
  <c r="L84" i="1"/>
  <c r="L83" i="1"/>
  <c r="L82" i="1"/>
  <c r="L80" i="1"/>
  <c r="L79" i="1"/>
  <c r="L78" i="1"/>
  <c r="AK73" i="1"/>
  <c r="AN73" i="1" s="1"/>
  <c r="AK63" i="1"/>
  <c r="AN63" i="1" s="1"/>
  <c r="AE73" i="1"/>
  <c r="AH73" i="1" s="1"/>
  <c r="AE62" i="1"/>
  <c r="AH62" i="1" s="1"/>
  <c r="AE61" i="1"/>
  <c r="AH61" i="1" s="1"/>
  <c r="AE60" i="1"/>
  <c r="AH60" i="1" s="1"/>
  <c r="AE59" i="1"/>
  <c r="AH59" i="1" s="1"/>
  <c r="W73" i="1"/>
  <c r="W75" i="1"/>
  <c r="AK75" i="1" s="1"/>
  <c r="AN75" i="1" s="1"/>
  <c r="W63" i="1"/>
  <c r="W65" i="1"/>
  <c r="AK65" i="1" s="1"/>
  <c r="AN65" i="1" s="1"/>
  <c r="W60" i="1"/>
  <c r="AK60" i="1" s="1"/>
  <c r="AN60" i="1" s="1"/>
  <c r="AB73" i="1"/>
  <c r="AB76" i="1"/>
  <c r="AE76" i="1" s="1"/>
  <c r="AH76" i="1" s="1"/>
  <c r="AB75" i="1"/>
  <c r="AB74" i="1"/>
  <c r="W74" i="1" s="1"/>
  <c r="AK74" i="1" s="1"/>
  <c r="AN74" i="1" s="1"/>
  <c r="AB72" i="1"/>
  <c r="W72" i="1" s="1"/>
  <c r="AK72" i="1" s="1"/>
  <c r="AN72" i="1" s="1"/>
  <c r="AB71" i="1"/>
  <c r="W71" i="1" s="1"/>
  <c r="AK71" i="1" s="1"/>
  <c r="AN71" i="1" s="1"/>
  <c r="AB70" i="1"/>
  <c r="AE70" i="1" s="1"/>
  <c r="AH70" i="1" s="1"/>
  <c r="AB69" i="1"/>
  <c r="W69" i="1" s="1"/>
  <c r="AK69" i="1" s="1"/>
  <c r="AN69" i="1" s="1"/>
  <c r="AB68" i="1"/>
  <c r="W68" i="1" s="1"/>
  <c r="AK68" i="1" s="1"/>
  <c r="AN68" i="1" s="1"/>
  <c r="AB67" i="1"/>
  <c r="AE67" i="1" s="1"/>
  <c r="AH67" i="1" s="1"/>
  <c r="AB66" i="1"/>
  <c r="W66" i="1" s="1"/>
  <c r="AK66" i="1" s="1"/>
  <c r="AN66" i="1" s="1"/>
  <c r="AB65" i="1"/>
  <c r="AB64" i="1"/>
  <c r="AB63" i="1"/>
  <c r="AB62" i="1"/>
  <c r="W62" i="1" s="1"/>
  <c r="AK62" i="1" s="1"/>
  <c r="AN62" i="1" s="1"/>
  <c r="AB61" i="1"/>
  <c r="W61" i="1" s="1"/>
  <c r="AK61" i="1" s="1"/>
  <c r="AB60" i="1"/>
  <c r="AB59" i="1"/>
  <c r="W59" i="1" s="1"/>
  <c r="AK59" i="1" s="1"/>
  <c r="AN59" i="1" s="1"/>
  <c r="AB58" i="1"/>
  <c r="W58" i="1" s="1"/>
  <c r="AK58" i="1" s="1"/>
  <c r="AN58" i="1" s="1"/>
  <c r="L66" i="1"/>
  <c r="L76" i="1"/>
  <c r="L74" i="1"/>
  <c r="L73" i="1"/>
  <c r="L72" i="1"/>
  <c r="L70" i="1"/>
  <c r="L69" i="1"/>
  <c r="L68" i="1"/>
  <c r="L67" i="1"/>
  <c r="L62" i="1"/>
  <c r="L61" i="1"/>
  <c r="L60" i="1"/>
  <c r="L59" i="1"/>
  <c r="AB56" i="1"/>
  <c r="AE56" i="1" s="1"/>
  <c r="AH56" i="1" s="1"/>
  <c r="AB55" i="1"/>
  <c r="AE55" i="1" s="1"/>
  <c r="AH55" i="1" s="1"/>
  <c r="AB54" i="1"/>
  <c r="W54" i="1" s="1"/>
  <c r="AK54" i="1" s="1"/>
  <c r="AN54" i="1" s="1"/>
  <c r="AB53" i="1"/>
  <c r="W53" i="1" s="1"/>
  <c r="AK53" i="1" s="1"/>
  <c r="L53" i="1"/>
  <c r="L56" i="1"/>
  <c r="L55" i="1"/>
  <c r="L54" i="1"/>
  <c r="AK45" i="1"/>
  <c r="AN45" i="1" s="1"/>
  <c r="AG44" i="1"/>
  <c r="AE46" i="1"/>
  <c r="AH46" i="1" s="1"/>
  <c r="W50" i="1"/>
  <c r="AK50" i="1" s="1"/>
  <c r="AN50" i="1" s="1"/>
  <c r="W47" i="1"/>
  <c r="AK47" i="1" s="1"/>
  <c r="AN47" i="1" s="1"/>
  <c r="W45" i="1"/>
  <c r="AB51" i="1"/>
  <c r="AH51" i="1" s="1"/>
  <c r="AB50" i="1"/>
  <c r="AB49" i="1"/>
  <c r="W49" i="1" s="1"/>
  <c r="AK49" i="1" s="1"/>
  <c r="AN49" i="1" s="1"/>
  <c r="AB48" i="1"/>
  <c r="W48" i="1" s="1"/>
  <c r="AK48" i="1" s="1"/>
  <c r="AN48" i="1" s="1"/>
  <c r="AB47" i="1"/>
  <c r="AE47" i="1" s="1"/>
  <c r="AH47" i="1" s="1"/>
  <c r="AB46" i="1"/>
  <c r="W46" i="1" s="1"/>
  <c r="AK46" i="1" s="1"/>
  <c r="AN46" i="1" s="1"/>
  <c r="AB45" i="1"/>
  <c r="AE45" i="1" s="1"/>
  <c r="AH45" i="1" s="1"/>
  <c r="K44" i="1"/>
  <c r="L51" i="1"/>
  <c r="L49" i="1"/>
  <c r="L47" i="1"/>
  <c r="AN43" i="1"/>
  <c r="AK42" i="1"/>
  <c r="AN42" i="1" s="1"/>
  <c r="AE41" i="1"/>
  <c r="AH41" i="1" s="1"/>
  <c r="AB43" i="1"/>
  <c r="W43" i="1" s="1"/>
  <c r="AB42" i="1"/>
  <c r="W42" i="1" s="1"/>
  <c r="AB41" i="1"/>
  <c r="W41" i="1" s="1"/>
  <c r="AK41" i="1" s="1"/>
  <c r="AN41" i="1" s="1"/>
  <c r="AB40" i="1"/>
  <c r="W40" i="1" s="1"/>
  <c r="AK40" i="1" s="1"/>
  <c r="L40" i="1"/>
  <c r="L42" i="1"/>
  <c r="L41" i="1"/>
  <c r="AE38" i="1"/>
  <c r="AH38" i="1" s="1"/>
  <c r="AB38" i="1"/>
  <c r="W38" i="1" s="1"/>
  <c r="AK38" i="1" s="1"/>
  <c r="AN38" i="1" s="1"/>
  <c r="AB37" i="1"/>
  <c r="W37" i="1" s="1"/>
  <c r="AK37" i="1" s="1"/>
  <c r="W29" i="1"/>
  <c r="AK29" i="1" s="1"/>
  <c r="AN29" i="1" s="1"/>
  <c r="W21" i="1"/>
  <c r="AK21" i="1" s="1"/>
  <c r="AN21" i="1" s="1"/>
  <c r="V21" i="1"/>
  <c r="V27" i="1"/>
  <c r="V33" i="1"/>
  <c r="L38" i="1"/>
  <c r="L37" i="1"/>
  <c r="L36" i="1"/>
  <c r="AB34" i="1"/>
  <c r="W34" i="1" s="1"/>
  <c r="AN34" i="1" s="1"/>
  <c r="AE34" i="1"/>
  <c r="AH34" i="1" s="1"/>
  <c r="AE35" i="1"/>
  <c r="AH35" i="1" s="1"/>
  <c r="AE33" i="1"/>
  <c r="W35" i="1"/>
  <c r="AK35" i="1" s="1"/>
  <c r="AN35" i="1" s="1"/>
  <c r="AB35" i="1"/>
  <c r="AB33" i="1"/>
  <c r="W33" i="1" s="1"/>
  <c r="AK33" i="1" s="1"/>
  <c r="L35" i="1"/>
  <c r="L33" i="1"/>
  <c r="L32" i="1"/>
  <c r="K4" i="1"/>
  <c r="K31" i="1"/>
  <c r="J3" i="1"/>
  <c r="AD26" i="1"/>
  <c r="AB27" i="1"/>
  <c r="AE27" i="1" s="1"/>
  <c r="AB30" i="1"/>
  <c r="AE30" i="1" s="1"/>
  <c r="AH30" i="1" s="1"/>
  <c r="AB29" i="1"/>
  <c r="AE29" i="1" s="1"/>
  <c r="AH29" i="1" s="1"/>
  <c r="AB28" i="1"/>
  <c r="AE28" i="1" s="1"/>
  <c r="AH28" i="1" s="1"/>
  <c r="W28" i="1"/>
  <c r="AK28" i="1" s="1"/>
  <c r="AN28" i="1" s="1"/>
  <c r="L30" i="1"/>
  <c r="L28" i="1"/>
  <c r="L27" i="1"/>
  <c r="AN25" i="1"/>
  <c r="AG16" i="1"/>
  <c r="AG23" i="1"/>
  <c r="AE24" i="1"/>
  <c r="AD23" i="1"/>
  <c r="W24" i="1"/>
  <c r="AK24" i="1" s="1"/>
  <c r="AB25" i="1"/>
  <c r="W25" i="1" s="1"/>
  <c r="AB24" i="1"/>
  <c r="L24" i="1"/>
  <c r="AN22" i="1"/>
  <c r="AN20" i="1"/>
  <c r="AI17" i="1"/>
  <c r="AF16" i="1"/>
  <c r="AH20" i="1"/>
  <c r="AE18" i="1"/>
  <c r="AH18" i="1" s="1"/>
  <c r="AD16" i="1"/>
  <c r="L17" i="1"/>
  <c r="AB17" i="1"/>
  <c r="W17" i="1" s="1"/>
  <c r="AK17" i="1" s="1"/>
  <c r="AB22" i="1"/>
  <c r="W22" i="1" s="1"/>
  <c r="AB21" i="1"/>
  <c r="AE21" i="1" s="1"/>
  <c r="AH21" i="1" s="1"/>
  <c r="AB20" i="1"/>
  <c r="W20" i="1" s="1"/>
  <c r="AB19" i="1"/>
  <c r="AE19" i="1" s="1"/>
  <c r="AH19" i="1" s="1"/>
  <c r="AB18" i="1"/>
  <c r="L18" i="1"/>
  <c r="L19" i="1"/>
  <c r="L21" i="1"/>
  <c r="L16" i="1" s="1"/>
  <c r="F8" i="8" s="1"/>
  <c r="F5" i="8" s="1"/>
  <c r="W18" i="1"/>
  <c r="AK18" i="1" s="1"/>
  <c r="AN18" i="1" s="1"/>
  <c r="W13" i="1"/>
  <c r="AK13" i="1" s="1"/>
  <c r="AB13" i="1"/>
  <c r="AE13" i="1" s="1"/>
  <c r="AH13" i="1" s="1"/>
  <c r="L13" i="1"/>
  <c r="AN15" i="1"/>
  <c r="AG12" i="1"/>
  <c r="AF12" i="1"/>
  <c r="AD12" i="1"/>
  <c r="AE14" i="1"/>
  <c r="AH14" i="1" s="1"/>
  <c r="AB15" i="1"/>
  <c r="W15" i="1" s="1"/>
  <c r="AB14" i="1"/>
  <c r="W14" i="1" s="1"/>
  <c r="AK14" i="1" s="1"/>
  <c r="AN14" i="1" s="1"/>
  <c r="W6" i="1"/>
  <c r="AB7" i="1"/>
  <c r="K5" i="1"/>
  <c r="AK209" i="1" l="1"/>
  <c r="O45" i="8" s="1"/>
  <c r="O34" i="8" s="1"/>
  <c r="AN211" i="1"/>
  <c r="AN209" i="1" s="1"/>
  <c r="AE211" i="1"/>
  <c r="AH211" i="1" s="1"/>
  <c r="AE209" i="1"/>
  <c r="L45" i="8" s="1"/>
  <c r="L34" i="8" s="1"/>
  <c r="AH210" i="1"/>
  <c r="W159" i="1"/>
  <c r="AN159" i="1" s="1"/>
  <c r="W127" i="1"/>
  <c r="AK127" i="1" s="1"/>
  <c r="L153" i="1"/>
  <c r="AK87" i="1"/>
  <c r="AN89" i="1"/>
  <c r="AN87" i="1" s="1"/>
  <c r="AE89" i="1"/>
  <c r="AN79" i="1"/>
  <c r="AE85" i="1"/>
  <c r="AH85" i="1" s="1"/>
  <c r="AE86" i="1"/>
  <c r="AH86" i="1" s="1"/>
  <c r="AE79" i="1"/>
  <c r="AH79" i="1" s="1"/>
  <c r="AH77" i="1" s="1"/>
  <c r="AE77" i="1"/>
  <c r="L77" i="1"/>
  <c r="W76" i="1"/>
  <c r="AK76" i="1" s="1"/>
  <c r="AN76" i="1" s="1"/>
  <c r="AE74" i="1"/>
  <c r="AH74" i="1" s="1"/>
  <c r="AE72" i="1"/>
  <c r="AH72" i="1" s="1"/>
  <c r="W70" i="1"/>
  <c r="AK70" i="1" s="1"/>
  <c r="AN70" i="1" s="1"/>
  <c r="AE69" i="1"/>
  <c r="AH69" i="1" s="1"/>
  <c r="W67" i="1"/>
  <c r="AK67" i="1" s="1"/>
  <c r="AN67" i="1" s="1"/>
  <c r="AE68" i="1"/>
  <c r="AH68" i="1" s="1"/>
  <c r="AE66" i="1"/>
  <c r="AH66" i="1" s="1"/>
  <c r="W64" i="1"/>
  <c r="AK64" i="1" s="1"/>
  <c r="AN64" i="1" s="1"/>
  <c r="AN61" i="1"/>
  <c r="AN57" i="1" s="1"/>
  <c r="AE57" i="1"/>
  <c r="L57" i="1"/>
  <c r="AN53" i="1"/>
  <c r="AN52" i="1" s="1"/>
  <c r="AE53" i="1"/>
  <c r="AE52" i="1" s="1"/>
  <c r="W56" i="1"/>
  <c r="AK56" i="1" s="1"/>
  <c r="AN56" i="1" s="1"/>
  <c r="W55" i="1"/>
  <c r="AK55" i="1" s="1"/>
  <c r="AN55" i="1" s="1"/>
  <c r="AE54" i="1"/>
  <c r="AH54" i="1" s="1"/>
  <c r="L52" i="1"/>
  <c r="AE49" i="1"/>
  <c r="AH49" i="1" s="1"/>
  <c r="AN51" i="1"/>
  <c r="AN44" i="1" s="1"/>
  <c r="AK44" i="1"/>
  <c r="AE42" i="1"/>
  <c r="AH42" i="1" s="1"/>
  <c r="AN40" i="1"/>
  <c r="AK39" i="1"/>
  <c r="AE40" i="1"/>
  <c r="AN39" i="1"/>
  <c r="L39" i="1"/>
  <c r="AE15" i="1"/>
  <c r="AH15" i="1" s="1"/>
  <c r="AN13" i="1"/>
  <c r="AN12" i="1"/>
  <c r="AH12" i="1"/>
  <c r="AE12" i="1"/>
  <c r="L7" i="8" s="1"/>
  <c r="L4" i="2"/>
  <c r="L3" i="2" s="1"/>
  <c r="AE5" i="2"/>
  <c r="AE4" i="2" s="1"/>
  <c r="AE43" i="1"/>
  <c r="AH43" i="1" s="1"/>
  <c r="W7" i="1"/>
  <c r="AK7" i="1" s="1"/>
  <c r="AE7" i="1"/>
  <c r="AH25" i="1"/>
  <c r="AK23" i="1"/>
  <c r="AN24" i="1"/>
  <c r="AN23" i="1" s="1"/>
  <c r="AH24" i="1"/>
  <c r="AE22" i="1"/>
  <c r="AH22" i="1" s="1"/>
  <c r="W19" i="1"/>
  <c r="AK19" i="1" s="1"/>
  <c r="AN19" i="1" s="1"/>
  <c r="AN17" i="1"/>
  <c r="AN16" i="1" s="1"/>
  <c r="AE17" i="1"/>
  <c r="AE16" i="1" s="1"/>
  <c r="L8" i="8" s="1"/>
  <c r="AH17" i="1"/>
  <c r="AH16" i="1" s="1"/>
  <c r="W122" i="1"/>
  <c r="AK122" i="1" s="1"/>
  <c r="AN122" i="1" s="1"/>
  <c r="W123" i="1"/>
  <c r="AK123" i="1" s="1"/>
  <c r="AN123" i="1" s="1"/>
  <c r="W121" i="1"/>
  <c r="AK121" i="1" s="1"/>
  <c r="AN121" i="1" s="1"/>
  <c r="W112" i="1"/>
  <c r="AK112" i="1" s="1"/>
  <c r="AN112" i="1" s="1"/>
  <c r="W114" i="1"/>
  <c r="AK114" i="1" s="1"/>
  <c r="AN114" i="1" s="1"/>
  <c r="AE113" i="1"/>
  <c r="AH113" i="1" s="1"/>
  <c r="AE110" i="1"/>
  <c r="AH110" i="1" s="1"/>
  <c r="W109" i="1"/>
  <c r="AK109" i="1" s="1"/>
  <c r="AN109" i="1" s="1"/>
  <c r="L105" i="1"/>
  <c r="AN106" i="1"/>
  <c r="W108" i="1"/>
  <c r="AK108" i="1" s="1"/>
  <c r="AN108" i="1" s="1"/>
  <c r="AH106" i="1"/>
  <c r="AH105" i="1"/>
  <c r="AH103" i="1"/>
  <c r="AH102" i="1" s="1"/>
  <c r="AE102" i="1"/>
  <c r="W98" i="1"/>
  <c r="AK98" i="1" s="1"/>
  <c r="AN98" i="1" s="1"/>
  <c r="W97" i="1"/>
  <c r="AK97" i="1" s="1"/>
  <c r="AN97" i="1" s="1"/>
  <c r="AH100" i="1"/>
  <c r="AH99" i="1" s="1"/>
  <c r="AE99" i="1"/>
  <c r="W100" i="1"/>
  <c r="AK100" i="1" s="1"/>
  <c r="AN94" i="1"/>
  <c r="AH93" i="1"/>
  <c r="AH95" i="1"/>
  <c r="L92" i="1"/>
  <c r="AE92" i="1"/>
  <c r="AK206" i="1"/>
  <c r="AN207" i="1"/>
  <c r="AN206" i="1" s="1"/>
  <c r="AE207" i="1"/>
  <c r="AE205" i="1"/>
  <c r="AH205" i="1" s="1"/>
  <c r="AE203" i="1"/>
  <c r="AH204" i="1"/>
  <c r="AH203" i="1" s="1"/>
  <c r="W204" i="1"/>
  <c r="AK204" i="1" s="1"/>
  <c r="W202" i="1"/>
  <c r="AK202" i="1" s="1"/>
  <c r="AN202" i="1" s="1"/>
  <c r="AK199" i="1"/>
  <c r="AN200" i="1"/>
  <c r="AN199" i="1" s="1"/>
  <c r="AH200" i="1"/>
  <c r="AH199" i="1" s="1"/>
  <c r="W197" i="1"/>
  <c r="AK197" i="1" s="1"/>
  <c r="AN197" i="1" s="1"/>
  <c r="AH196" i="1"/>
  <c r="AH195" i="1" s="1"/>
  <c r="AE195" i="1"/>
  <c r="AN196" i="1"/>
  <c r="AN195" i="1" s="1"/>
  <c r="AE194" i="1"/>
  <c r="AH194" i="1" s="1"/>
  <c r="AH193" i="1"/>
  <c r="AH192" i="1" s="1"/>
  <c r="AE192" i="1"/>
  <c r="W193" i="1"/>
  <c r="AK193" i="1" s="1"/>
  <c r="W191" i="1"/>
  <c r="AK191" i="1" s="1"/>
  <c r="AN191" i="1" s="1"/>
  <c r="AE189" i="1"/>
  <c r="AH189" i="1" s="1"/>
  <c r="W190" i="1"/>
  <c r="AK190" i="1" s="1"/>
  <c r="AN190" i="1" s="1"/>
  <c r="AH187" i="1"/>
  <c r="AH186" i="1" s="1"/>
  <c r="AE186" i="1"/>
  <c r="AN187" i="1"/>
  <c r="AK184" i="1"/>
  <c r="AN185" i="1"/>
  <c r="AN184" i="1" s="1"/>
  <c r="AE184" i="1"/>
  <c r="AH185" i="1"/>
  <c r="AH184" i="1" s="1"/>
  <c r="W182" i="1"/>
  <c r="AK182" i="1" s="1"/>
  <c r="AN182" i="1" s="1"/>
  <c r="W181" i="1"/>
  <c r="AK181" i="1" s="1"/>
  <c r="AN181" i="1" s="1"/>
  <c r="AE179" i="1"/>
  <c r="AH180" i="1"/>
  <c r="AH179" i="1" s="1"/>
  <c r="AN180" i="1"/>
  <c r="AK179" i="1"/>
  <c r="AE175" i="1"/>
  <c r="AH177" i="1"/>
  <c r="AH175" i="1" s="1"/>
  <c r="AN176" i="1"/>
  <c r="AN175" i="1" s="1"/>
  <c r="AK175" i="1"/>
  <c r="AH172" i="1"/>
  <c r="AE172" i="1"/>
  <c r="W173" i="1"/>
  <c r="AK173" i="1" s="1"/>
  <c r="AN169" i="1"/>
  <c r="AN166" i="1" s="1"/>
  <c r="AK166" i="1"/>
  <c r="AE169" i="1"/>
  <c r="L166" i="1"/>
  <c r="W164" i="1"/>
  <c r="AK164" i="1" s="1"/>
  <c r="AN164" i="1" s="1"/>
  <c r="AE162" i="1"/>
  <c r="AE160" i="1"/>
  <c r="AN165" i="1"/>
  <c r="AN160" i="1" s="1"/>
  <c r="AK160" i="1"/>
  <c r="AE165" i="1"/>
  <c r="AH165" i="1" s="1"/>
  <c r="L160" i="1"/>
  <c r="AH162" i="1"/>
  <c r="AH160" i="1" s="1"/>
  <c r="AN153" i="1"/>
  <c r="AE157" i="1"/>
  <c r="AH157" i="1" s="1"/>
  <c r="AK153" i="1"/>
  <c r="O31" i="8" s="1"/>
  <c r="AN149" i="1"/>
  <c r="AN148" i="1" s="1"/>
  <c r="AK148" i="1"/>
  <c r="O30" i="8" s="1"/>
  <c r="AH148" i="1"/>
  <c r="AE148" i="1"/>
  <c r="AE147" i="1"/>
  <c r="AH147" i="1" s="1"/>
  <c r="AK143" i="1"/>
  <c r="AN144" i="1"/>
  <c r="AN143" i="1" s="1"/>
  <c r="AH143" i="1"/>
  <c r="AE143" i="1"/>
  <c r="AK140" i="1"/>
  <c r="AN141" i="1"/>
  <c r="AN140" i="1" s="1"/>
  <c r="AE140" i="1"/>
  <c r="AH141" i="1"/>
  <c r="AH140" i="1" s="1"/>
  <c r="AK36" i="1"/>
  <c r="AN37" i="1"/>
  <c r="AN36" i="1" s="1"/>
  <c r="AE37" i="1"/>
  <c r="AE137" i="1"/>
  <c r="AH137" i="1" s="1"/>
  <c r="AH135" i="1"/>
  <c r="AH134" i="1"/>
  <c r="W133" i="1"/>
  <c r="AK133" i="1" s="1"/>
  <c r="AN133" i="1" s="1"/>
  <c r="W132" i="1"/>
  <c r="AK132" i="1" s="1"/>
  <c r="AN132" i="1" s="1"/>
  <c r="AH132" i="1"/>
  <c r="L131" i="1"/>
  <c r="AE32" i="1"/>
  <c r="AN33" i="1"/>
  <c r="AN32" i="1" s="1"/>
  <c r="AK32" i="1"/>
  <c r="AH33" i="1"/>
  <c r="AH32" i="1" s="1"/>
  <c r="W30" i="1"/>
  <c r="AK30" i="1" s="1"/>
  <c r="AN30" i="1" s="1"/>
  <c r="AE26" i="1"/>
  <c r="L10" i="8" s="1"/>
  <c r="W27" i="1"/>
  <c r="AK27" i="1" s="1"/>
  <c r="AN27" i="1" s="1"/>
  <c r="L26" i="1"/>
  <c r="AH27" i="1"/>
  <c r="AH26" i="1" s="1"/>
  <c r="L179" i="1"/>
  <c r="L186" i="1"/>
  <c r="AH4" i="2"/>
  <c r="I4" i="2" s="1"/>
  <c r="AN103" i="1"/>
  <c r="AN102" i="1" s="1"/>
  <c r="AN7" i="1"/>
  <c r="AD5" i="1"/>
  <c r="AC3" i="1"/>
  <c r="AK6" i="1"/>
  <c r="AL3" i="1"/>
  <c r="H4" i="1"/>
  <c r="F4" i="1"/>
  <c r="W10" i="1"/>
  <c r="AB8" i="1"/>
  <c r="AE8" i="1" s="1"/>
  <c r="AH8" i="1" s="1"/>
  <c r="AB9" i="1"/>
  <c r="W9" i="1" s="1"/>
  <c r="AK9" i="1" s="1"/>
  <c r="AN9" i="1" s="1"/>
  <c r="AB10" i="1"/>
  <c r="AB11" i="1"/>
  <c r="W11" i="1" s="1"/>
  <c r="AK11" i="1" s="1"/>
  <c r="AN11" i="1" s="1"/>
  <c r="L7" i="1"/>
  <c r="L8" i="1"/>
  <c r="O26" i="8" l="1"/>
  <c r="L130" i="1"/>
  <c r="AH209" i="1"/>
  <c r="AN127" i="1"/>
  <c r="AN125" i="1" s="1"/>
  <c r="AH155" i="1"/>
  <c r="AH153" i="1" s="1"/>
  <c r="AE153" i="1"/>
  <c r="AH89" i="1"/>
  <c r="AH87" i="1" s="1"/>
  <c r="AE87" i="1"/>
  <c r="AH57" i="1"/>
  <c r="L31" i="1"/>
  <c r="AH53" i="1"/>
  <c r="AH52" i="1" s="1"/>
  <c r="AK52" i="1"/>
  <c r="AE44" i="1"/>
  <c r="AH44" i="1"/>
  <c r="AH31" i="1" s="1"/>
  <c r="AH40" i="1"/>
  <c r="AH39" i="1" s="1"/>
  <c r="AE39" i="1"/>
  <c r="W8" i="1"/>
  <c r="AK8" i="1" s="1"/>
  <c r="AN8" i="1" s="1"/>
  <c r="L5" i="1"/>
  <c r="L4" i="1" s="1"/>
  <c r="AN5" i="1"/>
  <c r="AK5" i="1"/>
  <c r="AK4" i="1" s="1"/>
  <c r="AE23" i="1"/>
  <c r="L9" i="8" s="1"/>
  <c r="AH23" i="1"/>
  <c r="AK16" i="1"/>
  <c r="AN105" i="1"/>
  <c r="AE105" i="1"/>
  <c r="AE91" i="1" s="1"/>
  <c r="L91" i="1"/>
  <c r="AK105" i="1"/>
  <c r="AK92" i="1"/>
  <c r="AN92" i="1"/>
  <c r="AK99" i="1"/>
  <c r="AN100" i="1"/>
  <c r="AN99" i="1" s="1"/>
  <c r="AH92" i="1"/>
  <c r="AH91" i="1" s="1"/>
  <c r="I91" i="1" s="1"/>
  <c r="AH207" i="1"/>
  <c r="AH206" i="1" s="1"/>
  <c r="AH171" i="1" s="1"/>
  <c r="I171" i="1" s="1"/>
  <c r="AE206" i="1"/>
  <c r="AN204" i="1"/>
  <c r="AN203" i="1" s="1"/>
  <c r="AK203" i="1"/>
  <c r="AK195" i="1"/>
  <c r="AN193" i="1"/>
  <c r="AN192" i="1" s="1"/>
  <c r="AK192" i="1"/>
  <c r="AK186" i="1"/>
  <c r="AN186" i="1"/>
  <c r="AN179" i="1"/>
  <c r="AE171" i="1"/>
  <c r="AK172" i="1"/>
  <c r="AN173" i="1"/>
  <c r="AN172" i="1" s="1"/>
  <c r="AN171" i="1" s="1"/>
  <c r="AH169" i="1"/>
  <c r="AH166" i="1" s="1"/>
  <c r="AE166" i="1"/>
  <c r="AH37" i="1"/>
  <c r="AH36" i="1" s="1"/>
  <c r="AE36" i="1"/>
  <c r="AH131" i="1"/>
  <c r="AN131" i="1"/>
  <c r="AN130" i="1" s="1"/>
  <c r="AK131" i="1"/>
  <c r="AK130" i="1" s="1"/>
  <c r="AK3" i="1" s="1"/>
  <c r="O4" i="8" s="1"/>
  <c r="J4" i="7" s="1"/>
  <c r="AN26" i="1"/>
  <c r="AK26" i="1"/>
  <c r="AE5" i="1"/>
  <c r="AH7" i="1"/>
  <c r="AN6" i="1"/>
  <c r="AN4" i="1"/>
  <c r="K7" i="1"/>
  <c r="M5" i="1"/>
  <c r="N9" i="1"/>
  <c r="AG7" i="1"/>
  <c r="AG5" i="1"/>
  <c r="L3" i="1" l="1"/>
  <c r="F4" i="8" s="1"/>
  <c r="AE130" i="1"/>
  <c r="AH5" i="1"/>
  <c r="AH4" i="1" s="1"/>
  <c r="AE31" i="1"/>
  <c r="I31" i="1"/>
  <c r="AH3" i="1" s="1"/>
  <c r="AE4" i="1"/>
  <c r="L5" i="8"/>
  <c r="AN91" i="1"/>
  <c r="AK91" i="1"/>
  <c r="AK171" i="1"/>
  <c r="AH130" i="1"/>
  <c r="I130" i="1" s="1"/>
  <c r="AI137" i="4"/>
  <c r="V51" i="4"/>
  <c r="F3" i="8" l="1"/>
  <c r="F3" i="7" s="1"/>
  <c r="F4" i="7"/>
  <c r="H4" i="8"/>
  <c r="AE3" i="1"/>
  <c r="L4" i="8" s="1"/>
  <c r="M4" i="7" s="1"/>
  <c r="V41" i="2"/>
  <c r="W41" i="2" s="1"/>
  <c r="AK41" i="2" s="1"/>
  <c r="V38" i="2"/>
  <c r="W38" i="2" s="1"/>
  <c r="AK38" i="2" s="1"/>
  <c r="AN38" i="2" s="1"/>
  <c r="K29" i="20" l="1"/>
  <c r="AK39" i="2"/>
  <c r="AN41" i="2"/>
  <c r="AN39" i="2" s="1"/>
  <c r="V44" i="3"/>
  <c r="W44" i="3" s="1"/>
  <c r="AK44" i="3" s="1"/>
  <c r="F23" i="20" l="1"/>
  <c r="H32" i="20"/>
  <c r="AN44" i="3"/>
  <c r="AN43" i="3" s="1"/>
  <c r="AK43" i="3"/>
  <c r="U94" i="1"/>
  <c r="V133" i="1" l="1"/>
  <c r="AD132" i="1"/>
  <c r="AD133" i="1"/>
  <c r="U202" i="2"/>
  <c r="V202" i="2" s="1"/>
  <c r="W202" i="2" s="1"/>
  <c r="AK202" i="2" s="1"/>
  <c r="AN202" i="2" s="1"/>
  <c r="V134" i="4" l="1"/>
  <c r="AD134" i="4" l="1"/>
  <c r="U142" i="4"/>
  <c r="U141" i="4"/>
  <c r="V100" i="2" l="1"/>
  <c r="W100" i="2" s="1"/>
  <c r="AK100" i="2" s="1"/>
  <c r="AN100" i="2" l="1"/>
  <c r="AK92" i="2"/>
  <c r="V70" i="2"/>
  <c r="W70" i="2" s="1"/>
  <c r="AK70" i="2" s="1"/>
  <c r="AN70" i="2" s="1"/>
  <c r="V72" i="2"/>
  <c r="W72" i="2" s="1"/>
  <c r="AK72" i="2" s="1"/>
  <c r="AN72" i="2" s="1"/>
  <c r="V20" i="2"/>
  <c r="W20" i="2" s="1"/>
  <c r="AK20" i="2" s="1"/>
  <c r="AN20" i="2" s="1"/>
  <c r="V18" i="2"/>
  <c r="W18" i="2" s="1"/>
  <c r="AK18" i="2" s="1"/>
  <c r="AN18" i="2" s="1"/>
  <c r="AD17" i="2"/>
  <c r="U53" i="5" l="1"/>
  <c r="U52" i="5"/>
  <c r="U51" i="5"/>
  <c r="U50" i="5"/>
  <c r="V63" i="5" l="1"/>
  <c r="W63" i="5" s="1"/>
  <c r="AK63" i="5" s="1"/>
  <c r="AN63" i="5" s="1"/>
  <c r="V83" i="5" l="1"/>
  <c r="AD83" i="5" s="1"/>
  <c r="U121" i="1" l="1"/>
  <c r="U132" i="2" l="1"/>
  <c r="AG120" i="3" l="1"/>
  <c r="U205" i="2"/>
  <c r="AD134" i="1"/>
  <c r="V22" i="2" l="1"/>
  <c r="W22" i="2" s="1"/>
  <c r="V19" i="2"/>
  <c r="W19" i="2" s="1"/>
  <c r="AK19" i="2" s="1"/>
  <c r="AN19" i="2" s="1"/>
  <c r="V17" i="2"/>
  <c r="W17" i="2" s="1"/>
  <c r="V16" i="2"/>
  <c r="W16" i="2" s="1"/>
  <c r="AK16" i="2" s="1"/>
  <c r="V6" i="1"/>
  <c r="V56" i="1"/>
  <c r="AN22" i="2" l="1"/>
  <c r="AK15" i="2"/>
  <c r="AN16" i="2"/>
  <c r="V52" i="6"/>
  <c r="W52" i="6" s="1"/>
  <c r="AK52" i="6" s="1"/>
  <c r="AN52" i="6" s="1"/>
  <c r="V51" i="6"/>
  <c r="W51" i="6" s="1"/>
  <c r="AK51" i="6" s="1"/>
  <c r="AN51" i="6" s="1"/>
  <c r="V50" i="6"/>
  <c r="W50" i="6" s="1"/>
  <c r="AK50" i="6" s="1"/>
  <c r="AN50" i="6" s="1"/>
  <c r="V49" i="6"/>
  <c r="W49" i="6" s="1"/>
  <c r="AK49" i="6" s="1"/>
  <c r="AN49" i="6" s="1"/>
  <c r="V48" i="6"/>
  <c r="W48" i="6" s="1"/>
  <c r="AK48" i="6" s="1"/>
  <c r="V46" i="6"/>
  <c r="W46" i="6" s="1"/>
  <c r="AK46" i="6" s="1"/>
  <c r="AN46" i="6" s="1"/>
  <c r="V45" i="6"/>
  <c r="W45" i="6" s="1"/>
  <c r="AN45" i="6" s="1"/>
  <c r="V44" i="6"/>
  <c r="W44" i="6" s="1"/>
  <c r="AK44" i="6" s="1"/>
  <c r="V43" i="6"/>
  <c r="W43" i="6" s="1"/>
  <c r="AK43" i="6" s="1"/>
  <c r="AN43" i="6" s="1"/>
  <c r="V42" i="6"/>
  <c r="W42" i="6" s="1"/>
  <c r="AK42" i="6" s="1"/>
  <c r="AN42" i="6" s="1"/>
  <c r="V41" i="6"/>
  <c r="W41" i="6" s="1"/>
  <c r="AK41" i="6" s="1"/>
  <c r="AN41" i="6" s="1"/>
  <c r="V38" i="6"/>
  <c r="W38" i="6" s="1"/>
  <c r="AK38" i="6" s="1"/>
  <c r="AN38" i="6" s="1"/>
  <c r="V37" i="6"/>
  <c r="W37" i="6" s="1"/>
  <c r="AK37" i="6" s="1"/>
  <c r="AN37" i="6" s="1"/>
  <c r="V36" i="6"/>
  <c r="W36" i="6" s="1"/>
  <c r="AK36" i="6" s="1"/>
  <c r="AN36" i="6" s="1"/>
  <c r="V35" i="6"/>
  <c r="W35" i="6" s="1"/>
  <c r="AK35" i="6" s="1"/>
  <c r="AN35" i="6" s="1"/>
  <c r="V34" i="6"/>
  <c r="W34" i="6" s="1"/>
  <c r="AK34" i="6" s="1"/>
  <c r="AN34" i="6" s="1"/>
  <c r="V33" i="6"/>
  <c r="W33" i="6" s="1"/>
  <c r="AK33" i="6" s="1"/>
  <c r="V32" i="6"/>
  <c r="W32" i="6" s="1"/>
  <c r="AK32" i="6" s="1"/>
  <c r="AN32" i="6" s="1"/>
  <c r="V29" i="6"/>
  <c r="W29" i="6" s="1"/>
  <c r="AK29" i="6" s="1"/>
  <c r="AN29" i="6" s="1"/>
  <c r="V28" i="6"/>
  <c r="W28" i="6" s="1"/>
  <c r="AK28" i="6" s="1"/>
  <c r="AN28" i="6" s="1"/>
  <c r="V27" i="6"/>
  <c r="W27" i="6" s="1"/>
  <c r="AK27" i="6" s="1"/>
  <c r="AN27" i="6" s="1"/>
  <c r="V26" i="6"/>
  <c r="W26" i="6" s="1"/>
  <c r="AK26" i="6" s="1"/>
  <c r="AN26" i="6" s="1"/>
  <c r="V25" i="6"/>
  <c r="W25" i="6" s="1"/>
  <c r="AK25" i="6" s="1"/>
  <c r="AN25" i="6" s="1"/>
  <c r="V24" i="6"/>
  <c r="W24" i="6" s="1"/>
  <c r="AK24" i="6" s="1"/>
  <c r="AN24" i="6" s="1"/>
  <c r="V23" i="6"/>
  <c r="W23" i="6" s="1"/>
  <c r="AK23" i="6" s="1"/>
  <c r="V21" i="6"/>
  <c r="W21" i="6" s="1"/>
  <c r="AK21" i="6" s="1"/>
  <c r="AN21" i="6" s="1"/>
  <c r="V20" i="6"/>
  <c r="W20" i="6" s="1"/>
  <c r="AK20" i="6" s="1"/>
  <c r="AN20" i="6" s="1"/>
  <c r="W19" i="6"/>
  <c r="AK19" i="6" s="1"/>
  <c r="AN19" i="6" s="1"/>
  <c r="V18" i="6"/>
  <c r="W18" i="6" s="1"/>
  <c r="AK18" i="6" s="1"/>
  <c r="AN18" i="6" s="1"/>
  <c r="V17" i="6"/>
  <c r="W17" i="6" s="1"/>
  <c r="AK17" i="6" s="1"/>
  <c r="AN17" i="6" s="1"/>
  <c r="V16" i="6"/>
  <c r="W16" i="6" s="1"/>
  <c r="AK16" i="6" s="1"/>
  <c r="V15" i="6"/>
  <c r="V12" i="6"/>
  <c r="W12" i="6" s="1"/>
  <c r="AK12" i="6" s="1"/>
  <c r="AN12" i="6" s="1"/>
  <c r="V11" i="6"/>
  <c r="W11" i="6" s="1"/>
  <c r="AK11" i="6" s="1"/>
  <c r="AN11" i="6" s="1"/>
  <c r="V10" i="6"/>
  <c r="W10" i="6" s="1"/>
  <c r="AK10" i="6" s="1"/>
  <c r="AN10" i="6" s="1"/>
  <c r="V9" i="6"/>
  <c r="W9" i="6" s="1"/>
  <c r="AK9" i="6" s="1"/>
  <c r="AN9" i="6" s="1"/>
  <c r="V8" i="6"/>
  <c r="W8" i="6" s="1"/>
  <c r="AK8" i="6" s="1"/>
  <c r="AN8" i="6" s="1"/>
  <c r="V7" i="6"/>
  <c r="W7" i="6" s="1"/>
  <c r="AK7" i="6" s="1"/>
  <c r="AN7" i="6" s="1"/>
  <c r="V6" i="6"/>
  <c r="W6" i="6" s="1"/>
  <c r="AK6" i="6" s="1"/>
  <c r="V86" i="5"/>
  <c r="AK86" i="5" s="1"/>
  <c r="V141" i="5"/>
  <c r="AN141" i="5" s="1"/>
  <c r="V140" i="5"/>
  <c r="W140" i="5" s="1"/>
  <c r="AK140" i="5" s="1"/>
  <c r="V138" i="5"/>
  <c r="W138" i="5" s="1"/>
  <c r="AK138" i="5" s="1"/>
  <c r="AN138" i="5" s="1"/>
  <c r="V137" i="5"/>
  <c r="W137" i="5" s="1"/>
  <c r="AK137" i="5" s="1"/>
  <c r="V136" i="5"/>
  <c r="W136" i="5" s="1"/>
  <c r="AK136" i="5" s="1"/>
  <c r="AN136" i="5" s="1"/>
  <c r="V135" i="5"/>
  <c r="W135" i="5" s="1"/>
  <c r="AK135" i="5" s="1"/>
  <c r="AN135" i="5" s="1"/>
  <c r="V133" i="5"/>
  <c r="W133" i="5" s="1"/>
  <c r="V132" i="5"/>
  <c r="W132" i="5" s="1"/>
  <c r="AK132" i="5" s="1"/>
  <c r="V130" i="5"/>
  <c r="W130" i="5" s="1"/>
  <c r="AK130" i="5" s="1"/>
  <c r="AN130" i="5" s="1"/>
  <c r="V129" i="5"/>
  <c r="W129" i="5" s="1"/>
  <c r="AK129" i="5" s="1"/>
  <c r="AN129" i="5" s="1"/>
  <c r="V128" i="5"/>
  <c r="V127" i="5"/>
  <c r="W127" i="5" s="1"/>
  <c r="AK127" i="5" s="1"/>
  <c r="AN127" i="5" s="1"/>
  <c r="V126" i="5"/>
  <c r="W126" i="5" s="1"/>
  <c r="V125" i="5"/>
  <c r="W125" i="5" s="1"/>
  <c r="V124" i="5"/>
  <c r="W124" i="5" s="1"/>
  <c r="AK124" i="5" s="1"/>
  <c r="AN124" i="5" s="1"/>
  <c r="V122" i="5"/>
  <c r="W122" i="5" s="1"/>
  <c r="AK122" i="5" s="1"/>
  <c r="V121" i="5"/>
  <c r="V120" i="5"/>
  <c r="W120" i="5" s="1"/>
  <c r="AK120" i="5" s="1"/>
  <c r="AN120" i="5" s="1"/>
  <c r="V119" i="5"/>
  <c r="V118" i="5"/>
  <c r="W118" i="5" s="1"/>
  <c r="AK118" i="5" s="1"/>
  <c r="AN118" i="5" s="1"/>
  <c r="V117" i="5"/>
  <c r="W117" i="5" s="1"/>
  <c r="AK117" i="5" s="1"/>
  <c r="AN117" i="5" s="1"/>
  <c r="V115" i="5"/>
  <c r="W115" i="5" s="1"/>
  <c r="AK115" i="5" s="1"/>
  <c r="AN115" i="5" s="1"/>
  <c r="V114" i="5"/>
  <c r="W114" i="5" s="1"/>
  <c r="V113" i="5"/>
  <c r="W113" i="5" s="1"/>
  <c r="AN113" i="5" s="1"/>
  <c r="V112" i="5"/>
  <c r="W112" i="5" s="1"/>
  <c r="AK112" i="5" s="1"/>
  <c r="V111" i="5"/>
  <c r="W111" i="5" s="1"/>
  <c r="V108" i="5"/>
  <c r="W108" i="5" s="1"/>
  <c r="AK108" i="5" s="1"/>
  <c r="AN108" i="5" s="1"/>
  <c r="V107" i="5"/>
  <c r="W107" i="5" s="1"/>
  <c r="AK107" i="5" s="1"/>
  <c r="AN107" i="5" s="1"/>
  <c r="V106" i="5"/>
  <c r="W106" i="5" s="1"/>
  <c r="AK106" i="5" s="1"/>
  <c r="V104" i="5"/>
  <c r="W104" i="5" s="1"/>
  <c r="AK104" i="5" s="1"/>
  <c r="AN104" i="5" s="1"/>
  <c r="V103" i="5"/>
  <c r="W103" i="5" s="1"/>
  <c r="AK103" i="5" s="1"/>
  <c r="AN103" i="5" s="1"/>
  <c r="V102" i="5"/>
  <c r="W102" i="5" s="1"/>
  <c r="AK102" i="5" s="1"/>
  <c r="AN102" i="5" s="1"/>
  <c r="V101" i="5"/>
  <c r="W101" i="5" s="1"/>
  <c r="AN101" i="5" s="1"/>
  <c r="V100" i="5"/>
  <c r="W100" i="5" s="1"/>
  <c r="AK100" i="5" s="1"/>
  <c r="V98" i="5"/>
  <c r="W98" i="5" s="1"/>
  <c r="AK98" i="5" s="1"/>
  <c r="AN98" i="5" s="1"/>
  <c r="V97" i="5"/>
  <c r="W97" i="5" s="1"/>
  <c r="AK97" i="5" s="1"/>
  <c r="AN97" i="5" s="1"/>
  <c r="V96" i="5"/>
  <c r="W96" i="5" s="1"/>
  <c r="AK96" i="5" s="1"/>
  <c r="AN96" i="5" s="1"/>
  <c r="V95" i="5"/>
  <c r="W95" i="5" s="1"/>
  <c r="AK95" i="5" s="1"/>
  <c r="V93" i="5"/>
  <c r="W93" i="5" s="1"/>
  <c r="AK93" i="5" s="1"/>
  <c r="V91" i="5"/>
  <c r="W91" i="5" s="1"/>
  <c r="AK91" i="5" s="1"/>
  <c r="AN91" i="5" s="1"/>
  <c r="V90" i="5"/>
  <c r="W90" i="5" s="1"/>
  <c r="AK90" i="5" s="1"/>
  <c r="AN90" i="5" s="1"/>
  <c r="V89" i="5"/>
  <c r="W89" i="5" s="1"/>
  <c r="AK89" i="5" s="1"/>
  <c r="AN89" i="5" s="1"/>
  <c r="V88" i="5"/>
  <c r="W88" i="5" s="1"/>
  <c r="AK88" i="5" s="1"/>
  <c r="AN88" i="5" s="1"/>
  <c r="V87" i="5"/>
  <c r="W87" i="5" s="1"/>
  <c r="AK87" i="5" s="1"/>
  <c r="AN87" i="5" s="1"/>
  <c r="V84" i="5"/>
  <c r="V82" i="5"/>
  <c r="V81" i="5"/>
  <c r="V80" i="5"/>
  <c r="V79" i="5"/>
  <c r="V76" i="5"/>
  <c r="AK76" i="5" s="1"/>
  <c r="AN76" i="5" s="1"/>
  <c r="V75" i="5"/>
  <c r="W75" i="5" s="1"/>
  <c r="AK75" i="5" s="1"/>
  <c r="V72" i="5"/>
  <c r="W72" i="5" s="1"/>
  <c r="AK72" i="5" s="1"/>
  <c r="AN72" i="5" s="1"/>
  <c r="V71" i="5"/>
  <c r="W71" i="5" s="1"/>
  <c r="AK71" i="5" s="1"/>
  <c r="AN71" i="5" s="1"/>
  <c r="V70" i="5"/>
  <c r="W70" i="5" s="1"/>
  <c r="AK70" i="5" s="1"/>
  <c r="AN70" i="5" s="1"/>
  <c r="V69" i="5"/>
  <c r="W69" i="5" s="1"/>
  <c r="AK69" i="5" s="1"/>
  <c r="V67" i="5"/>
  <c r="W67" i="5" s="1"/>
  <c r="AK67" i="5" s="1"/>
  <c r="V65" i="5"/>
  <c r="W65" i="5" s="1"/>
  <c r="AK65" i="5" s="1"/>
  <c r="AN65" i="5" s="1"/>
  <c r="V64" i="5"/>
  <c r="W64" i="5" s="1"/>
  <c r="AK64" i="5" s="1"/>
  <c r="AN64" i="5" s="1"/>
  <c r="V62" i="5"/>
  <c r="W62" i="5" s="1"/>
  <c r="AK62" i="5" s="1"/>
  <c r="V60" i="5"/>
  <c r="W60" i="5" s="1"/>
  <c r="AK60" i="5" s="1"/>
  <c r="AN60" i="5" s="1"/>
  <c r="V59" i="5"/>
  <c r="W59" i="5" s="1"/>
  <c r="AK59" i="5" s="1"/>
  <c r="V56" i="5"/>
  <c r="W56" i="5" s="1"/>
  <c r="V54" i="5"/>
  <c r="W54" i="5" s="1"/>
  <c r="AK54" i="5" s="1"/>
  <c r="AN54" i="5" s="1"/>
  <c r="V53" i="5"/>
  <c r="W53" i="5" s="1"/>
  <c r="AK53" i="5" s="1"/>
  <c r="AN53" i="5" s="1"/>
  <c r="V52" i="5"/>
  <c r="W52" i="5" s="1"/>
  <c r="AK52" i="5" s="1"/>
  <c r="AN52" i="5" s="1"/>
  <c r="V51" i="5"/>
  <c r="W51" i="5" s="1"/>
  <c r="AK51" i="5" s="1"/>
  <c r="AN51" i="5" s="1"/>
  <c r="V50" i="5"/>
  <c r="W50" i="5" s="1"/>
  <c r="AK50" i="5" s="1"/>
  <c r="V47" i="5"/>
  <c r="W47" i="5" s="1"/>
  <c r="AK47" i="5" s="1"/>
  <c r="AN47" i="5" s="1"/>
  <c r="V46" i="5"/>
  <c r="W46" i="5" s="1"/>
  <c r="AK46" i="5" s="1"/>
  <c r="AN46" i="5" s="1"/>
  <c r="V45" i="5"/>
  <c r="W45" i="5" s="1"/>
  <c r="AK45" i="5" s="1"/>
  <c r="AN45" i="5" s="1"/>
  <c r="V44" i="5"/>
  <c r="W44" i="5" s="1"/>
  <c r="AK44" i="5" s="1"/>
  <c r="V42" i="5"/>
  <c r="W42" i="5" s="1"/>
  <c r="AK42" i="5" s="1"/>
  <c r="AN42" i="5" s="1"/>
  <c r="V41" i="5"/>
  <c r="W41" i="5" s="1"/>
  <c r="AK41" i="5" s="1"/>
  <c r="V39" i="5"/>
  <c r="W39" i="5" s="1"/>
  <c r="AK39" i="5" s="1"/>
  <c r="AN39" i="5" s="1"/>
  <c r="V38" i="5"/>
  <c r="W38" i="5" s="1"/>
  <c r="AK38" i="5" s="1"/>
  <c r="V37" i="5"/>
  <c r="W37" i="5" s="1"/>
  <c r="AK37" i="5" s="1"/>
  <c r="AN37" i="5" s="1"/>
  <c r="V35" i="5"/>
  <c r="W35" i="5" s="1"/>
  <c r="AK35" i="5" s="1"/>
  <c r="AN35" i="5" s="1"/>
  <c r="V34" i="5"/>
  <c r="W34" i="5" s="1"/>
  <c r="AK34" i="5" s="1"/>
  <c r="AN34" i="5" s="1"/>
  <c r="V33" i="5"/>
  <c r="W33" i="5" s="1"/>
  <c r="AK33" i="5" s="1"/>
  <c r="V31" i="5"/>
  <c r="W31" i="5" s="1"/>
  <c r="V29" i="5"/>
  <c r="W29" i="5" s="1"/>
  <c r="AN29" i="5" s="1"/>
  <c r="V28" i="5"/>
  <c r="W28" i="5" s="1"/>
  <c r="AK28" i="5" s="1"/>
  <c r="AN28" i="5" s="1"/>
  <c r="V27" i="5"/>
  <c r="W27" i="5" s="1"/>
  <c r="AK27" i="5" s="1"/>
  <c r="V25" i="5"/>
  <c r="W25" i="5" s="1"/>
  <c r="AK25" i="5" s="1"/>
  <c r="AN25" i="5" s="1"/>
  <c r="V24" i="5"/>
  <c r="W24" i="5" s="1"/>
  <c r="AK24" i="5" s="1"/>
  <c r="V22" i="5"/>
  <c r="W22" i="5" s="1"/>
  <c r="AK22" i="5" s="1"/>
  <c r="AN22" i="5" s="1"/>
  <c r="V21" i="5"/>
  <c r="W21" i="5" s="1"/>
  <c r="AN21" i="5" s="1"/>
  <c r="V20" i="5"/>
  <c r="W20" i="5" s="1"/>
  <c r="AK20" i="5" s="1"/>
  <c r="AN20" i="5" s="1"/>
  <c r="V19" i="5"/>
  <c r="W19" i="5" s="1"/>
  <c r="AK19" i="5" s="1"/>
  <c r="V16" i="5"/>
  <c r="W16" i="5" s="1"/>
  <c r="V15" i="5"/>
  <c r="W15" i="5" s="1"/>
  <c r="AK15" i="5" s="1"/>
  <c r="AN15" i="5" s="1"/>
  <c r="V14" i="5"/>
  <c r="W14" i="5" s="1"/>
  <c r="AK14" i="5" s="1"/>
  <c r="AN14" i="5" s="1"/>
  <c r="V13" i="5"/>
  <c r="W13" i="5" s="1"/>
  <c r="AK13" i="5" s="1"/>
  <c r="V11" i="5"/>
  <c r="W11" i="5" s="1"/>
  <c r="AK11" i="5" s="1"/>
  <c r="AN11" i="5" s="1"/>
  <c r="V10" i="5"/>
  <c r="W10" i="5" s="1"/>
  <c r="AK10" i="5" s="1"/>
  <c r="V8" i="5"/>
  <c r="W8" i="5" s="1"/>
  <c r="AK8" i="5" s="1"/>
  <c r="AN8" i="5" s="1"/>
  <c r="V7" i="5"/>
  <c r="W7" i="5" s="1"/>
  <c r="AK7" i="5" s="1"/>
  <c r="AN7" i="5" s="1"/>
  <c r="V6" i="5"/>
  <c r="W6" i="5" s="1"/>
  <c r="AK6" i="5" s="1"/>
  <c r="V137" i="4"/>
  <c r="V110" i="4"/>
  <c r="V107" i="4"/>
  <c r="V171" i="4"/>
  <c r="V170" i="4"/>
  <c r="V169" i="4"/>
  <c r="V166" i="4"/>
  <c r="V165" i="4"/>
  <c r="V164" i="4"/>
  <c r="V163" i="4"/>
  <c r="V162" i="4"/>
  <c r="V161" i="4"/>
  <c r="V160" i="4"/>
  <c r="V158" i="4"/>
  <c r="V157" i="4"/>
  <c r="V156" i="4"/>
  <c r="V155" i="4"/>
  <c r="V154" i="4"/>
  <c r="V153" i="4"/>
  <c r="W153" i="4" s="1"/>
  <c r="AK153" i="4" s="1"/>
  <c r="V152" i="4"/>
  <c r="V151" i="4"/>
  <c r="V149" i="4"/>
  <c r="V148" i="4"/>
  <c r="W148" i="4" s="1"/>
  <c r="AK148" i="4" s="1"/>
  <c r="V147" i="4"/>
  <c r="V146" i="4"/>
  <c r="V145" i="4"/>
  <c r="V141" i="4"/>
  <c r="V139" i="4"/>
  <c r="V138" i="4"/>
  <c r="V133" i="4"/>
  <c r="V132" i="4"/>
  <c r="V131" i="4"/>
  <c r="V130" i="4"/>
  <c r="V129" i="4"/>
  <c r="W129" i="4" s="1"/>
  <c r="AK129" i="4" s="1"/>
  <c r="V128" i="4"/>
  <c r="V127" i="4"/>
  <c r="V126" i="4"/>
  <c r="V125" i="4"/>
  <c r="V124" i="4"/>
  <c r="V123" i="4"/>
  <c r="V122" i="4"/>
  <c r="V120" i="4"/>
  <c r="V119" i="4"/>
  <c r="V118" i="4"/>
  <c r="V117" i="4"/>
  <c r="V116" i="4"/>
  <c r="V115" i="4"/>
  <c r="V114" i="4"/>
  <c r="V113" i="4"/>
  <c r="V112" i="4"/>
  <c r="V111" i="4"/>
  <c r="V108" i="4"/>
  <c r="V106" i="4"/>
  <c r="V9" i="4"/>
  <c r="V103" i="4"/>
  <c r="V102" i="4"/>
  <c r="V101" i="4"/>
  <c r="V99" i="4"/>
  <c r="V96" i="4"/>
  <c r="V94" i="4"/>
  <c r="V93" i="4"/>
  <c r="V92" i="4"/>
  <c r="V90" i="4"/>
  <c r="V89" i="4"/>
  <c r="V88" i="4"/>
  <c r="V87" i="4"/>
  <c r="V86" i="4"/>
  <c r="V85" i="4"/>
  <c r="V84" i="4"/>
  <c r="V81" i="4"/>
  <c r="V80" i="4"/>
  <c r="V78" i="4"/>
  <c r="V76" i="4"/>
  <c r="V75" i="4"/>
  <c r="V74" i="4"/>
  <c r="V72" i="4"/>
  <c r="V71" i="4"/>
  <c r="V70" i="4"/>
  <c r="V68" i="4"/>
  <c r="V67" i="4"/>
  <c r="V66" i="4"/>
  <c r="V65" i="4"/>
  <c r="W65" i="4" s="1"/>
  <c r="V63" i="4"/>
  <c r="V62" i="4"/>
  <c r="V59" i="4"/>
  <c r="V58" i="4"/>
  <c r="V56" i="4"/>
  <c r="V55" i="4"/>
  <c r="V54" i="4"/>
  <c r="V52" i="4"/>
  <c r="V49" i="4"/>
  <c r="V48" i="4"/>
  <c r="V47" i="4"/>
  <c r="V45" i="4"/>
  <c r="V44" i="4"/>
  <c r="V43" i="4"/>
  <c r="AD43" i="4" s="1"/>
  <c r="V42" i="4"/>
  <c r="V41" i="4"/>
  <c r="V40" i="4"/>
  <c r="V39" i="4"/>
  <c r="V36" i="4"/>
  <c r="V35" i="4"/>
  <c r="V34" i="4"/>
  <c r="V32" i="4"/>
  <c r="V31" i="4"/>
  <c r="V30" i="4"/>
  <c r="V29" i="4"/>
  <c r="V28" i="4"/>
  <c r="W28" i="4" s="1"/>
  <c r="AK28" i="4" s="1"/>
  <c r="V25" i="4"/>
  <c r="V24" i="4"/>
  <c r="V23" i="4"/>
  <c r="V21" i="4"/>
  <c r="V20" i="4"/>
  <c r="V18" i="4"/>
  <c r="V17" i="4"/>
  <c r="V16" i="4"/>
  <c r="V15" i="4"/>
  <c r="V14" i="4"/>
  <c r="V13" i="4"/>
  <c r="V12" i="4"/>
  <c r="V11" i="4"/>
  <c r="V10" i="4"/>
  <c r="V8" i="4"/>
  <c r="V7" i="4"/>
  <c r="V6" i="4"/>
  <c r="V42" i="3"/>
  <c r="W42" i="3" s="1"/>
  <c r="AK42" i="3" s="1"/>
  <c r="AN42" i="3" s="1"/>
  <c r="V116" i="3"/>
  <c r="W116" i="3" s="1"/>
  <c r="AK116" i="3" s="1"/>
  <c r="AN116" i="3" s="1"/>
  <c r="V115" i="3"/>
  <c r="W115" i="3" s="1"/>
  <c r="AK115" i="3" s="1"/>
  <c r="AN115" i="3" s="1"/>
  <c r="V35" i="3"/>
  <c r="W35" i="3" s="1"/>
  <c r="V132" i="3"/>
  <c r="W132" i="3" s="1"/>
  <c r="AK132" i="3" s="1"/>
  <c r="AN132" i="3" s="1"/>
  <c r="V131" i="3"/>
  <c r="W131" i="3" s="1"/>
  <c r="AK131" i="3" s="1"/>
  <c r="AN131" i="3" s="1"/>
  <c r="V130" i="3"/>
  <c r="W130" i="3" s="1"/>
  <c r="AK130" i="3" s="1"/>
  <c r="V128" i="3"/>
  <c r="W128" i="3" s="1"/>
  <c r="AK128" i="3" s="1"/>
  <c r="AN128" i="3" s="1"/>
  <c r="V127" i="3"/>
  <c r="W127" i="3" s="1"/>
  <c r="AK127" i="3" s="1"/>
  <c r="AN127" i="3" s="1"/>
  <c r="V126" i="3"/>
  <c r="W126" i="3" s="1"/>
  <c r="AK126" i="3" s="1"/>
  <c r="V123" i="3"/>
  <c r="W123" i="3" s="1"/>
  <c r="AK123" i="3" s="1"/>
  <c r="AN123" i="3" s="1"/>
  <c r="V122" i="3"/>
  <c r="W122" i="3" s="1"/>
  <c r="AK122" i="3" s="1"/>
  <c r="AN122" i="3" s="1"/>
  <c r="V121" i="3"/>
  <c r="W121" i="3" s="1"/>
  <c r="AK121" i="3" s="1"/>
  <c r="AN121" i="3" s="1"/>
  <c r="V120" i="3"/>
  <c r="W120" i="3" s="1"/>
  <c r="AK120" i="3" s="1"/>
  <c r="AN120" i="3" s="1"/>
  <c r="V119" i="3"/>
  <c r="W119" i="3" s="1"/>
  <c r="AK119" i="3" s="1"/>
  <c r="AN119" i="3" s="1"/>
  <c r="V118" i="3"/>
  <c r="W118" i="3" s="1"/>
  <c r="AK118" i="3" s="1"/>
  <c r="V114" i="3"/>
  <c r="W114" i="3" s="1"/>
  <c r="AK114" i="3" s="1"/>
  <c r="AN114" i="3" s="1"/>
  <c r="V113" i="3"/>
  <c r="W113" i="3" s="1"/>
  <c r="AK113" i="3" s="1"/>
  <c r="AN113" i="3" s="1"/>
  <c r="V112" i="3"/>
  <c r="W112" i="3" s="1"/>
  <c r="AK112" i="3" s="1"/>
  <c r="AN112" i="3" s="1"/>
  <c r="V111" i="3"/>
  <c r="W111" i="3" s="1"/>
  <c r="AK111" i="3" s="1"/>
  <c r="AN111" i="3" s="1"/>
  <c r="V110" i="3"/>
  <c r="W110" i="3" s="1"/>
  <c r="AK110" i="3" s="1"/>
  <c r="AN110" i="3" s="1"/>
  <c r="V109" i="3"/>
  <c r="W109" i="3" s="1"/>
  <c r="AK109" i="3" s="1"/>
  <c r="V108" i="3"/>
  <c r="W108" i="3" s="1"/>
  <c r="AK108" i="3" s="1"/>
  <c r="AN108" i="3" s="1"/>
  <c r="V106" i="3"/>
  <c r="W106" i="3" s="1"/>
  <c r="AK106" i="3" s="1"/>
  <c r="AN106" i="3" s="1"/>
  <c r="V105" i="3"/>
  <c r="W105" i="3" s="1"/>
  <c r="AK105" i="3" s="1"/>
  <c r="AN105" i="3" s="1"/>
  <c r="V104" i="3"/>
  <c r="W104" i="3" s="1"/>
  <c r="AK104" i="3" s="1"/>
  <c r="AN104" i="3" s="1"/>
  <c r="V103" i="3"/>
  <c r="W103" i="3" s="1"/>
  <c r="AK103" i="3" s="1"/>
  <c r="AN103" i="3" s="1"/>
  <c r="V102" i="3"/>
  <c r="W102" i="3" s="1"/>
  <c r="AK102" i="3" s="1"/>
  <c r="V99" i="3"/>
  <c r="W99" i="3" s="1"/>
  <c r="AK99" i="3" s="1"/>
  <c r="AN99" i="3" s="1"/>
  <c r="V98" i="3"/>
  <c r="W98" i="3" s="1"/>
  <c r="AK98" i="3" s="1"/>
  <c r="V97" i="3"/>
  <c r="W97" i="3" s="1"/>
  <c r="V95" i="3"/>
  <c r="W95" i="3" s="1"/>
  <c r="AK95" i="3" s="1"/>
  <c r="AN95" i="3" s="1"/>
  <c r="V94" i="3"/>
  <c r="W94" i="3" s="1"/>
  <c r="AK94" i="3" s="1"/>
  <c r="AN94" i="3" s="1"/>
  <c r="V93" i="3"/>
  <c r="W93" i="3" s="1"/>
  <c r="AK93" i="3" s="1"/>
  <c r="V92" i="3"/>
  <c r="W92" i="3" s="1"/>
  <c r="AK92" i="3" s="1"/>
  <c r="AN92" i="3" s="1"/>
  <c r="V90" i="3"/>
  <c r="W90" i="3" s="1"/>
  <c r="AK90" i="3" s="1"/>
  <c r="AN90" i="3" s="1"/>
  <c r="V89" i="3"/>
  <c r="W89" i="3" s="1"/>
  <c r="AK89" i="3" s="1"/>
  <c r="AN89" i="3" s="1"/>
  <c r="V88" i="3"/>
  <c r="AK88" i="3" s="1"/>
  <c r="AN88" i="3" s="1"/>
  <c r="V87" i="3"/>
  <c r="W87" i="3" s="1"/>
  <c r="AK87" i="3" s="1"/>
  <c r="V85" i="3"/>
  <c r="W85" i="3" s="1"/>
  <c r="AK85" i="3" s="1"/>
  <c r="AN85" i="3" s="1"/>
  <c r="V84" i="3"/>
  <c r="W84" i="3" s="1"/>
  <c r="AK84" i="3" s="1"/>
  <c r="AN84" i="3" s="1"/>
  <c r="V83" i="3"/>
  <c r="W83" i="3" s="1"/>
  <c r="AK83" i="3" s="1"/>
  <c r="AN83" i="3" s="1"/>
  <c r="V82" i="3"/>
  <c r="W82" i="3" s="1"/>
  <c r="AK82" i="3" s="1"/>
  <c r="AN82" i="3" s="1"/>
  <c r="V81" i="3"/>
  <c r="W81" i="3" s="1"/>
  <c r="AK81" i="3" s="1"/>
  <c r="AN81" i="3" s="1"/>
  <c r="V80" i="3"/>
  <c r="W80" i="3" s="1"/>
  <c r="AK80" i="3" s="1"/>
  <c r="AN80" i="3" s="1"/>
  <c r="V79" i="3"/>
  <c r="W79" i="3" s="1"/>
  <c r="AK79" i="3" s="1"/>
  <c r="AN79" i="3" s="1"/>
  <c r="V78" i="3"/>
  <c r="W78" i="3" s="1"/>
  <c r="AK78" i="3" s="1"/>
  <c r="AN78" i="3" s="1"/>
  <c r="V77" i="3"/>
  <c r="W77" i="3" s="1"/>
  <c r="AK77" i="3" s="1"/>
  <c r="AN77" i="3" s="1"/>
  <c r="V76" i="3"/>
  <c r="W76" i="3" s="1"/>
  <c r="AK76" i="3" s="1"/>
  <c r="AN76" i="3" s="1"/>
  <c r="V75" i="3"/>
  <c r="W75" i="3" s="1"/>
  <c r="AK75" i="3" s="1"/>
  <c r="AN75" i="3" s="1"/>
  <c r="V74" i="3"/>
  <c r="W74" i="3" s="1"/>
  <c r="V72" i="3"/>
  <c r="W72" i="3" s="1"/>
  <c r="AK72" i="3" s="1"/>
  <c r="AN72" i="3" s="1"/>
  <c r="V71" i="3"/>
  <c r="W71" i="3" s="1"/>
  <c r="AK71" i="3" s="1"/>
  <c r="AN71" i="3" s="1"/>
  <c r="V70" i="3"/>
  <c r="W70" i="3" s="1"/>
  <c r="AK70" i="3" s="1"/>
  <c r="AN70" i="3" s="1"/>
  <c r="V69" i="3"/>
  <c r="W69" i="3" s="1"/>
  <c r="AK69" i="3" s="1"/>
  <c r="V66" i="3"/>
  <c r="W66" i="3" s="1"/>
  <c r="AK66" i="3" s="1"/>
  <c r="AN66" i="3" s="1"/>
  <c r="V65" i="3"/>
  <c r="W65" i="3" s="1"/>
  <c r="AK65" i="3" s="1"/>
  <c r="V63" i="3"/>
  <c r="W63" i="3" s="1"/>
  <c r="AK63" i="3" s="1"/>
  <c r="AN63" i="3" s="1"/>
  <c r="V62" i="3"/>
  <c r="W62" i="3" s="1"/>
  <c r="AK62" i="3" s="1"/>
  <c r="AN62" i="3" s="1"/>
  <c r="V61" i="3"/>
  <c r="V60" i="3"/>
  <c r="W60" i="3" s="1"/>
  <c r="AK60" i="3" s="1"/>
  <c r="V58" i="3"/>
  <c r="W58" i="3" s="1"/>
  <c r="AK58" i="3" s="1"/>
  <c r="AN58" i="3" s="1"/>
  <c r="V57" i="3"/>
  <c r="W57" i="3" s="1"/>
  <c r="AK57" i="3" s="1"/>
  <c r="AN57" i="3" s="1"/>
  <c r="V56" i="3"/>
  <c r="W56" i="3" s="1"/>
  <c r="AK56" i="3" s="1"/>
  <c r="AN56" i="3" s="1"/>
  <c r="V55" i="3"/>
  <c r="W55" i="3" s="1"/>
  <c r="AK55" i="3" s="1"/>
  <c r="V53" i="3"/>
  <c r="W53" i="3" s="1"/>
  <c r="AN53" i="3" s="1"/>
  <c r="V52" i="3"/>
  <c r="W52" i="3" s="1"/>
  <c r="AK52" i="3" s="1"/>
  <c r="AN52" i="3" s="1"/>
  <c r="V51" i="3"/>
  <c r="W51" i="3" s="1"/>
  <c r="AK51" i="3" s="1"/>
  <c r="AN51" i="3" s="1"/>
  <c r="V50" i="3"/>
  <c r="W50" i="3" s="1"/>
  <c r="AK50" i="3" s="1"/>
  <c r="AN50" i="3" s="1"/>
  <c r="V49" i="3"/>
  <c r="W49" i="3" s="1"/>
  <c r="AK49" i="3" s="1"/>
  <c r="AN49" i="3" s="1"/>
  <c r="V48" i="3"/>
  <c r="W48" i="3" s="1"/>
  <c r="AK48" i="3" s="1"/>
  <c r="AN48" i="3" s="1"/>
  <c r="V47" i="3"/>
  <c r="W47" i="3" s="1"/>
  <c r="AK47" i="3" s="1"/>
  <c r="V41" i="3"/>
  <c r="W41" i="3" s="1"/>
  <c r="AK41" i="3" s="1"/>
  <c r="V39" i="3"/>
  <c r="W39" i="3" s="1"/>
  <c r="AK39" i="3" s="1"/>
  <c r="AN39" i="3" s="1"/>
  <c r="V38" i="3"/>
  <c r="W38" i="3" s="1"/>
  <c r="AK38" i="3" s="1"/>
  <c r="AN38" i="3" s="1"/>
  <c r="V37" i="3"/>
  <c r="W37" i="3" s="1"/>
  <c r="AK37" i="3" s="1"/>
  <c r="V36" i="3"/>
  <c r="W36" i="3" s="1"/>
  <c r="V32" i="3"/>
  <c r="W32" i="3" s="1"/>
  <c r="AK32" i="3" s="1"/>
  <c r="AN32" i="3" s="1"/>
  <c r="V29" i="3"/>
  <c r="W29" i="3" s="1"/>
  <c r="AK29" i="3" s="1"/>
  <c r="V23" i="3"/>
  <c r="W23" i="3" s="1"/>
  <c r="AK23" i="3" s="1"/>
  <c r="V6" i="3"/>
  <c r="W6" i="3" s="1"/>
  <c r="AK6" i="3" s="1"/>
  <c r="AN6" i="3" s="1"/>
  <c r="V31" i="3"/>
  <c r="W31" i="3" s="1"/>
  <c r="V30" i="3"/>
  <c r="W30" i="3" s="1"/>
  <c r="AK30" i="3" s="1"/>
  <c r="AN30" i="3" s="1"/>
  <c r="V27" i="3"/>
  <c r="W27" i="3" s="1"/>
  <c r="AK27" i="3" s="1"/>
  <c r="AN27" i="3" s="1"/>
  <c r="V26" i="3"/>
  <c r="W26" i="3" s="1"/>
  <c r="AK26" i="3" s="1"/>
  <c r="V25" i="3"/>
  <c r="W25" i="3" s="1"/>
  <c r="V22" i="3"/>
  <c r="W22" i="3" s="1"/>
  <c r="AK22" i="3" s="1"/>
  <c r="AN22" i="3" s="1"/>
  <c r="V20" i="3"/>
  <c r="W20" i="3" s="1"/>
  <c r="V19" i="3"/>
  <c r="W19" i="3" s="1"/>
  <c r="V18" i="3"/>
  <c r="W18" i="3" s="1"/>
  <c r="AK18" i="3" s="1"/>
  <c r="AN18" i="3" s="1"/>
  <c r="V17" i="3"/>
  <c r="W17" i="3" s="1"/>
  <c r="AK17" i="3" s="1"/>
  <c r="V12" i="3"/>
  <c r="W12" i="3" s="1"/>
  <c r="AK12" i="3" s="1"/>
  <c r="V14" i="3"/>
  <c r="W14" i="3" s="1"/>
  <c r="AK14" i="3" s="1"/>
  <c r="AN14" i="3" s="1"/>
  <c r="V13" i="3"/>
  <c r="W13" i="3" s="1"/>
  <c r="AK13" i="3" s="1"/>
  <c r="AN13" i="3" s="1"/>
  <c r="V10" i="3"/>
  <c r="W10" i="3" s="1"/>
  <c r="AK10" i="3" s="1"/>
  <c r="AN10" i="3" s="1"/>
  <c r="V9" i="3"/>
  <c r="W9" i="3" s="1"/>
  <c r="AK9" i="3" s="1"/>
  <c r="AN9" i="3" s="1"/>
  <c r="V8" i="3"/>
  <c r="V7" i="3"/>
  <c r="V6" i="2"/>
  <c r="W6" i="2" s="1"/>
  <c r="AK6" i="2" s="1"/>
  <c r="AN129" i="4" l="1"/>
  <c r="AN121" i="4" s="1"/>
  <c r="AN97" i="4" s="1"/>
  <c r="AK121" i="4"/>
  <c r="AK97" i="4" s="1"/>
  <c r="AN153" i="4"/>
  <c r="AN150" i="4" s="1"/>
  <c r="AK150" i="4"/>
  <c r="AK135" i="4" s="1"/>
  <c r="AK64" i="4"/>
  <c r="AN65" i="4"/>
  <c r="AN64" i="4" s="1"/>
  <c r="AN60" i="4" s="1"/>
  <c r="AK46" i="3"/>
  <c r="AN6" i="2"/>
  <c r="AN110" i="5"/>
  <c r="AK9" i="5"/>
  <c r="AN10" i="5"/>
  <c r="AN9" i="5" s="1"/>
  <c r="AK32" i="5"/>
  <c r="AN33" i="5"/>
  <c r="AN32" i="5" s="1"/>
  <c r="AK85" i="5"/>
  <c r="AN86" i="5"/>
  <c r="AN85" i="5" s="1"/>
  <c r="AN13" i="5"/>
  <c r="AN12" i="5" s="1"/>
  <c r="AK12" i="5"/>
  <c r="AN95" i="5"/>
  <c r="AK94" i="5"/>
  <c r="AK26" i="5"/>
  <c r="AN27" i="5"/>
  <c r="AN26" i="5" s="1"/>
  <c r="AK36" i="5"/>
  <c r="AN38" i="5"/>
  <c r="AN36" i="5" s="1"/>
  <c r="AN50" i="5"/>
  <c r="AN49" i="5" s="1"/>
  <c r="AN48" i="5" s="1"/>
  <c r="AK49" i="5"/>
  <c r="AK48" i="5" s="1"/>
  <c r="AK61" i="5"/>
  <c r="AN62" i="5"/>
  <c r="AN61" i="5" s="1"/>
  <c r="AN137" i="5"/>
  <c r="AN134" i="5" s="1"/>
  <c r="AK134" i="5"/>
  <c r="AN6" i="5"/>
  <c r="AN5" i="5" s="1"/>
  <c r="AK5" i="5"/>
  <c r="AK74" i="5"/>
  <c r="AN75" i="5"/>
  <c r="AN74" i="5" s="1"/>
  <c r="W128" i="5"/>
  <c r="AK128" i="5" s="1"/>
  <c r="AN128" i="5" s="1"/>
  <c r="AD128" i="5"/>
  <c r="AN94" i="5"/>
  <c r="AN19" i="5"/>
  <c r="AN18" i="5" s="1"/>
  <c r="AK18" i="5"/>
  <c r="AK40" i="5"/>
  <c r="AN41" i="5"/>
  <c r="AN40" i="5" s="1"/>
  <c r="AK99" i="5"/>
  <c r="AN100" i="5"/>
  <c r="AN99" i="5" s="1"/>
  <c r="AK139" i="5"/>
  <c r="O197" i="8" s="1"/>
  <c r="O191" i="8" s="1"/>
  <c r="AN140" i="5"/>
  <c r="AN139" i="5" s="1"/>
  <c r="R197" i="8" s="1"/>
  <c r="AN44" i="5"/>
  <c r="AK43" i="5"/>
  <c r="AN69" i="5"/>
  <c r="AN132" i="5"/>
  <c r="AN131" i="5" s="1"/>
  <c r="AK131" i="5"/>
  <c r="AK92" i="5"/>
  <c r="AN93" i="5"/>
  <c r="AN92" i="5" s="1"/>
  <c r="AN24" i="5"/>
  <c r="AN23" i="5" s="1"/>
  <c r="AK23" i="5"/>
  <c r="AN59" i="5"/>
  <c r="AN58" i="5" s="1"/>
  <c r="AK58" i="5"/>
  <c r="AN43" i="5"/>
  <c r="AN106" i="5"/>
  <c r="AN105" i="5" s="1"/>
  <c r="AK105" i="5"/>
  <c r="AK30" i="5"/>
  <c r="AN31" i="5"/>
  <c r="AN30" i="5" s="1"/>
  <c r="AK66" i="5"/>
  <c r="AN67" i="5"/>
  <c r="AN66" i="5" s="1"/>
  <c r="AN112" i="5"/>
  <c r="AK110" i="5"/>
  <c r="W121" i="5"/>
  <c r="AK121" i="5" s="1"/>
  <c r="AN121" i="5" s="1"/>
  <c r="AN125" i="5"/>
  <c r="AN148" i="4"/>
  <c r="AN144" i="4" s="1"/>
  <c r="AN135" i="4" s="1"/>
  <c r="AK144" i="4"/>
  <c r="AN28" i="4"/>
  <c r="AN27" i="4" s="1"/>
  <c r="AN26" i="4" s="1"/>
  <c r="AK27" i="4"/>
  <c r="AK26" i="4" s="1"/>
  <c r="AN122" i="5"/>
  <c r="AN109" i="3"/>
  <c r="AN107" i="3" s="1"/>
  <c r="AN26" i="3"/>
  <c r="AN24" i="3" s="1"/>
  <c r="AK24" i="3"/>
  <c r="AN60" i="3"/>
  <c r="AN65" i="3"/>
  <c r="AN64" i="3" s="1"/>
  <c r="AK64" i="3"/>
  <c r="O109" i="8" s="1"/>
  <c r="AN98" i="3"/>
  <c r="AN96" i="3" s="1"/>
  <c r="AK96" i="3"/>
  <c r="AN37" i="3"/>
  <c r="AN34" i="3" s="1"/>
  <c r="AK34" i="3"/>
  <c r="AN17" i="3"/>
  <c r="AN16" i="3" s="1"/>
  <c r="AK16" i="3"/>
  <c r="AK73" i="3"/>
  <c r="AN74" i="3"/>
  <c r="AN73" i="3" s="1"/>
  <c r="AK91" i="3"/>
  <c r="AN93" i="3"/>
  <c r="AN91" i="3" s="1"/>
  <c r="AN55" i="3"/>
  <c r="AN54" i="3" s="1"/>
  <c r="AK54" i="3"/>
  <c r="O107" i="8" s="1"/>
  <c r="AK21" i="3"/>
  <c r="AN23" i="3"/>
  <c r="AN21" i="3" s="1"/>
  <c r="AN47" i="3"/>
  <c r="AN46" i="3" s="1"/>
  <c r="AK117" i="3"/>
  <c r="O119" i="8" s="1"/>
  <c r="AN118" i="3"/>
  <c r="AN117" i="3" s="1"/>
  <c r="AN12" i="3"/>
  <c r="AN11" i="3" s="1"/>
  <c r="AK11" i="3"/>
  <c r="AD61" i="3"/>
  <c r="W61" i="3"/>
  <c r="AK61" i="3" s="1"/>
  <c r="AN61" i="3" s="1"/>
  <c r="AN102" i="3"/>
  <c r="AN101" i="3" s="1"/>
  <c r="AK101" i="3"/>
  <c r="O117" i="8" s="1"/>
  <c r="AN126" i="3"/>
  <c r="AN125" i="3" s="1"/>
  <c r="AK125" i="3"/>
  <c r="O121" i="8" s="1"/>
  <c r="AN41" i="3"/>
  <c r="AN40" i="3" s="1"/>
  <c r="AK40" i="3"/>
  <c r="AK28" i="3"/>
  <c r="AN29" i="3"/>
  <c r="AN28" i="3" s="1"/>
  <c r="AN69" i="3"/>
  <c r="AN68" i="3" s="1"/>
  <c r="AK68" i="3"/>
  <c r="AN87" i="3"/>
  <c r="AN86" i="3" s="1"/>
  <c r="AK86" i="3"/>
  <c r="AN130" i="3"/>
  <c r="AN129" i="3" s="1"/>
  <c r="AK129" i="3"/>
  <c r="O122" i="8" s="1"/>
  <c r="AN6" i="6"/>
  <c r="AN16" i="6"/>
  <c r="AN14" i="6" s="1"/>
  <c r="AK14" i="6"/>
  <c r="AK40" i="6"/>
  <c r="AN44" i="6"/>
  <c r="AN40" i="6" s="1"/>
  <c r="AN48" i="6"/>
  <c r="AN47" i="6" s="1"/>
  <c r="AK47" i="6"/>
  <c r="AK22" i="6"/>
  <c r="AN23" i="6"/>
  <c r="AN22" i="6" s="1"/>
  <c r="AN33" i="6"/>
  <c r="W7" i="3"/>
  <c r="AK7" i="3" s="1"/>
  <c r="AN7" i="3" s="1"/>
  <c r="AD7" i="3"/>
  <c r="AD8" i="3"/>
  <c r="W8" i="3"/>
  <c r="AK8" i="3" s="1"/>
  <c r="AN8" i="3" s="1"/>
  <c r="V205" i="2"/>
  <c r="W205" i="2" s="1"/>
  <c r="AK205" i="2" s="1"/>
  <c r="AN205" i="2" s="1"/>
  <c r="V204" i="2"/>
  <c r="W204" i="2" s="1"/>
  <c r="AK204" i="2" s="1"/>
  <c r="V201" i="2"/>
  <c r="W201" i="2" s="1"/>
  <c r="AK201" i="2" s="1"/>
  <c r="AN201" i="2" s="1"/>
  <c r="V200" i="2"/>
  <c r="W200" i="2" s="1"/>
  <c r="AK200" i="2" s="1"/>
  <c r="AN200" i="2" s="1"/>
  <c r="V199" i="2"/>
  <c r="W199" i="2" s="1"/>
  <c r="AK199" i="2" s="1"/>
  <c r="V197" i="2"/>
  <c r="W197" i="2" s="1"/>
  <c r="AK197" i="2" s="1"/>
  <c r="AN197" i="2" s="1"/>
  <c r="V196" i="2"/>
  <c r="W196" i="2" s="1"/>
  <c r="AN196" i="2" s="1"/>
  <c r="V195" i="2"/>
  <c r="W195" i="2" s="1"/>
  <c r="AK195" i="2" s="1"/>
  <c r="AN195" i="2" s="1"/>
  <c r="V194" i="2"/>
  <c r="W194" i="2" s="1"/>
  <c r="AK194" i="2" s="1"/>
  <c r="V190" i="2"/>
  <c r="W190" i="2" s="1"/>
  <c r="AK190" i="2" s="1"/>
  <c r="AN190" i="2" s="1"/>
  <c r="V188" i="2"/>
  <c r="W188" i="2" s="1"/>
  <c r="AK188" i="2" s="1"/>
  <c r="V178" i="2"/>
  <c r="W178" i="2" s="1"/>
  <c r="AK178" i="2" s="1"/>
  <c r="AN178" i="2" s="1"/>
  <c r="V179" i="2"/>
  <c r="W179" i="2" s="1"/>
  <c r="AK179" i="2" s="1"/>
  <c r="AN179" i="2" s="1"/>
  <c r="V181" i="2"/>
  <c r="W181" i="2" s="1"/>
  <c r="AK181" i="2" s="1"/>
  <c r="AN181" i="2" s="1"/>
  <c r="V177" i="2"/>
  <c r="W177" i="2" s="1"/>
  <c r="AK177" i="2" s="1"/>
  <c r="V175" i="2"/>
  <c r="W175" i="2" s="1"/>
  <c r="AK175" i="2" s="1"/>
  <c r="AN175" i="2" s="1"/>
  <c r="V174" i="2"/>
  <c r="W174" i="2" s="1"/>
  <c r="AK174" i="2" s="1"/>
  <c r="V172" i="2"/>
  <c r="W172" i="2" s="1"/>
  <c r="AK172" i="2" s="1"/>
  <c r="AN172" i="2" s="1"/>
  <c r="V171" i="2"/>
  <c r="W171" i="2" s="1"/>
  <c r="AK171" i="2" s="1"/>
  <c r="V167" i="2"/>
  <c r="W167" i="2" s="1"/>
  <c r="AK167" i="2" s="1"/>
  <c r="AN167" i="2" s="1"/>
  <c r="V168" i="2"/>
  <c r="W168" i="2" s="1"/>
  <c r="AK168" i="2" s="1"/>
  <c r="AN168" i="2" s="1"/>
  <c r="V169" i="2"/>
  <c r="W169" i="2" s="1"/>
  <c r="AK169" i="2" s="1"/>
  <c r="V166" i="2"/>
  <c r="W166" i="2" s="1"/>
  <c r="AK166" i="2" s="1"/>
  <c r="AN166" i="2" s="1"/>
  <c r="V162" i="2"/>
  <c r="W162" i="2" s="1"/>
  <c r="AK162" i="2" s="1"/>
  <c r="AN162" i="2" s="1"/>
  <c r="V163" i="2"/>
  <c r="W163" i="2" s="1"/>
  <c r="AK163" i="2" s="1"/>
  <c r="AN163" i="2" s="1"/>
  <c r="V161" i="2"/>
  <c r="W161" i="2" s="1"/>
  <c r="AK161" i="2" s="1"/>
  <c r="V156" i="2"/>
  <c r="W156" i="2" s="1"/>
  <c r="AK156" i="2" s="1"/>
  <c r="V157" i="2"/>
  <c r="W157" i="2" s="1"/>
  <c r="AK157" i="2" s="1"/>
  <c r="AN157" i="2" s="1"/>
  <c r="V158" i="2"/>
  <c r="W158" i="2" s="1"/>
  <c r="AK158" i="2" s="1"/>
  <c r="AN158" i="2" s="1"/>
  <c r="V159" i="2"/>
  <c r="W159" i="2" s="1"/>
  <c r="AK159" i="2" s="1"/>
  <c r="AN159" i="2" s="1"/>
  <c r="V155" i="2"/>
  <c r="W155" i="2" s="1"/>
  <c r="V150" i="2"/>
  <c r="W150" i="2" s="1"/>
  <c r="AK150" i="2" s="1"/>
  <c r="AN150" i="2" s="1"/>
  <c r="V151" i="2"/>
  <c r="W151" i="2" s="1"/>
  <c r="AN151" i="2" s="1"/>
  <c r="V152" i="2"/>
  <c r="W152" i="2" s="1"/>
  <c r="AK152" i="2" s="1"/>
  <c r="V153" i="2"/>
  <c r="W153" i="2" s="1"/>
  <c r="AK153" i="2" s="1"/>
  <c r="AN153" i="2" s="1"/>
  <c r="V149" i="2"/>
  <c r="W149" i="2" s="1"/>
  <c r="AK149" i="2" s="1"/>
  <c r="AN149" i="2" s="1"/>
  <c r="V147" i="2"/>
  <c r="W147" i="2" s="1"/>
  <c r="AK147" i="2" s="1"/>
  <c r="AN147" i="2" s="1"/>
  <c r="V146" i="2"/>
  <c r="V142" i="2"/>
  <c r="W142" i="2" s="1"/>
  <c r="AK142" i="2" s="1"/>
  <c r="V143" i="2"/>
  <c r="W143" i="2" s="1"/>
  <c r="V144" i="2"/>
  <c r="W144" i="2" s="1"/>
  <c r="V141" i="2"/>
  <c r="W141" i="2" s="1"/>
  <c r="V139" i="2"/>
  <c r="AN139" i="2" s="1"/>
  <c r="V133" i="2"/>
  <c r="AN133" i="2" s="1"/>
  <c r="V138" i="2"/>
  <c r="W138" i="2" s="1"/>
  <c r="AK138" i="2" s="1"/>
  <c r="AN138" i="2" s="1"/>
  <c r="V137" i="2"/>
  <c r="W137" i="2" s="1"/>
  <c r="AK137" i="2" s="1"/>
  <c r="AN137" i="2" s="1"/>
  <c r="V136" i="2"/>
  <c r="W136" i="2" s="1"/>
  <c r="V134" i="2"/>
  <c r="W134" i="2" s="1"/>
  <c r="AN134" i="2" s="1"/>
  <c r="V132" i="2"/>
  <c r="W132" i="2" s="1"/>
  <c r="AK132" i="2" s="1"/>
  <c r="V127" i="2"/>
  <c r="W127" i="2" s="1"/>
  <c r="AK127" i="2" s="1"/>
  <c r="AN127" i="2" s="1"/>
  <c r="V129" i="2"/>
  <c r="W129" i="2" s="1"/>
  <c r="AK129" i="2" s="1"/>
  <c r="AK128" i="2"/>
  <c r="AN128" i="2" s="1"/>
  <c r="V125" i="2"/>
  <c r="W125" i="2" s="1"/>
  <c r="AK125" i="2" s="1"/>
  <c r="V121" i="2"/>
  <c r="W121" i="2" s="1"/>
  <c r="AK121" i="2" s="1"/>
  <c r="V108" i="2"/>
  <c r="W108" i="2" s="1"/>
  <c r="V109" i="2"/>
  <c r="W109" i="2" s="1"/>
  <c r="AN109" i="2" s="1"/>
  <c r="V110" i="2"/>
  <c r="W110" i="2" s="1"/>
  <c r="AK110" i="2" s="1"/>
  <c r="AN110" i="2" s="1"/>
  <c r="V111" i="2"/>
  <c r="W111" i="2" s="1"/>
  <c r="AK111" i="2" s="1"/>
  <c r="AN111" i="2" s="1"/>
  <c r="V112" i="2"/>
  <c r="W112" i="2" s="1"/>
  <c r="AN112" i="2" s="1"/>
  <c r="V113" i="2"/>
  <c r="W113" i="2" s="1"/>
  <c r="AK113" i="2" s="1"/>
  <c r="AN113" i="2" s="1"/>
  <c r="V114" i="2"/>
  <c r="W114" i="2" s="1"/>
  <c r="AK114" i="2" s="1"/>
  <c r="AN114" i="2" s="1"/>
  <c r="V115" i="2"/>
  <c r="W115" i="2" s="1"/>
  <c r="AK115" i="2" s="1"/>
  <c r="AN115" i="2" s="1"/>
  <c r="V116" i="2"/>
  <c r="W116" i="2" s="1"/>
  <c r="AK116" i="2" s="1"/>
  <c r="AN116" i="2" s="1"/>
  <c r="V117" i="2"/>
  <c r="W117" i="2" s="1"/>
  <c r="AK117" i="2" s="1"/>
  <c r="AN117" i="2" s="1"/>
  <c r="V118" i="2"/>
  <c r="W118" i="2" s="1"/>
  <c r="AK118" i="2" s="1"/>
  <c r="AN118" i="2" s="1"/>
  <c r="V107" i="2"/>
  <c r="W107" i="2" s="1"/>
  <c r="AK107" i="2" s="1"/>
  <c r="V103" i="2"/>
  <c r="W103" i="2" s="1"/>
  <c r="AK103" i="2" s="1"/>
  <c r="AN103" i="2" s="1"/>
  <c r="V104" i="2"/>
  <c r="W104" i="2" s="1"/>
  <c r="AK104" i="2" s="1"/>
  <c r="AN104" i="2" s="1"/>
  <c r="V105" i="2"/>
  <c r="W105" i="2" s="1"/>
  <c r="AN105" i="2" s="1"/>
  <c r="V102" i="2"/>
  <c r="W102" i="2" s="1"/>
  <c r="AK102" i="2" s="1"/>
  <c r="V98" i="2"/>
  <c r="W98" i="2" s="1"/>
  <c r="AK98" i="2" s="1"/>
  <c r="AN98" i="2" s="1"/>
  <c r="V99" i="2"/>
  <c r="W99" i="2" s="1"/>
  <c r="AN99" i="2" s="1"/>
  <c r="V94" i="2"/>
  <c r="W94" i="2" s="1"/>
  <c r="AK94" i="2" s="1"/>
  <c r="AN94" i="2" s="1"/>
  <c r="V95" i="2"/>
  <c r="AK95" i="2" s="1"/>
  <c r="AN95" i="2" s="1"/>
  <c r="V96" i="2"/>
  <c r="W96" i="2" s="1"/>
  <c r="AK96" i="2" s="1"/>
  <c r="AN96" i="2" s="1"/>
  <c r="V97" i="2"/>
  <c r="AK97" i="2" s="1"/>
  <c r="AN97" i="2" s="1"/>
  <c r="V93" i="2"/>
  <c r="W93" i="2" s="1"/>
  <c r="AK93" i="2" s="1"/>
  <c r="V90" i="2"/>
  <c r="W90" i="2" s="1"/>
  <c r="AK90" i="2" s="1"/>
  <c r="AN90" i="2" s="1"/>
  <c r="V87" i="2"/>
  <c r="W87" i="2" s="1"/>
  <c r="AK87" i="2" s="1"/>
  <c r="AN87" i="2" s="1"/>
  <c r="V88" i="2"/>
  <c r="W88" i="2" s="1"/>
  <c r="AN88" i="2" s="1"/>
  <c r="V89" i="2"/>
  <c r="W89" i="2" s="1"/>
  <c r="V86" i="2"/>
  <c r="W86" i="2" s="1"/>
  <c r="AK86" i="2" s="1"/>
  <c r="V79" i="2"/>
  <c r="W79" i="2" s="1"/>
  <c r="AK79" i="2" s="1"/>
  <c r="AN79" i="2" s="1"/>
  <c r="V80" i="2"/>
  <c r="W80" i="2" s="1"/>
  <c r="AN80" i="2" s="1"/>
  <c r="V81" i="2"/>
  <c r="W81" i="2" s="1"/>
  <c r="AK81" i="2" s="1"/>
  <c r="AN81" i="2" s="1"/>
  <c r="V82" i="2"/>
  <c r="W82" i="2" s="1"/>
  <c r="AK82" i="2" s="1"/>
  <c r="AN82" i="2" s="1"/>
  <c r="V83" i="2"/>
  <c r="W83" i="2" s="1"/>
  <c r="AK83" i="2" s="1"/>
  <c r="AN83" i="2" s="1"/>
  <c r="V84" i="2"/>
  <c r="W84" i="2" s="1"/>
  <c r="AK84" i="2" s="1"/>
  <c r="AN84" i="2" s="1"/>
  <c r="V78" i="2"/>
  <c r="W78" i="2" s="1"/>
  <c r="AK78" i="2" s="1"/>
  <c r="V75" i="2"/>
  <c r="W75" i="2" s="1"/>
  <c r="AK75" i="2" s="1"/>
  <c r="AN75" i="2" s="1"/>
  <c r="V76" i="2"/>
  <c r="W76" i="2" s="1"/>
  <c r="AK76" i="2" s="1"/>
  <c r="AN76" i="2" s="1"/>
  <c r="V74" i="2"/>
  <c r="W74" i="2" s="1"/>
  <c r="V71" i="2"/>
  <c r="W71" i="2" s="1"/>
  <c r="AK71" i="2" s="1"/>
  <c r="AN71" i="2" s="1"/>
  <c r="V69" i="2"/>
  <c r="W69" i="2" s="1"/>
  <c r="AK69" i="2" s="1"/>
  <c r="V62" i="2"/>
  <c r="W62" i="2" s="1"/>
  <c r="AK62" i="2" s="1"/>
  <c r="AN62" i="2" s="1"/>
  <c r="V63" i="2"/>
  <c r="W63" i="2" s="1"/>
  <c r="AK63" i="2" s="1"/>
  <c r="AN63" i="2" s="1"/>
  <c r="V64" i="2"/>
  <c r="W64" i="2" s="1"/>
  <c r="AK64" i="2" s="1"/>
  <c r="AN64" i="2" s="1"/>
  <c r="V65" i="2"/>
  <c r="W65" i="2" s="1"/>
  <c r="AK65" i="2" s="1"/>
  <c r="AN65" i="2" s="1"/>
  <c r="V66" i="2"/>
  <c r="W66" i="2" s="1"/>
  <c r="AK66" i="2" s="1"/>
  <c r="AN66" i="2" s="1"/>
  <c r="V67" i="2"/>
  <c r="W67" i="2" s="1"/>
  <c r="AK67" i="2" s="1"/>
  <c r="AN67" i="2" s="1"/>
  <c r="V61" i="2"/>
  <c r="W61" i="2" s="1"/>
  <c r="AK61" i="2" s="1"/>
  <c r="W57" i="2"/>
  <c r="AK57" i="2" s="1"/>
  <c r="V58" i="2"/>
  <c r="W58" i="2" s="1"/>
  <c r="AK58" i="2" s="1"/>
  <c r="AN58" i="2" s="1"/>
  <c r="W59" i="2"/>
  <c r="AK59" i="2" s="1"/>
  <c r="AN59" i="2" s="1"/>
  <c r="V54" i="2"/>
  <c r="W54" i="2" s="1"/>
  <c r="AK54" i="2" s="1"/>
  <c r="AN54" i="2" s="1"/>
  <c r="V55" i="2"/>
  <c r="W55" i="2" s="1"/>
  <c r="AK55" i="2" s="1"/>
  <c r="AN55" i="2" s="1"/>
  <c r="V53" i="2"/>
  <c r="W53" i="2" s="1"/>
  <c r="AK53" i="2" s="1"/>
  <c r="V51" i="2"/>
  <c r="W51" i="2" s="1"/>
  <c r="AK51" i="2" s="1"/>
  <c r="AN51" i="2" s="1"/>
  <c r="V50" i="2"/>
  <c r="W50" i="2" s="1"/>
  <c r="AK50" i="2" s="1"/>
  <c r="V45" i="2"/>
  <c r="W45" i="2" s="1"/>
  <c r="AK45" i="2" s="1"/>
  <c r="AN45" i="2" s="1"/>
  <c r="V46" i="2"/>
  <c r="AK46" i="2" s="1"/>
  <c r="AN46" i="2" s="1"/>
  <c r="V47" i="2"/>
  <c r="W47" i="2" s="1"/>
  <c r="AK47" i="2" s="1"/>
  <c r="AN47" i="2" s="1"/>
  <c r="V48" i="2"/>
  <c r="W48" i="2" s="1"/>
  <c r="AK48" i="2" s="1"/>
  <c r="AN48" i="2" s="1"/>
  <c r="V44" i="2"/>
  <c r="W44" i="2" s="1"/>
  <c r="AK44" i="2" s="1"/>
  <c r="V42" i="2"/>
  <c r="W42" i="2" s="1"/>
  <c r="V40" i="2"/>
  <c r="W40" i="2" s="1"/>
  <c r="V36" i="2"/>
  <c r="W36" i="2" s="1"/>
  <c r="V37" i="2"/>
  <c r="W37" i="2" s="1"/>
  <c r="AK37" i="2" s="1"/>
  <c r="V35" i="2"/>
  <c r="W35" i="2" s="1"/>
  <c r="V31" i="2"/>
  <c r="W31" i="2" s="1"/>
  <c r="V32" i="2"/>
  <c r="W32" i="2" s="1"/>
  <c r="AN32" i="2" s="1"/>
  <c r="V33" i="2"/>
  <c r="W33" i="2" s="1"/>
  <c r="AK33" i="2" s="1"/>
  <c r="AN33" i="2" s="1"/>
  <c r="V30" i="2"/>
  <c r="W30" i="2" s="1"/>
  <c r="AK30" i="2" s="1"/>
  <c r="V23" i="2"/>
  <c r="W23" i="2" s="1"/>
  <c r="V24" i="2"/>
  <c r="W24" i="2" s="1"/>
  <c r="AK24" i="2" s="1"/>
  <c r="AN24" i="2" s="1"/>
  <c r="V25" i="2"/>
  <c r="V26" i="2"/>
  <c r="V27" i="2"/>
  <c r="V28" i="2"/>
  <c r="W28" i="2" s="1"/>
  <c r="AK28" i="2" s="1"/>
  <c r="AN28" i="2" s="1"/>
  <c r="V14" i="2"/>
  <c r="W14" i="2" s="1"/>
  <c r="AK14" i="2" s="1"/>
  <c r="AN14" i="2" s="1"/>
  <c r="V13" i="2"/>
  <c r="W7" i="2"/>
  <c r="AK7" i="2" s="1"/>
  <c r="AN7" i="2" s="1"/>
  <c r="V8" i="2"/>
  <c r="AK8" i="2" s="1"/>
  <c r="AN8" i="2" s="1"/>
  <c r="V9" i="2"/>
  <c r="W9" i="2" s="1"/>
  <c r="AK9" i="2" s="1"/>
  <c r="AN9" i="2" s="1"/>
  <c r="V10" i="2"/>
  <c r="W10" i="2" s="1"/>
  <c r="AK10" i="2" s="1"/>
  <c r="AN10" i="2" s="1"/>
  <c r="V11" i="2"/>
  <c r="W11" i="2" s="1"/>
  <c r="AK11" i="2" s="1"/>
  <c r="AN11" i="2" s="1"/>
  <c r="V211" i="1"/>
  <c r="V210" i="1"/>
  <c r="V208" i="1"/>
  <c r="V207" i="1"/>
  <c r="V205" i="1"/>
  <c r="V204" i="1"/>
  <c r="V201" i="1"/>
  <c r="V202" i="1"/>
  <c r="V200" i="1"/>
  <c r="V197" i="1"/>
  <c r="V198" i="1"/>
  <c r="V196" i="1"/>
  <c r="V194" i="1"/>
  <c r="V193" i="1"/>
  <c r="V188" i="1"/>
  <c r="V189" i="1"/>
  <c r="V190" i="1"/>
  <c r="V191" i="1"/>
  <c r="V187" i="1"/>
  <c r="V185" i="1"/>
  <c r="V181" i="1"/>
  <c r="V182" i="1"/>
  <c r="V183" i="1"/>
  <c r="V180" i="1"/>
  <c r="V177" i="1"/>
  <c r="V178" i="1"/>
  <c r="V176" i="1"/>
  <c r="V174" i="1"/>
  <c r="V173" i="1"/>
  <c r="V168" i="1"/>
  <c r="V169" i="1"/>
  <c r="V170" i="1"/>
  <c r="V167" i="1"/>
  <c r="V165" i="1"/>
  <c r="V162" i="1"/>
  <c r="V163" i="1"/>
  <c r="V164" i="1"/>
  <c r="V161" i="1"/>
  <c r="V155" i="1"/>
  <c r="V156" i="1"/>
  <c r="V157" i="1"/>
  <c r="V158" i="1"/>
  <c r="V159" i="1"/>
  <c r="V154" i="1"/>
  <c r="V150" i="1"/>
  <c r="V151" i="1"/>
  <c r="V152" i="1"/>
  <c r="V149" i="1"/>
  <c r="V145" i="1"/>
  <c r="V146" i="1"/>
  <c r="V147" i="1"/>
  <c r="V144" i="1"/>
  <c r="V142" i="1"/>
  <c r="V141" i="1"/>
  <c r="V135" i="1"/>
  <c r="V136" i="1"/>
  <c r="V127" i="1"/>
  <c r="V128" i="1"/>
  <c r="V129" i="1"/>
  <c r="V126" i="1"/>
  <c r="V107" i="1"/>
  <c r="V108" i="1"/>
  <c r="V109" i="1"/>
  <c r="V110" i="1"/>
  <c r="V111" i="1"/>
  <c r="V112" i="1"/>
  <c r="V113" i="1"/>
  <c r="V115" i="1"/>
  <c r="V116" i="1"/>
  <c r="V117" i="1"/>
  <c r="V118" i="1"/>
  <c r="V119" i="1"/>
  <c r="V120" i="1"/>
  <c r="V121" i="1"/>
  <c r="V122" i="1"/>
  <c r="V123" i="1"/>
  <c r="V124" i="1"/>
  <c r="V106" i="1"/>
  <c r="V104" i="1"/>
  <c r="V103" i="1"/>
  <c r="V101" i="1"/>
  <c r="V100" i="1"/>
  <c r="V97" i="1"/>
  <c r="V95" i="1"/>
  <c r="V93" i="1"/>
  <c r="V94" i="1"/>
  <c r="AD94" i="1" s="1"/>
  <c r="V96" i="1"/>
  <c r="V98" i="1"/>
  <c r="V89" i="1"/>
  <c r="V90" i="1"/>
  <c r="V88" i="1"/>
  <c r="V86" i="1"/>
  <c r="V79" i="1"/>
  <c r="V80" i="1"/>
  <c r="V81" i="1"/>
  <c r="V82" i="1"/>
  <c r="V83" i="1"/>
  <c r="V84" i="1"/>
  <c r="V85" i="1"/>
  <c r="V78" i="1"/>
  <c r="W78" i="1" s="1"/>
  <c r="AK78" i="1" s="1"/>
  <c r="V66" i="1"/>
  <c r="V67" i="1"/>
  <c r="V68" i="1"/>
  <c r="V69" i="1"/>
  <c r="V70" i="1"/>
  <c r="V71" i="1"/>
  <c r="V72" i="1"/>
  <c r="V73" i="1"/>
  <c r="V74" i="1"/>
  <c r="V75" i="1"/>
  <c r="V76" i="1"/>
  <c r="V60" i="1"/>
  <c r="V61" i="1"/>
  <c r="V62" i="1"/>
  <c r="V63" i="1"/>
  <c r="V64" i="1"/>
  <c r="V65" i="1"/>
  <c r="V59" i="1"/>
  <c r="V53" i="1"/>
  <c r="V46" i="1"/>
  <c r="V40" i="1"/>
  <c r="V17" i="1"/>
  <c r="V13" i="1"/>
  <c r="V54" i="1"/>
  <c r="V55" i="1"/>
  <c r="V51" i="1"/>
  <c r="V47" i="1"/>
  <c r="V48" i="1"/>
  <c r="V49" i="1"/>
  <c r="V50" i="1"/>
  <c r="V45" i="1"/>
  <c r="V43" i="1"/>
  <c r="V42" i="1"/>
  <c r="V41" i="1"/>
  <c r="V38" i="1"/>
  <c r="V37" i="1"/>
  <c r="V35" i="1"/>
  <c r="V34" i="1"/>
  <c r="V28" i="1"/>
  <c r="V29" i="1"/>
  <c r="V30" i="1"/>
  <c r="V25" i="1"/>
  <c r="V24" i="1"/>
  <c r="V22" i="1"/>
  <c r="V18" i="1"/>
  <c r="V19" i="1"/>
  <c r="V20" i="1"/>
  <c r="V14" i="1"/>
  <c r="V15" i="1"/>
  <c r="V7" i="1"/>
  <c r="AD7" i="1" s="1"/>
  <c r="V8" i="1"/>
  <c r="V9" i="1"/>
  <c r="V10" i="1"/>
  <c r="V11" i="1"/>
  <c r="AK108" i="2" l="1"/>
  <c r="AN108" i="2" s="1"/>
  <c r="AN78" i="1"/>
  <c r="AN77" i="1" s="1"/>
  <c r="AN31" i="1" s="1"/>
  <c r="AN3" i="1" s="1"/>
  <c r="AK77" i="1"/>
  <c r="AK31" i="1" s="1"/>
  <c r="O116" i="8"/>
  <c r="AN59" i="3"/>
  <c r="AK5" i="3"/>
  <c r="AK4" i="3" s="1"/>
  <c r="AN5" i="3"/>
  <c r="AN4" i="3" s="1"/>
  <c r="O120" i="8"/>
  <c r="AN86" i="2"/>
  <c r="AN85" i="2" s="1"/>
  <c r="AK85" i="2"/>
  <c r="AK148" i="2"/>
  <c r="AN152" i="2"/>
  <c r="AN148" i="2" s="1"/>
  <c r="AN204" i="2"/>
  <c r="AN203" i="2" s="1"/>
  <c r="AK203" i="2"/>
  <c r="O91" i="8" s="1"/>
  <c r="AD27" i="2"/>
  <c r="W27" i="2"/>
  <c r="AK27" i="2" s="1"/>
  <c r="AN27" i="2" s="1"/>
  <c r="AD26" i="2"/>
  <c r="W26" i="2"/>
  <c r="AK26" i="2" s="1"/>
  <c r="AN26" i="2" s="1"/>
  <c r="AD25" i="2"/>
  <c r="W25" i="2"/>
  <c r="AK25" i="2" s="1"/>
  <c r="AN25" i="2" s="1"/>
  <c r="AN37" i="2"/>
  <c r="AN34" i="2" s="1"/>
  <c r="AK34" i="2"/>
  <c r="AK56" i="2"/>
  <c r="AN57" i="2"/>
  <c r="AN56" i="2" s="1"/>
  <c r="AK68" i="2"/>
  <c r="AN69" i="2"/>
  <c r="AN68" i="2" s="1"/>
  <c r="AN102" i="2"/>
  <c r="AN101" i="2" s="1"/>
  <c r="AN142" i="2"/>
  <c r="AN140" i="2" s="1"/>
  <c r="AK140" i="2"/>
  <c r="AN177" i="2"/>
  <c r="AN44" i="2"/>
  <c r="AN43" i="2" s="1"/>
  <c r="AK43" i="2"/>
  <c r="AN171" i="2"/>
  <c r="AN170" i="2" s="1"/>
  <c r="AK170" i="2"/>
  <c r="O82" i="8" s="1"/>
  <c r="AN188" i="2"/>
  <c r="AK77" i="2"/>
  <c r="O47" i="8" s="1"/>
  <c r="AN78" i="2"/>
  <c r="AN77" i="2" s="1"/>
  <c r="AK131" i="2"/>
  <c r="AN132" i="2"/>
  <c r="AN131" i="2" s="1"/>
  <c r="AK160" i="2"/>
  <c r="AN161" i="2"/>
  <c r="AN160" i="2" s="1"/>
  <c r="AN174" i="2"/>
  <c r="AN173" i="2" s="1"/>
  <c r="AK173" i="2"/>
  <c r="O83" i="8" s="1"/>
  <c r="AN61" i="2"/>
  <c r="AN60" i="2" s="1"/>
  <c r="AK60" i="2"/>
  <c r="AN74" i="2"/>
  <c r="AN73" i="2" s="1"/>
  <c r="AK73" i="2"/>
  <c r="AN199" i="2"/>
  <c r="AN198" i="2" s="1"/>
  <c r="AK198" i="2"/>
  <c r="AK5" i="2"/>
  <c r="AN107" i="2"/>
  <c r="AK106" i="2"/>
  <c r="AN156" i="2"/>
  <c r="AN154" i="2" s="1"/>
  <c r="AK154" i="2"/>
  <c r="AN194" i="2"/>
  <c r="AN193" i="2" s="1"/>
  <c r="AK193" i="2"/>
  <c r="O89" i="8" s="1"/>
  <c r="AN50" i="2"/>
  <c r="AN49" i="2" s="1"/>
  <c r="AK49" i="2"/>
  <c r="AN93" i="2"/>
  <c r="AN92" i="2" s="1"/>
  <c r="AN125" i="2"/>
  <c r="AN124" i="2" s="1"/>
  <c r="AK124" i="2"/>
  <c r="AN23" i="2"/>
  <c r="AD13" i="2"/>
  <c r="W13" i="2"/>
  <c r="AK13" i="2" s="1"/>
  <c r="AK29" i="2"/>
  <c r="AN30" i="2"/>
  <c r="AN29" i="2" s="1"/>
  <c r="AN53" i="2"/>
  <c r="AN52" i="2" s="1"/>
  <c r="AK52" i="2"/>
  <c r="AN5" i="2"/>
  <c r="AN4" i="5"/>
  <c r="AK4" i="5"/>
  <c r="AN17" i="5"/>
  <c r="AK123" i="5"/>
  <c r="AK17" i="5"/>
  <c r="AN123" i="5"/>
  <c r="AN3" i="4"/>
  <c r="R123" i="8" s="1"/>
  <c r="AK59" i="3"/>
  <c r="O108" i="8" s="1"/>
  <c r="O105" i="8" s="1"/>
  <c r="AN124" i="3"/>
  <c r="AK15" i="3"/>
  <c r="AK124" i="3"/>
  <c r="AN67" i="3"/>
  <c r="AN100" i="3"/>
  <c r="AN15" i="3"/>
  <c r="AK33" i="3"/>
  <c r="AK67" i="3"/>
  <c r="AN33" i="3"/>
  <c r="AK100" i="3"/>
  <c r="AN45" i="3"/>
  <c r="AN129" i="2"/>
  <c r="AN126" i="2" s="1"/>
  <c r="AK126" i="2"/>
  <c r="AN121" i="2"/>
  <c r="AN120" i="2" s="1"/>
  <c r="AK120" i="2"/>
  <c r="O69" i="8" s="1"/>
  <c r="AN169" i="2"/>
  <c r="AN165" i="2" s="1"/>
  <c r="AK165" i="2"/>
  <c r="AD82" i="5"/>
  <c r="AN106" i="2" l="1"/>
  <c r="AN91" i="2" s="1"/>
  <c r="AK45" i="3"/>
  <c r="AK192" i="2"/>
  <c r="O90" i="8"/>
  <c r="O88" i="8" s="1"/>
  <c r="AN13" i="2"/>
  <c r="AN12" i="2" s="1"/>
  <c r="AK12" i="2"/>
  <c r="AK21" i="2"/>
  <c r="AN21" i="2"/>
  <c r="O81" i="8"/>
  <c r="AN192" i="2"/>
  <c r="AK3" i="3"/>
  <c r="O92" i="8" s="1"/>
  <c r="J6" i="7" s="1"/>
  <c r="AN3" i="3"/>
  <c r="AD32" i="3"/>
  <c r="AD20" i="2" l="1"/>
  <c r="AG29" i="5" l="1"/>
  <c r="H39" i="9" l="1"/>
  <c r="H37" i="9"/>
  <c r="S143" i="4" l="1"/>
  <c r="V143" i="4" s="1"/>
  <c r="F133" i="2" l="1"/>
  <c r="AL63" i="3" l="1"/>
  <c r="AL61" i="3"/>
  <c r="AI132" i="1"/>
  <c r="D54" i="19" l="1"/>
  <c r="E54" i="19"/>
  <c r="F54" i="19"/>
  <c r="K211" i="1"/>
  <c r="K210" i="1"/>
  <c r="K208" i="1"/>
  <c r="K29" i="5"/>
  <c r="K7" i="5"/>
  <c r="AC37" i="5"/>
  <c r="AC28" i="5"/>
  <c r="AC209" i="1"/>
  <c r="K209" i="1" l="1"/>
  <c r="K12" i="4" l="1"/>
  <c r="AD138" i="1" l="1"/>
  <c r="AG138" i="1" s="1"/>
  <c r="K138" i="1"/>
  <c r="AM138" i="1" l="1"/>
  <c r="AD17" i="1" l="1"/>
  <c r="F16" i="9" l="1"/>
  <c r="AM9" i="6" l="1"/>
  <c r="AM10" i="6"/>
  <c r="AM12" i="6"/>
  <c r="AM80" i="1" l="1"/>
  <c r="AM64" i="1"/>
  <c r="AM65" i="1"/>
  <c r="AM63" i="1"/>
  <c r="AM49" i="1"/>
  <c r="AM32" i="6" l="1"/>
  <c r="V104" i="4" l="1"/>
  <c r="F146" i="2" l="1"/>
  <c r="F139" i="2"/>
  <c r="F137" i="2"/>
  <c r="F134" i="2"/>
  <c r="V13" i="6" l="1"/>
  <c r="W13" i="6" s="1"/>
  <c r="AK13" i="6" s="1"/>
  <c r="R61" i="1"/>
  <c r="AN13" i="6" l="1"/>
  <c r="AN5" i="6" s="1"/>
  <c r="AN4" i="6" s="1"/>
  <c r="AK4" i="6"/>
  <c r="AL20" i="4"/>
  <c r="K20" i="4"/>
  <c r="AD18" i="2" l="1"/>
  <c r="AL78" i="2" l="1"/>
  <c r="AL84" i="2"/>
  <c r="R189" i="2" l="1"/>
  <c r="V189" i="2" s="1"/>
  <c r="W189" i="2" s="1"/>
  <c r="R186" i="2" l="1"/>
  <c r="V186" i="2" s="1"/>
  <c r="W186" i="2" s="1"/>
  <c r="AK186" i="2" s="1"/>
  <c r="AN186" i="2" s="1"/>
  <c r="R185" i="2"/>
  <c r="V185" i="2" s="1"/>
  <c r="W185" i="2" s="1"/>
  <c r="AK185" i="2" s="1"/>
  <c r="R183" i="2"/>
  <c r="V183" i="2" s="1"/>
  <c r="W183" i="2" s="1"/>
  <c r="AK183" i="2" s="1"/>
  <c r="R180" i="2"/>
  <c r="V180" i="2" s="1"/>
  <c r="W180" i="2" s="1"/>
  <c r="AK180" i="2" s="1"/>
  <c r="R177" i="2"/>
  <c r="R174" i="2"/>
  <c r="AN183" i="2" l="1"/>
  <c r="AN182" i="2" s="1"/>
  <c r="AK182" i="2"/>
  <c r="O85" i="8" s="1"/>
  <c r="AN180" i="2"/>
  <c r="AN176" i="2" s="1"/>
  <c r="AK176" i="2"/>
  <c r="AN185" i="2"/>
  <c r="AN184" i="2" s="1"/>
  <c r="AK184" i="2"/>
  <c r="O86" i="8" s="1"/>
  <c r="AI193" i="1"/>
  <c r="O84" i="8" l="1"/>
  <c r="AL50" i="3"/>
  <c r="P119" i="5" l="1"/>
  <c r="W119" i="5" s="1"/>
  <c r="AK119" i="5" s="1"/>
  <c r="J119" i="5"/>
  <c r="N29" i="3"/>
  <c r="K30" i="3"/>
  <c r="K29" i="3"/>
  <c r="AN119" i="5" l="1"/>
  <c r="AN116" i="5" s="1"/>
  <c r="AN109" i="5" s="1"/>
  <c r="R191" i="8" s="1"/>
  <c r="AK116" i="5"/>
  <c r="AK109" i="5" s="1"/>
  <c r="R73" i="5"/>
  <c r="V73" i="5" s="1"/>
  <c r="W73" i="5" s="1"/>
  <c r="AK73" i="5" s="1"/>
  <c r="AN73" i="5" l="1"/>
  <c r="AN68" i="5" s="1"/>
  <c r="AN57" i="5" s="1"/>
  <c r="AK68" i="5"/>
  <c r="AK57" i="5" s="1"/>
  <c r="Q142" i="4"/>
  <c r="V142" i="4" s="1"/>
  <c r="R191" i="2" l="1"/>
  <c r="V191" i="2" s="1"/>
  <c r="W191" i="2" s="1"/>
  <c r="AK191" i="2" s="1"/>
  <c r="AN191" i="2" l="1"/>
  <c r="AN187" i="2" s="1"/>
  <c r="AN164" i="2" s="1"/>
  <c r="AK187" i="2"/>
  <c r="R123" i="2"/>
  <c r="V123" i="2" s="1"/>
  <c r="W123" i="2" s="1"/>
  <c r="AK123" i="2" s="1"/>
  <c r="AN123" i="2" l="1"/>
  <c r="AN122" i="2" s="1"/>
  <c r="AN119" i="2" s="1"/>
  <c r="AK122" i="2"/>
  <c r="O87" i="8"/>
  <c r="O80" i="8" s="1"/>
  <c r="AK164" i="2"/>
  <c r="Y3" i="8"/>
  <c r="AI151" i="1"/>
  <c r="O70" i="8" l="1"/>
  <c r="O68" i="8" s="1"/>
  <c r="AK119" i="2"/>
  <c r="F1393" i="18" l="1"/>
  <c r="D1393" i="18"/>
  <c r="B1393" i="18"/>
  <c r="F1392" i="18"/>
  <c r="D1392" i="18"/>
  <c r="B1392" i="18"/>
  <c r="F1391" i="18"/>
  <c r="D1391" i="18"/>
  <c r="B1391" i="18"/>
  <c r="F1390" i="18"/>
  <c r="D1390" i="18"/>
  <c r="B1390" i="18"/>
  <c r="F1389" i="18"/>
  <c r="D1389" i="18"/>
  <c r="B1389" i="18"/>
  <c r="F1388" i="18"/>
  <c r="D1388" i="18"/>
  <c r="B1388" i="18"/>
  <c r="F1387" i="18"/>
  <c r="D1387" i="18"/>
  <c r="B1387" i="18"/>
  <c r="F1386" i="18"/>
  <c r="D1386" i="18"/>
  <c r="B1386" i="18"/>
  <c r="F1385" i="18"/>
  <c r="D1385" i="18"/>
  <c r="B1385" i="18"/>
  <c r="F1384" i="18"/>
  <c r="D1384" i="18"/>
  <c r="B1384" i="18"/>
  <c r="F1383" i="18"/>
  <c r="D1383" i="18"/>
  <c r="B1383" i="18"/>
  <c r="F1382" i="18"/>
  <c r="D1382" i="18"/>
  <c r="B1382" i="18"/>
  <c r="F1381" i="18"/>
  <c r="D1381" i="18"/>
  <c r="B1381" i="18"/>
  <c r="F1380" i="18"/>
  <c r="D1380" i="18"/>
  <c r="B1380" i="18"/>
  <c r="F1379" i="18"/>
  <c r="D1379" i="18"/>
  <c r="B1379" i="18"/>
  <c r="F1378" i="18"/>
  <c r="D1378" i="18"/>
  <c r="B1378" i="18"/>
  <c r="F1377" i="18"/>
  <c r="D1377" i="18"/>
  <c r="B1377" i="18"/>
  <c r="F1376" i="18"/>
  <c r="D1376" i="18"/>
  <c r="B1376" i="18"/>
  <c r="F1375" i="18"/>
  <c r="D1375" i="18"/>
  <c r="B1375" i="18"/>
  <c r="F1374" i="18"/>
  <c r="D1374" i="18"/>
  <c r="B1374" i="18"/>
  <c r="F1373" i="18"/>
  <c r="D1373" i="18"/>
  <c r="B1373" i="18"/>
  <c r="F1372" i="18"/>
  <c r="D1372" i="18"/>
  <c r="B1372" i="18"/>
  <c r="F1371" i="18"/>
  <c r="D1371" i="18"/>
  <c r="B1371" i="18"/>
  <c r="F1370" i="18"/>
  <c r="D1370" i="18"/>
  <c r="B1370" i="18"/>
  <c r="F1369" i="18"/>
  <c r="D1369" i="18"/>
  <c r="B1369" i="18"/>
  <c r="F1368" i="18"/>
  <c r="D1368" i="18"/>
  <c r="B1368" i="18"/>
  <c r="F1367" i="18"/>
  <c r="D1367" i="18"/>
  <c r="B1367" i="18"/>
  <c r="F1366" i="18"/>
  <c r="D1366" i="18"/>
  <c r="B1366" i="18"/>
  <c r="F1365" i="18"/>
  <c r="D1365" i="18"/>
  <c r="B1365" i="18"/>
  <c r="F1364" i="18"/>
  <c r="D1364" i="18"/>
  <c r="B1364" i="18"/>
  <c r="F1363" i="18"/>
  <c r="D1363" i="18"/>
  <c r="B1363" i="18"/>
  <c r="F1362" i="18"/>
  <c r="D1362" i="18"/>
  <c r="B1362" i="18"/>
  <c r="F1361" i="18"/>
  <c r="D1361" i="18"/>
  <c r="B1361" i="18"/>
  <c r="F1360" i="18"/>
  <c r="D1360" i="18"/>
  <c r="B1360" i="18"/>
  <c r="F1359" i="18"/>
  <c r="D1359" i="18"/>
  <c r="B1359" i="18"/>
  <c r="F1358" i="18"/>
  <c r="D1358" i="18"/>
  <c r="B1358" i="18"/>
  <c r="F1357" i="18"/>
  <c r="D1357" i="18"/>
  <c r="B1357" i="18"/>
  <c r="F1356" i="18"/>
  <c r="D1356" i="18"/>
  <c r="B1356" i="18"/>
  <c r="F1355" i="18"/>
  <c r="D1355" i="18"/>
  <c r="B1355" i="18"/>
  <c r="F1354" i="18"/>
  <c r="D1354" i="18"/>
  <c r="B1354" i="18"/>
  <c r="F1353" i="18"/>
  <c r="D1353" i="18"/>
  <c r="B1353" i="18"/>
  <c r="F1352" i="18"/>
  <c r="D1352" i="18"/>
  <c r="B1352" i="18"/>
  <c r="F1351" i="18"/>
  <c r="D1351" i="18"/>
  <c r="B1351" i="18"/>
  <c r="F1350" i="18"/>
  <c r="D1350" i="18"/>
  <c r="B1350" i="18"/>
  <c r="F1349" i="18"/>
  <c r="D1349" i="18"/>
  <c r="B1349" i="18"/>
  <c r="F1348" i="18"/>
  <c r="D1348" i="18"/>
  <c r="B1348" i="18"/>
  <c r="F1347" i="18"/>
  <c r="D1347" i="18"/>
  <c r="B1347" i="18"/>
  <c r="F1346" i="18"/>
  <c r="D1346" i="18"/>
  <c r="B1346" i="18"/>
  <c r="F1345" i="18"/>
  <c r="D1345" i="18"/>
  <c r="B1345" i="18"/>
  <c r="F1344" i="18"/>
  <c r="D1344" i="18"/>
  <c r="B1344" i="18"/>
  <c r="F1343" i="18"/>
  <c r="D1343" i="18"/>
  <c r="B1343" i="18"/>
  <c r="F1342" i="18"/>
  <c r="D1342" i="18"/>
  <c r="B1342" i="18"/>
  <c r="F1341" i="18"/>
  <c r="D1341" i="18"/>
  <c r="B1341" i="18"/>
  <c r="F1340" i="18"/>
  <c r="D1340" i="18"/>
  <c r="B1340" i="18"/>
  <c r="F1339" i="18"/>
  <c r="D1339" i="18"/>
  <c r="B1339" i="18"/>
  <c r="F1338" i="18"/>
  <c r="D1338" i="18"/>
  <c r="B1338" i="18"/>
  <c r="F1337" i="18"/>
  <c r="D1337" i="18"/>
  <c r="B1337" i="18"/>
  <c r="F1336" i="18"/>
  <c r="D1336" i="18"/>
  <c r="B1336" i="18"/>
  <c r="F1335" i="18"/>
  <c r="D1335" i="18"/>
  <c r="B1335" i="18"/>
  <c r="F1334" i="18"/>
  <c r="D1334" i="18"/>
  <c r="B1334" i="18"/>
  <c r="F1333" i="18"/>
  <c r="D1333" i="18"/>
  <c r="B1333" i="18"/>
  <c r="F1332" i="18"/>
  <c r="D1332" i="18"/>
  <c r="B1332" i="18"/>
  <c r="F1331" i="18"/>
  <c r="D1331" i="18"/>
  <c r="B1331" i="18"/>
  <c r="F1330" i="18"/>
  <c r="D1330" i="18"/>
  <c r="B1330" i="18"/>
  <c r="F1329" i="18"/>
  <c r="D1329" i="18"/>
  <c r="B1329" i="18"/>
  <c r="F1328" i="18"/>
  <c r="D1328" i="18"/>
  <c r="B1328" i="18"/>
  <c r="F1327" i="18"/>
  <c r="D1327" i="18"/>
  <c r="B1327" i="18"/>
  <c r="F1326" i="18"/>
  <c r="D1326" i="18"/>
  <c r="B1326" i="18"/>
  <c r="F1325" i="18"/>
  <c r="D1325" i="18"/>
  <c r="B1325" i="18"/>
  <c r="F1324" i="18"/>
  <c r="D1324" i="18"/>
  <c r="B1324" i="18"/>
  <c r="F1323" i="18"/>
  <c r="D1323" i="18"/>
  <c r="B1323" i="18"/>
  <c r="F1322" i="18"/>
  <c r="D1322" i="18"/>
  <c r="B1322" i="18"/>
  <c r="F1321" i="18"/>
  <c r="D1321" i="18"/>
  <c r="B1321" i="18"/>
  <c r="F1320" i="18"/>
  <c r="D1320" i="18"/>
  <c r="B1320" i="18"/>
  <c r="F1319" i="18"/>
  <c r="D1319" i="18"/>
  <c r="B1319" i="18"/>
  <c r="F1318" i="18"/>
  <c r="D1318" i="18"/>
  <c r="B1318" i="18"/>
  <c r="F1317" i="18"/>
  <c r="D1317" i="18"/>
  <c r="B1317" i="18"/>
  <c r="F1316" i="18"/>
  <c r="D1316" i="18"/>
  <c r="B1316" i="18"/>
  <c r="F1315" i="18"/>
  <c r="D1315" i="18"/>
  <c r="B1315" i="18"/>
  <c r="F1314" i="18"/>
  <c r="D1314" i="18"/>
  <c r="B1314" i="18"/>
  <c r="F1313" i="18"/>
  <c r="D1313" i="18"/>
  <c r="B1313" i="18"/>
  <c r="F1312" i="18"/>
  <c r="D1312" i="18"/>
  <c r="B1312" i="18"/>
  <c r="F1311" i="18"/>
  <c r="D1311" i="18"/>
  <c r="B1311" i="18"/>
  <c r="F1310" i="18"/>
  <c r="D1310" i="18"/>
  <c r="B1310" i="18"/>
  <c r="F1309" i="18"/>
  <c r="D1309" i="18"/>
  <c r="B1309" i="18"/>
  <c r="F1308" i="18"/>
  <c r="D1308" i="18"/>
  <c r="B1308" i="18"/>
  <c r="F1307" i="18"/>
  <c r="D1307" i="18"/>
  <c r="B1307" i="18"/>
  <c r="F1306" i="18"/>
  <c r="D1306" i="18"/>
  <c r="B1306" i="18"/>
  <c r="F1305" i="18"/>
  <c r="D1305" i="18"/>
  <c r="B1305" i="18"/>
  <c r="F1304" i="18"/>
  <c r="D1304" i="18"/>
  <c r="B1304" i="18"/>
  <c r="F1303" i="18"/>
  <c r="D1303" i="18"/>
  <c r="B1303" i="18"/>
  <c r="F1302" i="18"/>
  <c r="D1302" i="18"/>
  <c r="B1302" i="18"/>
  <c r="F1301" i="18"/>
  <c r="D1301" i="18"/>
  <c r="B1301" i="18"/>
  <c r="F1300" i="18"/>
  <c r="D1300" i="18"/>
  <c r="B1300" i="18"/>
  <c r="F1299" i="18"/>
  <c r="D1299" i="18"/>
  <c r="B1299" i="18"/>
  <c r="F1298" i="18"/>
  <c r="D1298" i="18"/>
  <c r="B1298" i="18"/>
  <c r="F1297" i="18"/>
  <c r="D1297" i="18"/>
  <c r="B1297" i="18"/>
  <c r="F1296" i="18"/>
  <c r="D1296" i="18"/>
  <c r="B1296" i="18"/>
  <c r="F1295" i="18"/>
  <c r="D1295" i="18"/>
  <c r="B1295" i="18"/>
  <c r="F1294" i="18"/>
  <c r="D1294" i="18"/>
  <c r="B1294" i="18"/>
  <c r="F1293" i="18"/>
  <c r="D1293" i="18"/>
  <c r="B1293" i="18"/>
  <c r="F1292" i="18"/>
  <c r="D1292" i="18"/>
  <c r="B1292" i="18"/>
  <c r="F1291" i="18"/>
  <c r="D1291" i="18"/>
  <c r="B1291" i="18"/>
  <c r="F1290" i="18"/>
  <c r="D1290" i="18"/>
  <c r="B1290" i="18"/>
  <c r="F1289" i="18"/>
  <c r="D1289" i="18"/>
  <c r="B1289" i="18"/>
  <c r="F1288" i="18"/>
  <c r="D1288" i="18"/>
  <c r="B1288" i="18"/>
  <c r="F1287" i="18"/>
  <c r="D1287" i="18"/>
  <c r="B1287" i="18"/>
  <c r="F1286" i="18"/>
  <c r="D1286" i="18"/>
  <c r="B1286" i="18"/>
  <c r="F1285" i="18"/>
  <c r="D1285" i="18"/>
  <c r="B1285" i="18"/>
  <c r="F1284" i="18"/>
  <c r="D1284" i="18"/>
  <c r="B1284" i="18"/>
  <c r="F1283" i="18"/>
  <c r="D1283" i="18"/>
  <c r="B1283" i="18"/>
  <c r="F1282" i="18"/>
  <c r="D1282" i="18"/>
  <c r="B1282" i="18"/>
  <c r="F1281" i="18"/>
  <c r="D1281" i="18"/>
  <c r="B1281" i="18"/>
  <c r="F1280" i="18"/>
  <c r="D1280" i="18"/>
  <c r="B1280" i="18"/>
  <c r="F1279" i="18"/>
  <c r="D1279" i="18"/>
  <c r="B1279" i="18"/>
  <c r="F1278" i="18"/>
  <c r="D1278" i="18"/>
  <c r="B1278" i="18"/>
  <c r="F1277" i="18"/>
  <c r="D1277" i="18"/>
  <c r="B1277" i="18"/>
  <c r="F1276" i="18"/>
  <c r="D1276" i="18"/>
  <c r="B1276" i="18"/>
  <c r="F1275" i="18"/>
  <c r="D1275" i="18"/>
  <c r="B1275" i="18"/>
  <c r="F1274" i="18"/>
  <c r="D1274" i="18"/>
  <c r="B1274" i="18"/>
  <c r="F1273" i="18"/>
  <c r="D1273" i="18"/>
  <c r="B1273" i="18"/>
  <c r="F1272" i="18"/>
  <c r="D1272" i="18"/>
  <c r="B1272" i="18"/>
  <c r="F1271" i="18"/>
  <c r="D1271" i="18"/>
  <c r="B1271" i="18"/>
  <c r="F1270" i="18"/>
  <c r="D1270" i="18"/>
  <c r="B1270" i="18"/>
  <c r="F1269" i="18"/>
  <c r="D1269" i="18"/>
  <c r="B1269" i="18"/>
  <c r="F1268" i="18"/>
  <c r="D1268" i="18"/>
  <c r="B1268" i="18"/>
  <c r="F1267" i="18"/>
  <c r="D1267" i="18"/>
  <c r="B1267" i="18"/>
  <c r="F1266" i="18"/>
  <c r="D1266" i="18"/>
  <c r="B1266" i="18"/>
  <c r="F1265" i="18"/>
  <c r="D1265" i="18"/>
  <c r="B1265" i="18"/>
  <c r="F1264" i="18"/>
  <c r="D1264" i="18"/>
  <c r="B1264" i="18"/>
  <c r="F1263" i="18"/>
  <c r="D1263" i="18"/>
  <c r="B1263" i="18"/>
  <c r="F1262" i="18"/>
  <c r="D1262" i="18"/>
  <c r="B1262" i="18"/>
  <c r="F1261" i="18"/>
  <c r="D1261" i="18"/>
  <c r="B1261" i="18"/>
  <c r="F1260" i="18"/>
  <c r="D1260" i="18"/>
  <c r="B1260" i="18"/>
  <c r="F1259" i="18"/>
  <c r="D1259" i="18"/>
  <c r="B1259" i="18"/>
  <c r="F1258" i="18"/>
  <c r="D1258" i="18"/>
  <c r="B1258" i="18"/>
  <c r="F1257" i="18"/>
  <c r="D1257" i="18"/>
  <c r="B1257" i="18"/>
  <c r="F1256" i="18"/>
  <c r="D1256" i="18"/>
  <c r="B1256" i="18"/>
  <c r="F1255" i="18"/>
  <c r="D1255" i="18"/>
  <c r="B1255" i="18"/>
  <c r="F1254" i="18"/>
  <c r="D1254" i="18"/>
  <c r="B1254" i="18"/>
  <c r="F1253" i="18"/>
  <c r="D1253" i="18"/>
  <c r="B1253" i="18"/>
  <c r="F1252" i="18"/>
  <c r="D1252" i="18"/>
  <c r="B1252" i="18"/>
  <c r="F1251" i="18"/>
  <c r="D1251" i="18"/>
  <c r="B1251" i="18"/>
  <c r="F1250" i="18"/>
  <c r="D1250" i="18"/>
  <c r="B1250" i="18"/>
  <c r="F1249" i="18"/>
  <c r="D1249" i="18"/>
  <c r="B1249" i="18"/>
  <c r="F1248" i="18"/>
  <c r="D1248" i="18"/>
  <c r="B1248" i="18"/>
  <c r="F1247" i="18"/>
  <c r="D1247" i="18"/>
  <c r="B1247" i="18"/>
  <c r="F1246" i="18"/>
  <c r="D1246" i="18"/>
  <c r="B1246" i="18"/>
  <c r="F1245" i="18"/>
  <c r="D1245" i="18"/>
  <c r="B1245" i="18"/>
  <c r="F1244" i="18"/>
  <c r="D1244" i="18"/>
  <c r="B1244" i="18"/>
  <c r="F1243" i="18"/>
  <c r="D1243" i="18"/>
  <c r="B1243" i="18"/>
  <c r="F1242" i="18"/>
  <c r="D1242" i="18"/>
  <c r="B1242" i="18"/>
  <c r="F1241" i="18"/>
  <c r="D1241" i="18"/>
  <c r="B1241" i="18"/>
  <c r="F1240" i="18"/>
  <c r="D1240" i="18"/>
  <c r="B1240" i="18"/>
  <c r="F1239" i="18"/>
  <c r="D1239" i="18"/>
  <c r="B1239" i="18"/>
  <c r="F1238" i="18"/>
  <c r="D1238" i="18"/>
  <c r="B1238" i="18"/>
  <c r="F1237" i="18"/>
  <c r="D1237" i="18"/>
  <c r="B1237" i="18"/>
  <c r="F1236" i="18"/>
  <c r="D1236" i="18"/>
  <c r="B1236" i="18"/>
  <c r="F1235" i="18"/>
  <c r="D1235" i="18"/>
  <c r="B1235" i="18"/>
  <c r="F1234" i="18"/>
  <c r="D1234" i="18"/>
  <c r="B1234" i="18"/>
  <c r="F1233" i="18"/>
  <c r="D1233" i="18"/>
  <c r="B1233" i="18"/>
  <c r="F1232" i="18"/>
  <c r="D1232" i="18"/>
  <c r="B1232" i="18"/>
  <c r="F1231" i="18"/>
  <c r="D1231" i="18"/>
  <c r="B1231" i="18"/>
  <c r="F1230" i="18"/>
  <c r="D1230" i="18"/>
  <c r="B1230" i="18"/>
  <c r="F1229" i="18"/>
  <c r="D1229" i="18"/>
  <c r="B1229" i="18"/>
  <c r="F1228" i="18"/>
  <c r="D1228" i="18"/>
  <c r="B1228" i="18"/>
  <c r="F1227" i="18"/>
  <c r="D1227" i="18"/>
  <c r="B1227" i="18"/>
  <c r="F1226" i="18"/>
  <c r="D1226" i="18"/>
  <c r="B1226" i="18"/>
  <c r="F1225" i="18"/>
  <c r="D1225" i="18"/>
  <c r="B1225" i="18"/>
  <c r="D1224" i="18"/>
  <c r="B1224" i="18"/>
  <c r="D1223" i="18"/>
  <c r="B1223" i="18"/>
  <c r="D1222" i="18"/>
  <c r="B1222" i="18"/>
  <c r="D1221" i="18"/>
  <c r="B1221" i="18"/>
  <c r="F1220" i="18"/>
  <c r="D1220" i="18"/>
  <c r="B1220" i="18"/>
  <c r="F1219" i="18"/>
  <c r="D1219" i="18"/>
  <c r="B1219" i="18"/>
  <c r="F1218" i="18"/>
  <c r="D1218" i="18"/>
  <c r="B1218" i="18"/>
  <c r="F1217" i="18"/>
  <c r="D1217" i="18"/>
  <c r="B1217" i="18"/>
  <c r="F1216" i="18"/>
  <c r="D1216" i="18"/>
  <c r="B1216" i="18"/>
  <c r="F1215" i="18"/>
  <c r="D1215" i="18"/>
  <c r="B1215" i="18"/>
  <c r="F1214" i="18"/>
  <c r="D1214" i="18"/>
  <c r="B1214" i="18"/>
  <c r="F1213" i="18"/>
  <c r="D1213" i="18"/>
  <c r="B1213" i="18"/>
  <c r="F1212" i="18"/>
  <c r="D1212" i="18"/>
  <c r="B1212" i="18"/>
  <c r="F1211" i="18"/>
  <c r="D1211" i="18"/>
  <c r="B1211" i="18"/>
  <c r="F1210" i="18"/>
  <c r="D1210" i="18"/>
  <c r="B1210" i="18"/>
  <c r="F1209" i="18"/>
  <c r="D1209" i="18"/>
  <c r="B1209" i="18"/>
  <c r="F1208" i="18"/>
  <c r="D1208" i="18"/>
  <c r="B1208" i="18"/>
  <c r="F1207" i="18"/>
  <c r="D1207" i="18"/>
  <c r="B1207" i="18"/>
  <c r="F1206" i="18"/>
  <c r="D1206" i="18"/>
  <c r="B1206" i="18"/>
  <c r="F1205" i="18"/>
  <c r="D1205" i="18"/>
  <c r="B1205" i="18"/>
  <c r="F1204" i="18"/>
  <c r="D1204" i="18"/>
  <c r="B1204" i="18"/>
  <c r="F1203" i="18"/>
  <c r="D1203" i="18"/>
  <c r="B1203" i="18"/>
  <c r="F1202" i="18"/>
  <c r="D1202" i="18"/>
  <c r="B1202" i="18"/>
  <c r="F1201" i="18"/>
  <c r="D1201" i="18"/>
  <c r="B1201" i="18"/>
  <c r="F1200" i="18"/>
  <c r="D1200" i="18"/>
  <c r="B1200" i="18"/>
  <c r="F1199" i="18"/>
  <c r="D1199" i="18"/>
  <c r="B1199" i="18"/>
  <c r="F1198" i="18"/>
  <c r="D1198" i="18"/>
  <c r="B1198" i="18"/>
  <c r="F1197" i="18"/>
  <c r="D1197" i="18"/>
  <c r="B1197" i="18"/>
  <c r="F1196" i="18"/>
  <c r="D1196" i="18"/>
  <c r="B1196" i="18"/>
  <c r="F1195" i="18"/>
  <c r="D1195" i="18"/>
  <c r="B1195" i="18"/>
  <c r="F1194" i="18"/>
  <c r="D1194" i="18"/>
  <c r="B1194" i="18"/>
  <c r="F1193" i="18"/>
  <c r="D1193" i="18"/>
  <c r="B1193" i="18"/>
  <c r="F1192" i="18"/>
  <c r="D1192" i="18"/>
  <c r="B1192" i="18"/>
  <c r="F1191" i="18"/>
  <c r="D1191" i="18"/>
  <c r="B1191" i="18"/>
  <c r="F1190" i="18"/>
  <c r="D1190" i="18"/>
  <c r="B1190" i="18"/>
  <c r="F1189" i="18"/>
  <c r="D1189" i="18"/>
  <c r="B1189" i="18"/>
  <c r="F1188" i="18"/>
  <c r="D1188" i="18"/>
  <c r="B1188" i="18"/>
  <c r="F1187" i="18"/>
  <c r="D1187" i="18"/>
  <c r="B1187" i="18"/>
  <c r="F1186" i="18"/>
  <c r="D1186" i="18"/>
  <c r="B1186" i="18"/>
  <c r="F1185" i="18"/>
  <c r="D1185" i="18"/>
  <c r="B1185" i="18"/>
  <c r="F1184" i="18"/>
  <c r="D1184" i="18"/>
  <c r="B1184" i="18"/>
  <c r="F1183" i="18"/>
  <c r="D1183" i="18"/>
  <c r="B1183" i="18"/>
  <c r="F1182" i="18"/>
  <c r="D1182" i="18"/>
  <c r="B1182" i="18"/>
  <c r="F1181" i="18"/>
  <c r="D1181" i="18"/>
  <c r="B1181" i="18"/>
  <c r="F1180" i="18"/>
  <c r="D1180" i="18"/>
  <c r="B1180" i="18"/>
  <c r="F1179" i="18"/>
  <c r="D1179" i="18"/>
  <c r="B1179" i="18"/>
  <c r="F1178" i="18"/>
  <c r="D1178" i="18"/>
  <c r="B1178" i="18"/>
  <c r="F1177" i="18"/>
  <c r="D1177" i="18"/>
  <c r="B1177" i="18"/>
  <c r="F1176" i="18"/>
  <c r="D1176" i="18"/>
  <c r="B1176" i="18"/>
  <c r="F1175" i="18"/>
  <c r="D1175" i="18"/>
  <c r="B1175" i="18"/>
  <c r="F1174" i="18"/>
  <c r="D1174" i="18"/>
  <c r="B1174" i="18"/>
  <c r="F1173" i="18"/>
  <c r="D1173" i="18"/>
  <c r="B1173" i="18"/>
  <c r="F1172" i="18"/>
  <c r="D1172" i="18"/>
  <c r="B1172" i="18"/>
  <c r="F1171" i="18"/>
  <c r="D1171" i="18"/>
  <c r="B1171" i="18"/>
  <c r="F1170" i="18"/>
  <c r="D1170" i="18"/>
  <c r="B1170" i="18"/>
  <c r="F1169" i="18"/>
  <c r="D1169" i="18"/>
  <c r="B1169" i="18"/>
  <c r="F1168" i="18"/>
  <c r="D1168" i="18"/>
  <c r="B1168" i="18"/>
  <c r="F1167" i="18"/>
  <c r="D1167" i="18"/>
  <c r="B1167" i="18"/>
  <c r="F1166" i="18"/>
  <c r="D1166" i="18"/>
  <c r="B1166" i="18"/>
  <c r="F1165" i="18"/>
  <c r="D1165" i="18"/>
  <c r="B1165" i="18"/>
  <c r="F1164" i="18"/>
  <c r="D1164" i="18"/>
  <c r="B1164" i="18"/>
  <c r="F1163" i="18"/>
  <c r="D1163" i="18"/>
  <c r="B1163" i="18"/>
  <c r="F1162" i="18"/>
  <c r="D1162" i="18"/>
  <c r="B1162" i="18"/>
  <c r="F1161" i="18"/>
  <c r="D1161" i="18"/>
  <c r="B1161" i="18"/>
  <c r="F1160" i="18"/>
  <c r="D1160" i="18"/>
  <c r="B1160" i="18"/>
  <c r="F1159" i="18"/>
  <c r="D1159" i="18"/>
  <c r="B1159" i="18"/>
  <c r="F1158" i="18"/>
  <c r="D1158" i="18"/>
  <c r="B1158" i="18"/>
  <c r="F1157" i="18"/>
  <c r="D1157" i="18"/>
  <c r="B1157" i="18"/>
  <c r="F1156" i="18"/>
  <c r="D1156" i="18"/>
  <c r="B1156" i="18"/>
  <c r="F1155" i="18"/>
  <c r="D1155" i="18"/>
  <c r="B1155" i="18"/>
  <c r="F1154" i="18"/>
  <c r="D1154" i="18"/>
  <c r="B1154" i="18"/>
  <c r="F1153" i="18"/>
  <c r="D1153" i="18"/>
  <c r="B1153" i="18"/>
  <c r="F1152" i="18"/>
  <c r="D1152" i="18"/>
  <c r="B1152" i="18"/>
  <c r="F1151" i="18"/>
  <c r="D1151" i="18"/>
  <c r="B1151" i="18"/>
  <c r="F1150" i="18"/>
  <c r="D1150" i="18"/>
  <c r="B1150" i="18"/>
  <c r="F1149" i="18"/>
  <c r="D1149" i="18"/>
  <c r="B1149" i="18"/>
  <c r="F1148" i="18"/>
  <c r="D1148" i="18"/>
  <c r="B1148" i="18"/>
  <c r="F1147" i="18"/>
  <c r="D1147" i="18"/>
  <c r="B1147" i="18"/>
  <c r="F1146" i="18"/>
  <c r="D1146" i="18"/>
  <c r="B1146" i="18"/>
  <c r="F1145" i="18"/>
  <c r="D1145" i="18"/>
  <c r="B1145" i="18"/>
  <c r="F1144" i="18"/>
  <c r="D1144" i="18"/>
  <c r="B1144" i="18"/>
  <c r="F1143" i="18"/>
  <c r="D1143" i="18"/>
  <c r="B1143" i="18"/>
  <c r="F1142" i="18"/>
  <c r="D1142" i="18"/>
  <c r="B1142" i="18"/>
  <c r="F1141" i="18"/>
  <c r="D1141" i="18"/>
  <c r="B1141" i="18"/>
  <c r="F1140" i="18"/>
  <c r="D1140" i="18"/>
  <c r="B1140" i="18"/>
  <c r="F1139" i="18"/>
  <c r="D1139" i="18"/>
  <c r="B1139" i="18"/>
  <c r="F1138" i="18"/>
  <c r="D1138" i="18"/>
  <c r="B1138" i="18"/>
  <c r="F1137" i="18"/>
  <c r="D1137" i="18"/>
  <c r="B1137" i="18"/>
  <c r="F1136" i="18"/>
  <c r="D1136" i="18"/>
  <c r="B1136" i="18"/>
  <c r="F1135" i="18"/>
  <c r="D1135" i="18"/>
  <c r="B1135" i="18"/>
  <c r="F1134" i="18"/>
  <c r="D1134" i="18"/>
  <c r="B1134" i="18"/>
  <c r="F1133" i="18"/>
  <c r="D1133" i="18"/>
  <c r="B1133" i="18"/>
  <c r="F1132" i="18"/>
  <c r="D1132" i="18"/>
  <c r="B1132" i="18"/>
  <c r="F1131" i="18"/>
  <c r="D1131" i="18"/>
  <c r="B1131" i="18"/>
  <c r="F1130" i="18"/>
  <c r="D1130" i="18"/>
  <c r="B1130" i="18"/>
  <c r="F1129" i="18"/>
  <c r="D1129" i="18"/>
  <c r="B1129" i="18"/>
  <c r="F1128" i="18"/>
  <c r="D1128" i="18"/>
  <c r="B1128" i="18"/>
  <c r="F1127" i="18"/>
  <c r="D1127" i="18"/>
  <c r="B1127" i="18"/>
  <c r="F1126" i="18"/>
  <c r="D1126" i="18"/>
  <c r="B1126" i="18"/>
  <c r="F1125" i="18"/>
  <c r="D1125" i="18"/>
  <c r="B1125" i="18"/>
  <c r="F1124" i="18"/>
  <c r="D1124" i="18"/>
  <c r="B1124" i="18"/>
  <c r="F1123" i="18"/>
  <c r="D1123" i="18"/>
  <c r="B1123" i="18"/>
  <c r="F1122" i="18"/>
  <c r="D1122" i="18"/>
  <c r="B1122" i="18"/>
  <c r="F1121" i="18"/>
  <c r="D1121" i="18"/>
  <c r="B1121" i="18"/>
  <c r="F1120" i="18"/>
  <c r="D1120" i="18"/>
  <c r="B1120" i="18"/>
  <c r="F1119" i="18"/>
  <c r="D1119" i="18"/>
  <c r="B1119" i="18"/>
  <c r="F1118" i="18"/>
  <c r="D1118" i="18"/>
  <c r="B1118" i="18"/>
  <c r="F1117" i="18"/>
  <c r="D1117" i="18"/>
  <c r="B1117" i="18"/>
  <c r="F1116" i="18"/>
  <c r="D1116" i="18"/>
  <c r="B1116" i="18"/>
  <c r="F1115" i="18"/>
  <c r="D1115" i="18"/>
  <c r="B1115" i="18"/>
  <c r="F1114" i="18"/>
  <c r="D1114" i="18"/>
  <c r="B1114" i="18"/>
  <c r="F1113" i="18"/>
  <c r="D1113" i="18"/>
  <c r="B1113" i="18"/>
  <c r="F1112" i="18"/>
  <c r="D1112" i="18"/>
  <c r="B1112" i="18"/>
  <c r="F1111" i="18"/>
  <c r="D1111" i="18"/>
  <c r="B1111" i="18"/>
  <c r="F1110" i="18"/>
  <c r="D1110" i="18"/>
  <c r="B1110" i="18"/>
  <c r="F1109" i="18"/>
  <c r="D1109" i="18"/>
  <c r="B1109" i="18"/>
  <c r="F1108" i="18"/>
  <c r="D1108" i="18"/>
  <c r="B1108" i="18"/>
  <c r="F1107" i="18"/>
  <c r="D1107" i="18"/>
  <c r="B1107" i="18"/>
  <c r="F1106" i="18"/>
  <c r="D1106" i="18"/>
  <c r="B1106" i="18"/>
  <c r="F1105" i="18"/>
  <c r="D1105" i="18"/>
  <c r="B1105" i="18"/>
  <c r="F1104" i="18"/>
  <c r="D1104" i="18"/>
  <c r="B1104" i="18"/>
  <c r="F1103" i="18"/>
  <c r="D1103" i="18"/>
  <c r="B1103" i="18"/>
  <c r="F1102" i="18"/>
  <c r="D1102" i="18"/>
  <c r="B1102" i="18"/>
  <c r="F1101" i="18"/>
  <c r="D1101" i="18"/>
  <c r="B1101" i="18"/>
  <c r="F1100" i="18"/>
  <c r="D1100" i="18"/>
  <c r="B1100" i="18"/>
  <c r="F1099" i="18"/>
  <c r="D1099" i="18"/>
  <c r="B1099" i="18"/>
  <c r="F1098" i="18"/>
  <c r="D1098" i="18"/>
  <c r="B1098" i="18"/>
  <c r="F1097" i="18"/>
  <c r="D1097" i="18"/>
  <c r="B1097" i="18"/>
  <c r="F1096" i="18"/>
  <c r="D1096" i="18"/>
  <c r="B1096" i="18"/>
  <c r="F1095" i="18"/>
  <c r="D1095" i="18"/>
  <c r="B1095" i="18"/>
  <c r="F1094" i="18"/>
  <c r="D1094" i="18"/>
  <c r="B1094" i="18"/>
  <c r="F1093" i="18"/>
  <c r="D1093" i="18"/>
  <c r="B1093" i="18"/>
  <c r="F1092" i="18"/>
  <c r="D1092" i="18"/>
  <c r="B1092" i="18"/>
  <c r="F1091" i="18"/>
  <c r="D1091" i="18"/>
  <c r="B1091" i="18"/>
  <c r="F1090" i="18"/>
  <c r="D1090" i="18"/>
  <c r="B1090" i="18"/>
  <c r="F1089" i="18"/>
  <c r="D1089" i="18"/>
  <c r="B1089" i="18"/>
  <c r="F1088" i="18"/>
  <c r="D1088" i="18"/>
  <c r="B1088" i="18"/>
  <c r="F1087" i="18"/>
  <c r="D1087" i="18"/>
  <c r="B1087" i="18"/>
  <c r="F1086" i="18"/>
  <c r="D1086" i="18"/>
  <c r="B1086" i="18"/>
  <c r="F1085" i="18"/>
  <c r="D1085" i="18"/>
  <c r="B1085" i="18"/>
  <c r="F1084" i="18"/>
  <c r="D1084" i="18"/>
  <c r="B1084" i="18"/>
  <c r="F1083" i="18"/>
  <c r="D1083" i="18"/>
  <c r="B1083" i="18"/>
  <c r="F1082" i="18"/>
  <c r="D1082" i="18"/>
  <c r="B1082" i="18"/>
  <c r="F1081" i="18"/>
  <c r="D1081" i="18"/>
  <c r="B1081" i="18"/>
  <c r="F1080" i="18"/>
  <c r="D1080" i="18"/>
  <c r="B1080" i="18"/>
  <c r="F1079" i="18"/>
  <c r="D1079" i="18"/>
  <c r="B1079" i="18"/>
  <c r="F1078" i="18"/>
  <c r="D1078" i="18"/>
  <c r="B1078" i="18"/>
  <c r="F1077" i="18"/>
  <c r="D1077" i="18"/>
  <c r="B1077" i="18"/>
  <c r="F1076" i="18"/>
  <c r="D1076" i="18"/>
  <c r="B1076" i="18"/>
  <c r="F1075" i="18"/>
  <c r="D1075" i="18"/>
  <c r="B1075" i="18"/>
  <c r="F1074" i="18"/>
  <c r="D1074" i="18"/>
  <c r="B1074" i="18"/>
  <c r="F1073" i="18"/>
  <c r="D1073" i="18"/>
  <c r="B1073" i="18"/>
  <c r="F1072" i="18"/>
  <c r="D1072" i="18"/>
  <c r="B1072" i="18"/>
  <c r="F1071" i="18"/>
  <c r="D1071" i="18"/>
  <c r="B1071" i="18"/>
  <c r="F1070" i="18"/>
  <c r="D1070" i="18"/>
  <c r="B1070" i="18"/>
  <c r="F1069" i="18"/>
  <c r="D1069" i="18"/>
  <c r="B1069" i="18"/>
  <c r="F1068" i="18"/>
  <c r="D1068" i="18"/>
  <c r="B1068" i="18"/>
  <c r="F1067" i="18"/>
  <c r="D1067" i="18"/>
  <c r="B1067" i="18"/>
  <c r="F1066" i="18"/>
  <c r="D1066" i="18"/>
  <c r="B1066" i="18"/>
  <c r="F1065" i="18"/>
  <c r="D1065" i="18"/>
  <c r="B1065" i="18"/>
  <c r="F1064" i="18"/>
  <c r="D1064" i="18"/>
  <c r="B1064" i="18"/>
  <c r="F1063" i="18"/>
  <c r="D1063" i="18"/>
  <c r="B1063" i="18"/>
  <c r="F1062" i="18"/>
  <c r="D1062" i="18"/>
  <c r="B1062" i="18"/>
  <c r="F1061" i="18"/>
  <c r="D1061" i="18"/>
  <c r="B1061" i="18"/>
  <c r="F1060" i="18"/>
  <c r="D1060" i="18"/>
  <c r="B1060" i="18"/>
  <c r="F1059" i="18"/>
  <c r="D1059" i="18"/>
  <c r="B1059" i="18"/>
  <c r="F1058" i="18"/>
  <c r="D1058" i="18"/>
  <c r="B1058" i="18"/>
  <c r="F1057" i="18"/>
  <c r="D1057" i="18"/>
  <c r="B1057" i="18"/>
  <c r="F1056" i="18"/>
  <c r="D1056" i="18"/>
  <c r="B1056" i="18"/>
  <c r="F1055" i="18"/>
  <c r="D1055" i="18"/>
  <c r="B1055" i="18"/>
  <c r="F1054" i="18"/>
  <c r="D1054" i="18"/>
  <c r="B1054" i="18"/>
  <c r="F1053" i="18"/>
  <c r="D1053" i="18"/>
  <c r="B1053" i="18"/>
  <c r="F1052" i="18"/>
  <c r="D1052" i="18"/>
  <c r="B1052" i="18"/>
  <c r="F1051" i="18"/>
  <c r="D1051" i="18"/>
  <c r="B1051" i="18"/>
  <c r="F1050" i="18"/>
  <c r="D1050" i="18"/>
  <c r="B1050" i="18"/>
  <c r="F1049" i="18"/>
  <c r="D1049" i="18"/>
  <c r="B1049" i="18"/>
  <c r="F1048" i="18"/>
  <c r="D1048" i="18"/>
  <c r="B1048" i="18"/>
  <c r="F1047" i="18"/>
  <c r="D1047" i="18"/>
  <c r="B1047" i="18"/>
  <c r="F1046" i="18"/>
  <c r="D1046" i="18"/>
  <c r="B1046" i="18"/>
  <c r="F1045" i="18"/>
  <c r="D1045" i="18"/>
  <c r="B1045" i="18"/>
  <c r="F1044" i="18"/>
  <c r="D1044" i="18"/>
  <c r="B1044" i="18"/>
  <c r="F1043" i="18"/>
  <c r="D1043" i="18"/>
  <c r="B1043" i="18"/>
  <c r="F1042" i="18"/>
  <c r="D1042" i="18"/>
  <c r="B1042" i="18"/>
  <c r="F1041" i="18"/>
  <c r="D1041" i="18"/>
  <c r="B1041" i="18"/>
  <c r="F1040" i="18"/>
  <c r="D1040" i="18"/>
  <c r="B1040" i="18"/>
  <c r="F1039" i="18"/>
  <c r="D1039" i="18"/>
  <c r="B1039" i="18"/>
  <c r="F1038" i="18"/>
  <c r="D1038" i="18"/>
  <c r="B1038" i="18"/>
  <c r="F1037" i="18"/>
  <c r="D1037" i="18"/>
  <c r="B1037" i="18"/>
  <c r="F1036" i="18"/>
  <c r="D1036" i="18"/>
  <c r="B1036" i="18"/>
  <c r="F1035" i="18"/>
  <c r="D1035" i="18"/>
  <c r="B1035" i="18"/>
  <c r="F1034" i="18"/>
  <c r="D1034" i="18"/>
  <c r="B1034" i="18"/>
  <c r="F1033" i="18"/>
  <c r="D1033" i="18"/>
  <c r="B1033" i="18"/>
  <c r="F1032" i="18"/>
  <c r="D1032" i="18"/>
  <c r="B1032" i="18"/>
  <c r="F1031" i="18"/>
  <c r="D1031" i="18"/>
  <c r="B1031" i="18"/>
  <c r="F1030" i="18"/>
  <c r="D1030" i="18"/>
  <c r="B1030" i="18"/>
  <c r="F1029" i="18"/>
  <c r="D1029" i="18"/>
  <c r="B1029" i="18"/>
  <c r="F1028" i="18"/>
  <c r="D1028" i="18"/>
  <c r="B1028" i="18"/>
  <c r="F1027" i="18"/>
  <c r="D1027" i="18"/>
  <c r="B1027" i="18"/>
  <c r="F1026" i="18"/>
  <c r="D1026" i="18"/>
  <c r="B1026" i="18"/>
  <c r="F1025" i="18"/>
  <c r="D1025" i="18"/>
  <c r="B1025" i="18"/>
  <c r="F1024" i="18"/>
  <c r="D1024" i="18"/>
  <c r="B1024" i="18"/>
  <c r="F1023" i="18"/>
  <c r="D1023" i="18"/>
  <c r="B1023" i="18"/>
  <c r="F1022" i="18"/>
  <c r="D1022" i="18"/>
  <c r="B1022" i="18"/>
  <c r="F1021" i="18"/>
  <c r="D1021" i="18"/>
  <c r="B1021" i="18"/>
  <c r="F1020" i="18"/>
  <c r="D1020" i="18"/>
  <c r="B1020" i="18"/>
  <c r="F1019" i="18"/>
  <c r="D1019" i="18"/>
  <c r="B1019" i="18"/>
  <c r="F1018" i="18"/>
  <c r="D1018" i="18"/>
  <c r="B1018" i="18"/>
  <c r="F1017" i="18"/>
  <c r="D1017" i="18"/>
  <c r="B1017" i="18"/>
  <c r="F1016" i="18"/>
  <c r="D1016" i="18"/>
  <c r="B1016" i="18"/>
  <c r="F1015" i="18"/>
  <c r="D1015" i="18"/>
  <c r="B1015" i="18"/>
  <c r="F1014" i="18"/>
  <c r="D1014" i="18"/>
  <c r="B1014" i="18"/>
  <c r="F1013" i="18"/>
  <c r="D1013" i="18"/>
  <c r="B1013" i="18"/>
  <c r="F1012" i="18"/>
  <c r="D1012" i="18"/>
  <c r="B1012" i="18"/>
  <c r="F1011" i="18"/>
  <c r="D1011" i="18"/>
  <c r="B1011" i="18"/>
  <c r="F1010" i="18"/>
  <c r="D1010" i="18"/>
  <c r="B1010" i="18"/>
  <c r="F1009" i="18"/>
  <c r="D1009" i="18"/>
  <c r="B1009" i="18"/>
  <c r="F1008" i="18"/>
  <c r="D1008" i="18"/>
  <c r="B1008" i="18"/>
  <c r="F1007" i="18"/>
  <c r="D1007" i="18"/>
  <c r="B1007" i="18"/>
  <c r="F1006" i="18"/>
  <c r="D1006" i="18"/>
  <c r="B1006" i="18"/>
  <c r="F1005" i="18"/>
  <c r="D1005" i="18"/>
  <c r="B1005" i="18"/>
  <c r="F1004" i="18"/>
  <c r="D1004" i="18"/>
  <c r="B1004" i="18"/>
  <c r="F1003" i="18"/>
  <c r="D1003" i="18"/>
  <c r="B1003" i="18"/>
  <c r="F1002" i="18"/>
  <c r="D1002" i="18"/>
  <c r="B1002" i="18"/>
  <c r="F1001" i="18"/>
  <c r="D1001" i="18"/>
  <c r="B1001" i="18"/>
  <c r="F1000" i="18"/>
  <c r="D1000" i="18"/>
  <c r="B1000" i="18"/>
  <c r="F999" i="18"/>
  <c r="D999" i="18"/>
  <c r="B999" i="18"/>
  <c r="F998" i="18"/>
  <c r="D998" i="18"/>
  <c r="B998" i="18"/>
  <c r="F997" i="18"/>
  <c r="D997" i="18"/>
  <c r="B997" i="18"/>
  <c r="F996" i="18"/>
  <c r="D996" i="18"/>
  <c r="B996" i="18"/>
  <c r="F995" i="18"/>
  <c r="D995" i="18"/>
  <c r="B995" i="18"/>
  <c r="F994" i="18"/>
  <c r="D994" i="18"/>
  <c r="B994" i="18"/>
  <c r="F993" i="18"/>
  <c r="D993" i="18"/>
  <c r="B993" i="18"/>
  <c r="F992" i="18"/>
  <c r="D992" i="18"/>
  <c r="B992" i="18"/>
  <c r="F991" i="18"/>
  <c r="D991" i="18"/>
  <c r="B991" i="18"/>
  <c r="F990" i="18"/>
  <c r="D990" i="18"/>
  <c r="B990" i="18"/>
  <c r="F989" i="18"/>
  <c r="D989" i="18"/>
  <c r="B989" i="18"/>
  <c r="F988" i="18"/>
  <c r="D988" i="18"/>
  <c r="B988" i="18"/>
  <c r="F987" i="18"/>
  <c r="D987" i="18"/>
  <c r="B987" i="18"/>
  <c r="F986" i="18"/>
  <c r="D986" i="18"/>
  <c r="B986" i="18"/>
  <c r="F985" i="18"/>
  <c r="D985" i="18"/>
  <c r="B985" i="18"/>
  <c r="F984" i="18"/>
  <c r="D984" i="18"/>
  <c r="B984" i="18"/>
  <c r="F983" i="18"/>
  <c r="D983" i="18"/>
  <c r="B983" i="18"/>
  <c r="F982" i="18"/>
  <c r="D982" i="18"/>
  <c r="B982" i="18"/>
  <c r="F981" i="18"/>
  <c r="D981" i="18"/>
  <c r="B981" i="18"/>
  <c r="F980" i="18"/>
  <c r="D980" i="18"/>
  <c r="B980" i="18"/>
  <c r="F979" i="18"/>
  <c r="D979" i="18"/>
  <c r="B979" i="18"/>
  <c r="F978" i="18"/>
  <c r="D978" i="18"/>
  <c r="B978" i="18"/>
  <c r="F977" i="18"/>
  <c r="D977" i="18"/>
  <c r="B977" i="18"/>
  <c r="F976" i="18"/>
  <c r="D976" i="18"/>
  <c r="B976" i="18"/>
  <c r="F975" i="18"/>
  <c r="D975" i="18"/>
  <c r="B975" i="18"/>
  <c r="F974" i="18"/>
  <c r="D974" i="18"/>
  <c r="B974" i="18"/>
  <c r="F973" i="18"/>
  <c r="D973" i="18"/>
  <c r="B973" i="18"/>
  <c r="F972" i="18"/>
  <c r="D972" i="18"/>
  <c r="B972" i="18"/>
  <c r="F971" i="18"/>
  <c r="D971" i="18"/>
  <c r="B971" i="18"/>
  <c r="F970" i="18"/>
  <c r="D970" i="18"/>
  <c r="B970" i="18"/>
  <c r="F969" i="18"/>
  <c r="D969" i="18"/>
  <c r="B969" i="18"/>
  <c r="F968" i="18"/>
  <c r="D968" i="18"/>
  <c r="B968" i="18"/>
  <c r="F967" i="18"/>
  <c r="D967" i="18"/>
  <c r="B967" i="18"/>
  <c r="F966" i="18"/>
  <c r="D966" i="18"/>
  <c r="B966" i="18"/>
  <c r="F965" i="18"/>
  <c r="D965" i="18"/>
  <c r="B965" i="18"/>
  <c r="F964" i="18"/>
  <c r="D964" i="18"/>
  <c r="B964" i="18"/>
  <c r="F963" i="18"/>
  <c r="D963" i="18"/>
  <c r="B963" i="18"/>
  <c r="F962" i="18"/>
  <c r="D962" i="18"/>
  <c r="B962" i="18"/>
  <c r="F961" i="18"/>
  <c r="D961" i="18"/>
  <c r="B961" i="18"/>
  <c r="F960" i="18"/>
  <c r="D960" i="18"/>
  <c r="B960" i="18"/>
  <c r="F959" i="18"/>
  <c r="D959" i="18"/>
  <c r="B959" i="18"/>
  <c r="F958" i="18"/>
  <c r="D958" i="18"/>
  <c r="B958" i="18"/>
  <c r="F957" i="18"/>
  <c r="D957" i="18"/>
  <c r="B957" i="18"/>
  <c r="F956" i="18"/>
  <c r="D956" i="18"/>
  <c r="B956" i="18"/>
  <c r="F955" i="18"/>
  <c r="D955" i="18"/>
  <c r="B955" i="18"/>
  <c r="F954" i="18"/>
  <c r="D954" i="18"/>
  <c r="B954" i="18"/>
  <c r="F953" i="18"/>
  <c r="D953" i="18"/>
  <c r="B953" i="18"/>
  <c r="F952" i="18"/>
  <c r="D952" i="18"/>
  <c r="B952" i="18"/>
  <c r="F951" i="18"/>
  <c r="D951" i="18"/>
  <c r="B951" i="18"/>
  <c r="F950" i="18"/>
  <c r="D950" i="18"/>
  <c r="B950" i="18"/>
  <c r="F949" i="18"/>
  <c r="D949" i="18"/>
  <c r="B949" i="18"/>
  <c r="F948" i="18"/>
  <c r="D948" i="18"/>
  <c r="B948" i="18"/>
  <c r="F947" i="18"/>
  <c r="D947" i="18"/>
  <c r="B947" i="18"/>
  <c r="F946" i="18"/>
  <c r="D946" i="18"/>
  <c r="B946" i="18"/>
  <c r="F945" i="18"/>
  <c r="D945" i="18"/>
  <c r="B945" i="18"/>
  <c r="F944" i="18"/>
  <c r="D944" i="18"/>
  <c r="B944" i="18"/>
  <c r="F943" i="18"/>
  <c r="D943" i="18"/>
  <c r="B943" i="18"/>
  <c r="F942" i="18"/>
  <c r="D942" i="18"/>
  <c r="B942" i="18"/>
  <c r="F941" i="18"/>
  <c r="D941" i="18"/>
  <c r="B941" i="18"/>
  <c r="F940" i="18"/>
  <c r="D940" i="18"/>
  <c r="B940" i="18"/>
  <c r="F939" i="18"/>
  <c r="D939" i="18"/>
  <c r="B939" i="18"/>
  <c r="F938" i="18"/>
  <c r="D938" i="18"/>
  <c r="B938" i="18"/>
  <c r="F937" i="18"/>
  <c r="D937" i="18"/>
  <c r="B937" i="18"/>
  <c r="F936" i="18"/>
  <c r="D936" i="18"/>
  <c r="B936" i="18"/>
  <c r="F935" i="18"/>
  <c r="D935" i="18"/>
  <c r="B935" i="18"/>
  <c r="F934" i="18"/>
  <c r="D934" i="18"/>
  <c r="B934" i="18"/>
  <c r="F933" i="18"/>
  <c r="D933" i="18"/>
  <c r="B933" i="18"/>
  <c r="F932" i="18"/>
  <c r="D932" i="18"/>
  <c r="B932" i="18"/>
  <c r="F931" i="18"/>
  <c r="D931" i="18"/>
  <c r="B931" i="18"/>
  <c r="F930" i="18"/>
  <c r="D930" i="18"/>
  <c r="B930" i="18"/>
  <c r="F929" i="18"/>
  <c r="D929" i="18"/>
  <c r="B929" i="18"/>
  <c r="F928" i="18"/>
  <c r="D928" i="18"/>
  <c r="B928" i="18"/>
  <c r="F927" i="18"/>
  <c r="D927" i="18"/>
  <c r="B927" i="18"/>
  <c r="F926" i="18"/>
  <c r="D926" i="18"/>
  <c r="B926" i="18"/>
  <c r="F925" i="18"/>
  <c r="D925" i="18"/>
  <c r="B925" i="18"/>
  <c r="F924" i="18"/>
  <c r="D924" i="18"/>
  <c r="B924" i="18"/>
  <c r="F923" i="18"/>
  <c r="D923" i="18"/>
  <c r="B923" i="18"/>
  <c r="F922" i="18"/>
  <c r="D922" i="18"/>
  <c r="B922" i="18"/>
  <c r="F921" i="18"/>
  <c r="D921" i="18"/>
  <c r="B921" i="18"/>
  <c r="F920" i="18"/>
  <c r="D920" i="18"/>
  <c r="B920" i="18"/>
  <c r="F919" i="18"/>
  <c r="D919" i="18"/>
  <c r="B919" i="18"/>
  <c r="F918" i="18"/>
  <c r="D918" i="18"/>
  <c r="B918" i="18"/>
  <c r="F917" i="18"/>
  <c r="D917" i="18"/>
  <c r="B917" i="18"/>
  <c r="F916" i="18"/>
  <c r="D916" i="18"/>
  <c r="B916" i="18"/>
  <c r="F915" i="18"/>
  <c r="D915" i="18"/>
  <c r="B915" i="18"/>
  <c r="F914" i="18"/>
  <c r="D914" i="18"/>
  <c r="B914" i="18"/>
  <c r="F913" i="18"/>
  <c r="D913" i="18"/>
  <c r="B913" i="18"/>
  <c r="F912" i="18"/>
  <c r="D912" i="18"/>
  <c r="B912" i="18"/>
  <c r="F911" i="18"/>
  <c r="D911" i="18"/>
  <c r="B911" i="18"/>
  <c r="F910" i="18"/>
  <c r="D910" i="18"/>
  <c r="B910" i="18"/>
  <c r="F909" i="18"/>
  <c r="D909" i="18"/>
  <c r="B909" i="18"/>
  <c r="F908" i="18"/>
  <c r="D908" i="18"/>
  <c r="B908" i="18"/>
  <c r="F907" i="18"/>
  <c r="D907" i="18"/>
  <c r="B907" i="18"/>
  <c r="F906" i="18"/>
  <c r="D906" i="18"/>
  <c r="B906" i="18"/>
  <c r="F905" i="18"/>
  <c r="D905" i="18"/>
  <c r="B905" i="18"/>
  <c r="F904" i="18"/>
  <c r="D904" i="18"/>
  <c r="B904" i="18"/>
  <c r="F903" i="18"/>
  <c r="D903" i="18"/>
  <c r="B903" i="18"/>
  <c r="F902" i="18"/>
  <c r="D902" i="18"/>
  <c r="B902" i="18"/>
  <c r="F901" i="18"/>
  <c r="D901" i="18"/>
  <c r="B901" i="18"/>
  <c r="F900" i="18"/>
  <c r="D900" i="18"/>
  <c r="B900" i="18"/>
  <c r="F899" i="18"/>
  <c r="D899" i="18"/>
  <c r="B899" i="18"/>
  <c r="F898" i="18"/>
  <c r="D898" i="18"/>
  <c r="B898" i="18"/>
  <c r="F897" i="18"/>
  <c r="D897" i="18"/>
  <c r="B897" i="18"/>
  <c r="F896" i="18"/>
  <c r="D896" i="18"/>
  <c r="B896" i="18"/>
  <c r="F895" i="18"/>
  <c r="D895" i="18"/>
  <c r="B895" i="18"/>
  <c r="F894" i="18"/>
  <c r="D894" i="18"/>
  <c r="B894" i="18"/>
  <c r="F893" i="18"/>
  <c r="D893" i="18"/>
  <c r="B893" i="18"/>
  <c r="F892" i="18"/>
  <c r="D892" i="18"/>
  <c r="B892" i="18"/>
  <c r="F891" i="18"/>
  <c r="D891" i="18"/>
  <c r="B891" i="18"/>
  <c r="F890" i="18"/>
  <c r="D890" i="18"/>
  <c r="B890" i="18"/>
  <c r="F889" i="18"/>
  <c r="D889" i="18"/>
  <c r="B889" i="18"/>
  <c r="F888" i="18"/>
  <c r="D888" i="18"/>
  <c r="B888" i="18"/>
  <c r="F887" i="18"/>
  <c r="D887" i="18"/>
  <c r="B887" i="18"/>
  <c r="F886" i="18"/>
  <c r="D886" i="18"/>
  <c r="B886" i="18"/>
  <c r="F885" i="18"/>
  <c r="D885" i="18"/>
  <c r="B885" i="18"/>
  <c r="F884" i="18"/>
  <c r="D884" i="18"/>
  <c r="B884" i="18"/>
  <c r="F883" i="18"/>
  <c r="D883" i="18"/>
  <c r="B883" i="18"/>
  <c r="F882" i="18"/>
  <c r="D882" i="18"/>
  <c r="B882" i="18"/>
  <c r="F881" i="18"/>
  <c r="D881" i="18"/>
  <c r="B881" i="18"/>
  <c r="F880" i="18"/>
  <c r="D880" i="18"/>
  <c r="B880" i="18"/>
  <c r="F879" i="18"/>
  <c r="D879" i="18"/>
  <c r="B879" i="18"/>
  <c r="F878" i="18"/>
  <c r="D878" i="18"/>
  <c r="B878" i="18"/>
  <c r="F877" i="18"/>
  <c r="D877" i="18"/>
  <c r="B877" i="18"/>
  <c r="F876" i="18"/>
  <c r="D876" i="18"/>
  <c r="B876" i="18"/>
  <c r="F875" i="18"/>
  <c r="D875" i="18"/>
  <c r="B875" i="18"/>
  <c r="F874" i="18"/>
  <c r="D874" i="18"/>
  <c r="B874" i="18"/>
  <c r="F873" i="18"/>
  <c r="D873" i="18"/>
  <c r="B873" i="18"/>
  <c r="F872" i="18"/>
  <c r="D872" i="18"/>
  <c r="B872" i="18"/>
  <c r="F871" i="18"/>
  <c r="D871" i="18"/>
  <c r="B871" i="18"/>
  <c r="F870" i="18"/>
  <c r="D870" i="18"/>
  <c r="B870" i="18"/>
  <c r="F869" i="18"/>
  <c r="D869" i="18"/>
  <c r="B869" i="18"/>
  <c r="F868" i="18"/>
  <c r="D868" i="18"/>
  <c r="B868" i="18"/>
  <c r="F867" i="18"/>
  <c r="D867" i="18"/>
  <c r="B867" i="18"/>
  <c r="F866" i="18"/>
  <c r="D866" i="18"/>
  <c r="B866" i="18"/>
  <c r="F865" i="18"/>
  <c r="D865" i="18"/>
  <c r="B865" i="18"/>
  <c r="F864" i="18"/>
  <c r="D864" i="18"/>
  <c r="B864" i="18"/>
  <c r="F863" i="18"/>
  <c r="D863" i="18"/>
  <c r="B863" i="18"/>
  <c r="F862" i="18"/>
  <c r="D862" i="18"/>
  <c r="B862" i="18"/>
  <c r="F861" i="18"/>
  <c r="D861" i="18"/>
  <c r="B861" i="18"/>
  <c r="F860" i="18"/>
  <c r="D860" i="18"/>
  <c r="B860" i="18"/>
  <c r="F859" i="18"/>
  <c r="D859" i="18"/>
  <c r="B859" i="18"/>
  <c r="F858" i="18"/>
  <c r="D858" i="18"/>
  <c r="B858" i="18"/>
  <c r="F857" i="18"/>
  <c r="D857" i="18"/>
  <c r="B857" i="18"/>
  <c r="F856" i="18"/>
  <c r="D856" i="18"/>
  <c r="B856" i="18"/>
  <c r="F855" i="18"/>
  <c r="D855" i="18"/>
  <c r="B855" i="18"/>
  <c r="F854" i="18"/>
  <c r="D854" i="18"/>
  <c r="B854" i="18"/>
  <c r="F853" i="18"/>
  <c r="D853" i="18"/>
  <c r="B853" i="18"/>
  <c r="F852" i="18"/>
  <c r="D852" i="18"/>
  <c r="B852" i="18"/>
  <c r="F851" i="18"/>
  <c r="D851" i="18"/>
  <c r="B851" i="18"/>
  <c r="F850" i="18"/>
  <c r="D850" i="18"/>
  <c r="B850" i="18"/>
  <c r="F849" i="18"/>
  <c r="D849" i="18"/>
  <c r="B849" i="18"/>
  <c r="F848" i="18"/>
  <c r="D848" i="18"/>
  <c r="B848" i="18"/>
  <c r="F847" i="18"/>
  <c r="D847" i="18"/>
  <c r="B847" i="18"/>
  <c r="F846" i="18"/>
  <c r="D846" i="18"/>
  <c r="B846" i="18"/>
  <c r="F845" i="18"/>
  <c r="D845" i="18"/>
  <c r="B845" i="18"/>
  <c r="F844" i="18"/>
  <c r="D844" i="18"/>
  <c r="B844" i="18"/>
  <c r="F843" i="18"/>
  <c r="D843" i="18"/>
  <c r="B843" i="18"/>
  <c r="F842" i="18"/>
  <c r="D842" i="18"/>
  <c r="B842" i="18"/>
  <c r="F841" i="18"/>
  <c r="D841" i="18"/>
  <c r="B841" i="18"/>
  <c r="F840" i="18"/>
  <c r="D840" i="18"/>
  <c r="B840" i="18"/>
  <c r="F839" i="18"/>
  <c r="D839" i="18"/>
  <c r="B839" i="18"/>
  <c r="F838" i="18"/>
  <c r="D838" i="18"/>
  <c r="B838" i="18"/>
  <c r="F837" i="18"/>
  <c r="D837" i="18"/>
  <c r="B837" i="18"/>
  <c r="F836" i="18"/>
  <c r="D836" i="18"/>
  <c r="B836" i="18"/>
  <c r="F835" i="18"/>
  <c r="D835" i="18"/>
  <c r="B835" i="18"/>
  <c r="F834" i="18"/>
  <c r="D834" i="18"/>
  <c r="B834" i="18"/>
  <c r="F833" i="18"/>
  <c r="D833" i="18"/>
  <c r="B833" i="18"/>
  <c r="F832" i="18"/>
  <c r="D832" i="18"/>
  <c r="B832" i="18"/>
  <c r="F831" i="18"/>
  <c r="D831" i="18"/>
  <c r="B831" i="18"/>
  <c r="F830" i="18"/>
  <c r="D830" i="18"/>
  <c r="B830" i="18"/>
  <c r="F829" i="18"/>
  <c r="D829" i="18"/>
  <c r="B829" i="18"/>
  <c r="F828" i="18"/>
  <c r="D828" i="18"/>
  <c r="B828" i="18"/>
  <c r="F827" i="18"/>
  <c r="D827" i="18"/>
  <c r="B827" i="18"/>
  <c r="F826" i="18"/>
  <c r="D826" i="18"/>
  <c r="B826" i="18"/>
  <c r="F825" i="18"/>
  <c r="D825" i="18"/>
  <c r="B825" i="18"/>
  <c r="F824" i="18"/>
  <c r="D824" i="18"/>
  <c r="B824" i="18"/>
  <c r="F823" i="18"/>
  <c r="D823" i="18"/>
  <c r="B823" i="18"/>
  <c r="F822" i="18"/>
  <c r="D822" i="18"/>
  <c r="B822" i="18"/>
  <c r="F821" i="18"/>
  <c r="D821" i="18"/>
  <c r="B821" i="18"/>
  <c r="F820" i="18"/>
  <c r="D820" i="18"/>
  <c r="B820" i="18"/>
  <c r="F819" i="18"/>
  <c r="D819" i="18"/>
  <c r="B819" i="18"/>
  <c r="F818" i="18"/>
  <c r="D818" i="18"/>
  <c r="B818" i="18"/>
  <c r="F817" i="18"/>
  <c r="D817" i="18"/>
  <c r="B817" i="18"/>
  <c r="F816" i="18"/>
  <c r="D816" i="18"/>
  <c r="B816" i="18"/>
  <c r="F815" i="18"/>
  <c r="D815" i="18"/>
  <c r="B815" i="18"/>
  <c r="F814" i="18"/>
  <c r="D814" i="18"/>
  <c r="B814" i="18"/>
  <c r="F813" i="18"/>
  <c r="D813" i="18"/>
  <c r="B813" i="18"/>
  <c r="F812" i="18"/>
  <c r="D812" i="18"/>
  <c r="B812" i="18"/>
  <c r="F811" i="18"/>
  <c r="D811" i="18"/>
  <c r="B811" i="18"/>
  <c r="F810" i="18"/>
  <c r="D810" i="18"/>
  <c r="B810" i="18"/>
  <c r="F809" i="18"/>
  <c r="D809" i="18"/>
  <c r="B809" i="18"/>
  <c r="F808" i="18"/>
  <c r="D808" i="18"/>
  <c r="B808" i="18"/>
  <c r="F807" i="18"/>
  <c r="D807" i="18"/>
  <c r="B807" i="18"/>
  <c r="F806" i="18"/>
  <c r="D806" i="18"/>
  <c r="B806" i="18"/>
  <c r="F805" i="18"/>
  <c r="D805" i="18"/>
  <c r="B805" i="18"/>
  <c r="F804" i="18"/>
  <c r="D804" i="18"/>
  <c r="B804" i="18"/>
  <c r="F803" i="18"/>
  <c r="D803" i="18"/>
  <c r="B803" i="18"/>
  <c r="F802" i="18"/>
  <c r="D802" i="18"/>
  <c r="B802" i="18"/>
  <c r="F801" i="18"/>
  <c r="D801" i="18"/>
  <c r="B801" i="18"/>
  <c r="F800" i="18"/>
  <c r="D800" i="18"/>
  <c r="B800" i="18"/>
  <c r="F799" i="18"/>
  <c r="D799" i="18"/>
  <c r="B799" i="18"/>
  <c r="F798" i="18"/>
  <c r="D798" i="18"/>
  <c r="B798" i="18"/>
  <c r="F797" i="18"/>
  <c r="D797" i="18"/>
  <c r="B797" i="18"/>
  <c r="F796" i="18"/>
  <c r="D796" i="18"/>
  <c r="B796" i="18"/>
  <c r="F795" i="18"/>
  <c r="D795" i="18"/>
  <c r="B795" i="18"/>
  <c r="F794" i="18"/>
  <c r="D794" i="18"/>
  <c r="B794" i="18"/>
  <c r="F793" i="18"/>
  <c r="D793" i="18"/>
  <c r="B793" i="18"/>
  <c r="F792" i="18"/>
  <c r="D792" i="18"/>
  <c r="B792" i="18"/>
  <c r="F791" i="18"/>
  <c r="D791" i="18"/>
  <c r="B791" i="18"/>
  <c r="F790" i="18"/>
  <c r="D790" i="18"/>
  <c r="B790" i="18"/>
  <c r="F789" i="18"/>
  <c r="D789" i="18"/>
  <c r="B789" i="18"/>
  <c r="F788" i="18"/>
  <c r="D788" i="18"/>
  <c r="B788" i="18"/>
  <c r="F787" i="18"/>
  <c r="D787" i="18"/>
  <c r="B787" i="18"/>
  <c r="F786" i="18"/>
  <c r="D786" i="18"/>
  <c r="B786" i="18"/>
  <c r="F785" i="18"/>
  <c r="D785" i="18"/>
  <c r="B785" i="18"/>
  <c r="F784" i="18"/>
  <c r="D784" i="18"/>
  <c r="B784" i="18"/>
  <c r="F783" i="18"/>
  <c r="D783" i="18"/>
  <c r="B783" i="18"/>
  <c r="F782" i="18"/>
  <c r="D782" i="18"/>
  <c r="B782" i="18"/>
  <c r="F781" i="18"/>
  <c r="D781" i="18"/>
  <c r="B781" i="18"/>
  <c r="F780" i="18"/>
  <c r="D780" i="18"/>
  <c r="B780" i="18"/>
  <c r="F779" i="18"/>
  <c r="D779" i="18"/>
  <c r="B779" i="18"/>
  <c r="F778" i="18"/>
  <c r="D778" i="18"/>
  <c r="B778" i="18"/>
  <c r="F777" i="18"/>
  <c r="D777" i="18"/>
  <c r="B777" i="18"/>
  <c r="F776" i="18"/>
  <c r="D776" i="18"/>
  <c r="B776" i="18"/>
  <c r="F775" i="18"/>
  <c r="D775" i="18"/>
  <c r="B775" i="18"/>
  <c r="F774" i="18"/>
  <c r="D774" i="18"/>
  <c r="B774" i="18"/>
  <c r="F773" i="18"/>
  <c r="D773" i="18"/>
  <c r="B773" i="18"/>
  <c r="F772" i="18"/>
  <c r="D772" i="18"/>
  <c r="B772" i="18"/>
  <c r="F771" i="18"/>
  <c r="D771" i="18"/>
  <c r="B771" i="18"/>
  <c r="F770" i="18"/>
  <c r="D770" i="18"/>
  <c r="B770" i="18"/>
  <c r="F769" i="18"/>
  <c r="D769" i="18"/>
  <c r="B769" i="18"/>
  <c r="F768" i="18"/>
  <c r="D768" i="18"/>
  <c r="B768" i="18"/>
  <c r="F767" i="18"/>
  <c r="D767" i="18"/>
  <c r="B767" i="18"/>
  <c r="F766" i="18"/>
  <c r="D766" i="18"/>
  <c r="B766" i="18"/>
  <c r="F765" i="18"/>
  <c r="D765" i="18"/>
  <c r="B765" i="18"/>
  <c r="F764" i="18"/>
  <c r="D764" i="18"/>
  <c r="B764" i="18"/>
  <c r="F763" i="18"/>
  <c r="D763" i="18"/>
  <c r="B763" i="18"/>
  <c r="F762" i="18"/>
  <c r="D762" i="18"/>
  <c r="B762" i="18"/>
  <c r="F761" i="18"/>
  <c r="D761" i="18"/>
  <c r="B761" i="18"/>
  <c r="F760" i="18"/>
  <c r="D760" i="18"/>
  <c r="B760" i="18"/>
  <c r="F759" i="18"/>
  <c r="D759" i="18"/>
  <c r="B759" i="18"/>
  <c r="F758" i="18"/>
  <c r="D758" i="18"/>
  <c r="B758" i="18"/>
  <c r="F757" i="18"/>
  <c r="D757" i="18"/>
  <c r="B757" i="18"/>
  <c r="F756" i="18"/>
  <c r="D756" i="18"/>
  <c r="B756" i="18"/>
  <c r="F755" i="18"/>
  <c r="D755" i="18"/>
  <c r="B755" i="18"/>
  <c r="F754" i="18"/>
  <c r="D754" i="18"/>
  <c r="B754" i="18"/>
  <c r="F753" i="18"/>
  <c r="D753" i="18"/>
  <c r="B753" i="18"/>
  <c r="F752" i="18"/>
  <c r="D752" i="18"/>
  <c r="B752" i="18"/>
  <c r="F751" i="18"/>
  <c r="D751" i="18"/>
  <c r="B751" i="18"/>
  <c r="F750" i="18"/>
  <c r="D750" i="18"/>
  <c r="B750" i="18"/>
  <c r="F749" i="18"/>
  <c r="D749" i="18"/>
  <c r="B749" i="18"/>
  <c r="F748" i="18"/>
  <c r="D748" i="18"/>
  <c r="B748" i="18"/>
  <c r="F747" i="18"/>
  <c r="D747" i="18"/>
  <c r="B747" i="18"/>
  <c r="F746" i="18"/>
  <c r="D746" i="18"/>
  <c r="B746" i="18"/>
  <c r="F745" i="18"/>
  <c r="D745" i="18"/>
  <c r="B745" i="18"/>
  <c r="F744" i="18"/>
  <c r="D744" i="18"/>
  <c r="B744" i="18"/>
  <c r="F743" i="18"/>
  <c r="D743" i="18"/>
  <c r="B743" i="18"/>
  <c r="F742" i="18"/>
  <c r="D742" i="18"/>
  <c r="B742" i="18"/>
  <c r="F741" i="18"/>
  <c r="D741" i="18"/>
  <c r="B741" i="18"/>
  <c r="F740" i="18"/>
  <c r="D740" i="18"/>
  <c r="B740" i="18"/>
  <c r="F739" i="18"/>
  <c r="D739" i="18"/>
  <c r="B739" i="18"/>
  <c r="F738" i="18"/>
  <c r="D738" i="18"/>
  <c r="B738" i="18"/>
  <c r="F737" i="18"/>
  <c r="D737" i="18"/>
  <c r="B737" i="18"/>
  <c r="F736" i="18"/>
  <c r="D736" i="18"/>
  <c r="B736" i="18"/>
  <c r="F735" i="18"/>
  <c r="D735" i="18"/>
  <c r="B735" i="18"/>
  <c r="F734" i="18"/>
  <c r="D734" i="18"/>
  <c r="B734" i="18"/>
  <c r="F733" i="18"/>
  <c r="D733" i="18"/>
  <c r="B733" i="18"/>
  <c r="F732" i="18"/>
  <c r="D732" i="18"/>
  <c r="B732" i="18"/>
  <c r="F731" i="18"/>
  <c r="D731" i="18"/>
  <c r="B731" i="18"/>
  <c r="F730" i="18"/>
  <c r="D730" i="18"/>
  <c r="B730" i="18"/>
  <c r="F729" i="18"/>
  <c r="D729" i="18"/>
  <c r="B729" i="18"/>
  <c r="F728" i="18"/>
  <c r="D728" i="18"/>
  <c r="B728" i="18"/>
  <c r="F727" i="18"/>
  <c r="D727" i="18"/>
  <c r="B727" i="18"/>
  <c r="F726" i="18"/>
  <c r="D726" i="18"/>
  <c r="B726" i="18"/>
  <c r="F725" i="18"/>
  <c r="D725" i="18"/>
  <c r="B725" i="18"/>
  <c r="F724" i="18"/>
  <c r="D724" i="18"/>
  <c r="B724" i="18"/>
  <c r="F723" i="18"/>
  <c r="D723" i="18"/>
  <c r="B723" i="18"/>
  <c r="F722" i="18"/>
  <c r="D722" i="18"/>
  <c r="B722" i="18"/>
  <c r="F721" i="18"/>
  <c r="D721" i="18"/>
  <c r="B721" i="18"/>
  <c r="F720" i="18"/>
  <c r="D720" i="18"/>
  <c r="B720" i="18"/>
  <c r="F719" i="18"/>
  <c r="D719" i="18"/>
  <c r="B719" i="18"/>
  <c r="F718" i="18"/>
  <c r="D718" i="18"/>
  <c r="B718" i="18"/>
  <c r="F717" i="18"/>
  <c r="D717" i="18"/>
  <c r="B717" i="18"/>
  <c r="F716" i="18"/>
  <c r="D716" i="18"/>
  <c r="B716" i="18"/>
  <c r="F715" i="18"/>
  <c r="D715" i="18"/>
  <c r="B715" i="18"/>
  <c r="F714" i="18"/>
  <c r="D714" i="18"/>
  <c r="B714" i="18"/>
  <c r="F713" i="18"/>
  <c r="D713" i="18"/>
  <c r="B713" i="18"/>
  <c r="F712" i="18"/>
  <c r="D712" i="18"/>
  <c r="B712" i="18"/>
  <c r="F711" i="18"/>
  <c r="D711" i="18"/>
  <c r="B711" i="18"/>
  <c r="F710" i="18"/>
  <c r="D710" i="18"/>
  <c r="B710" i="18"/>
  <c r="F709" i="18"/>
  <c r="D709" i="18"/>
  <c r="B709" i="18"/>
  <c r="F708" i="18"/>
  <c r="D708" i="18"/>
  <c r="B708" i="18"/>
  <c r="F707" i="18"/>
  <c r="D707" i="18"/>
  <c r="B707" i="18"/>
  <c r="F706" i="18"/>
  <c r="D706" i="18"/>
  <c r="B706" i="18"/>
  <c r="F705" i="18"/>
  <c r="D705" i="18"/>
  <c r="B705" i="18"/>
  <c r="F704" i="18"/>
  <c r="D704" i="18"/>
  <c r="B704" i="18"/>
  <c r="F703" i="18"/>
  <c r="D703" i="18"/>
  <c r="B703" i="18"/>
  <c r="F702" i="18"/>
  <c r="D702" i="18"/>
  <c r="B702" i="18"/>
  <c r="F701" i="18"/>
  <c r="D701" i="18"/>
  <c r="B701" i="18"/>
  <c r="F700" i="18"/>
  <c r="D700" i="18"/>
  <c r="B700" i="18"/>
  <c r="F699" i="18"/>
  <c r="D699" i="18"/>
  <c r="B699" i="18"/>
  <c r="F698" i="18"/>
  <c r="D698" i="18"/>
  <c r="B698" i="18"/>
  <c r="F697" i="18"/>
  <c r="D697" i="18"/>
  <c r="B697" i="18"/>
  <c r="F696" i="18"/>
  <c r="D696" i="18"/>
  <c r="B696" i="18"/>
  <c r="F695" i="18"/>
  <c r="D695" i="18"/>
  <c r="B695" i="18"/>
  <c r="F694" i="18"/>
  <c r="D694" i="18"/>
  <c r="B694" i="18"/>
  <c r="F693" i="18"/>
  <c r="D693" i="18"/>
  <c r="B693" i="18"/>
  <c r="F692" i="18"/>
  <c r="D692" i="18"/>
  <c r="B692" i="18"/>
  <c r="F691" i="18"/>
  <c r="D691" i="18"/>
  <c r="B691" i="18"/>
  <c r="F690" i="18"/>
  <c r="D690" i="18"/>
  <c r="B690" i="18"/>
  <c r="F689" i="18"/>
  <c r="D689" i="18"/>
  <c r="B689" i="18"/>
  <c r="F688" i="18"/>
  <c r="D688" i="18"/>
  <c r="B688" i="18"/>
  <c r="F687" i="18"/>
  <c r="D687" i="18"/>
  <c r="B687" i="18"/>
  <c r="F686" i="18"/>
  <c r="D686" i="18"/>
  <c r="B686" i="18"/>
  <c r="F685" i="18"/>
  <c r="D685" i="18"/>
  <c r="B685" i="18"/>
  <c r="F684" i="18"/>
  <c r="D684" i="18"/>
  <c r="B684" i="18"/>
  <c r="F683" i="18"/>
  <c r="D683" i="18"/>
  <c r="B683" i="18"/>
  <c r="F682" i="18"/>
  <c r="D682" i="18"/>
  <c r="B682" i="18"/>
  <c r="F681" i="18"/>
  <c r="D681" i="18"/>
  <c r="B681" i="18"/>
  <c r="F680" i="18"/>
  <c r="D680" i="18"/>
  <c r="B680" i="18"/>
  <c r="F679" i="18"/>
  <c r="D679" i="18"/>
  <c r="B679" i="18"/>
  <c r="F678" i="18"/>
  <c r="D678" i="18"/>
  <c r="B678" i="18"/>
  <c r="F677" i="18"/>
  <c r="D677" i="18"/>
  <c r="B677" i="18"/>
  <c r="F676" i="18"/>
  <c r="D676" i="18"/>
  <c r="B676" i="18"/>
  <c r="F675" i="18"/>
  <c r="D675" i="18"/>
  <c r="B675" i="18"/>
  <c r="F674" i="18"/>
  <c r="D674" i="18"/>
  <c r="B674" i="18"/>
  <c r="F673" i="18"/>
  <c r="D673" i="18"/>
  <c r="B673" i="18"/>
  <c r="F672" i="18"/>
  <c r="D672" i="18"/>
  <c r="B672" i="18"/>
  <c r="F671" i="18"/>
  <c r="D671" i="18"/>
  <c r="B671" i="18"/>
  <c r="F670" i="18"/>
  <c r="D670" i="18"/>
  <c r="B670" i="18"/>
  <c r="F669" i="18"/>
  <c r="D669" i="18"/>
  <c r="B669" i="18"/>
  <c r="F668" i="18"/>
  <c r="D668" i="18"/>
  <c r="B668" i="18"/>
  <c r="F667" i="18"/>
  <c r="D667" i="18"/>
  <c r="B667" i="18"/>
  <c r="F666" i="18"/>
  <c r="D666" i="18"/>
  <c r="B666" i="18"/>
  <c r="F665" i="18"/>
  <c r="D665" i="18"/>
  <c r="B665" i="18"/>
  <c r="F664" i="18"/>
  <c r="D664" i="18"/>
  <c r="B664" i="18"/>
  <c r="F663" i="18"/>
  <c r="D663" i="18"/>
  <c r="B663" i="18"/>
  <c r="F662" i="18"/>
  <c r="D662" i="18"/>
  <c r="B662" i="18"/>
  <c r="F661" i="18"/>
  <c r="D661" i="18"/>
  <c r="B661" i="18"/>
  <c r="F660" i="18"/>
  <c r="D660" i="18"/>
  <c r="B660" i="18"/>
  <c r="F659" i="18"/>
  <c r="D659" i="18"/>
  <c r="B659" i="18"/>
  <c r="F658" i="18"/>
  <c r="D658" i="18"/>
  <c r="B658" i="18"/>
  <c r="F657" i="18"/>
  <c r="D657" i="18"/>
  <c r="B657" i="18"/>
  <c r="F656" i="18"/>
  <c r="D656" i="18"/>
  <c r="B656" i="18"/>
  <c r="F655" i="18"/>
  <c r="D655" i="18"/>
  <c r="B655" i="18"/>
  <c r="F654" i="18"/>
  <c r="D654" i="18"/>
  <c r="B654" i="18"/>
  <c r="F653" i="18"/>
  <c r="D653" i="18"/>
  <c r="B653" i="18"/>
  <c r="F652" i="18"/>
  <c r="D652" i="18"/>
  <c r="B652" i="18"/>
  <c r="F651" i="18"/>
  <c r="D651" i="18"/>
  <c r="B651" i="18"/>
  <c r="F650" i="18"/>
  <c r="D650" i="18"/>
  <c r="B650" i="18"/>
  <c r="F649" i="18"/>
  <c r="D649" i="18"/>
  <c r="B649" i="18"/>
  <c r="F648" i="18"/>
  <c r="D648" i="18"/>
  <c r="B648" i="18"/>
  <c r="F647" i="18"/>
  <c r="D647" i="18"/>
  <c r="B647" i="18"/>
  <c r="F646" i="18"/>
  <c r="D646" i="18"/>
  <c r="B646" i="18"/>
  <c r="F645" i="18"/>
  <c r="D645" i="18"/>
  <c r="B645" i="18"/>
  <c r="F644" i="18"/>
  <c r="D644" i="18"/>
  <c r="B644" i="18"/>
  <c r="F643" i="18"/>
  <c r="D643" i="18"/>
  <c r="B643" i="18"/>
  <c r="F642" i="18"/>
  <c r="D642" i="18"/>
  <c r="B642" i="18"/>
  <c r="F641" i="18"/>
  <c r="D641" i="18"/>
  <c r="B641" i="18"/>
  <c r="F640" i="18"/>
  <c r="D640" i="18"/>
  <c r="B640" i="18"/>
  <c r="F639" i="18"/>
  <c r="D639" i="18"/>
  <c r="B639" i="18"/>
  <c r="F638" i="18"/>
  <c r="D638" i="18"/>
  <c r="B638" i="18"/>
  <c r="F637" i="18"/>
  <c r="D637" i="18"/>
  <c r="B637" i="18"/>
  <c r="F636" i="18"/>
  <c r="D636" i="18"/>
  <c r="B636" i="18"/>
  <c r="F635" i="18"/>
  <c r="D635" i="18"/>
  <c r="B635" i="18"/>
  <c r="F634" i="18"/>
  <c r="D634" i="18"/>
  <c r="B634" i="18"/>
  <c r="F633" i="18"/>
  <c r="D633" i="18"/>
  <c r="B633" i="18"/>
  <c r="F632" i="18"/>
  <c r="D632" i="18"/>
  <c r="B632" i="18"/>
  <c r="F631" i="18"/>
  <c r="D631" i="18"/>
  <c r="B631" i="18"/>
  <c r="F630" i="18"/>
  <c r="D630" i="18"/>
  <c r="B630" i="18"/>
  <c r="F629" i="18"/>
  <c r="D629" i="18"/>
  <c r="B629" i="18"/>
  <c r="F628" i="18"/>
  <c r="D628" i="18"/>
  <c r="B628" i="18"/>
  <c r="F627" i="18"/>
  <c r="D627" i="18"/>
  <c r="B627" i="18"/>
  <c r="F626" i="18"/>
  <c r="D626" i="18"/>
  <c r="B626" i="18"/>
  <c r="F625" i="18"/>
  <c r="D625" i="18"/>
  <c r="B625" i="18"/>
  <c r="F624" i="18"/>
  <c r="D624" i="18"/>
  <c r="B624" i="18"/>
  <c r="F623" i="18"/>
  <c r="D623" i="18"/>
  <c r="B623" i="18"/>
  <c r="F622" i="18"/>
  <c r="D622" i="18"/>
  <c r="B622" i="18"/>
  <c r="F621" i="18"/>
  <c r="D621" i="18"/>
  <c r="B621" i="18"/>
  <c r="F620" i="18"/>
  <c r="D620" i="18"/>
  <c r="B620" i="18"/>
  <c r="F619" i="18"/>
  <c r="D619" i="18"/>
  <c r="B619" i="18"/>
  <c r="F618" i="18"/>
  <c r="D618" i="18"/>
  <c r="B618" i="18"/>
  <c r="F617" i="18"/>
  <c r="D617" i="18"/>
  <c r="B617" i="18"/>
  <c r="F616" i="18"/>
  <c r="D616" i="18"/>
  <c r="B616" i="18"/>
  <c r="F615" i="18"/>
  <c r="D615" i="18"/>
  <c r="B615" i="18"/>
  <c r="F614" i="18"/>
  <c r="D614" i="18"/>
  <c r="B614" i="18"/>
  <c r="F613" i="18"/>
  <c r="D613" i="18"/>
  <c r="B613" i="18"/>
  <c r="F612" i="18"/>
  <c r="D612" i="18"/>
  <c r="B612" i="18"/>
  <c r="F611" i="18"/>
  <c r="D611" i="18"/>
  <c r="B611" i="18"/>
  <c r="F610" i="18"/>
  <c r="D610" i="18"/>
  <c r="B610" i="18"/>
  <c r="F609" i="18"/>
  <c r="D609" i="18"/>
  <c r="B609" i="18"/>
  <c r="F608" i="18"/>
  <c r="D608" i="18"/>
  <c r="B608" i="18"/>
  <c r="F607" i="18"/>
  <c r="D607" i="18"/>
  <c r="B607" i="18"/>
  <c r="F606" i="18"/>
  <c r="D606" i="18"/>
  <c r="B606" i="18"/>
  <c r="F605" i="18"/>
  <c r="D605" i="18"/>
  <c r="B605" i="18"/>
  <c r="F604" i="18"/>
  <c r="D604" i="18"/>
  <c r="B604" i="18"/>
  <c r="F603" i="18"/>
  <c r="D603" i="18"/>
  <c r="B603" i="18"/>
  <c r="F602" i="18"/>
  <c r="D602" i="18"/>
  <c r="B602" i="18"/>
  <c r="F601" i="18"/>
  <c r="D601" i="18"/>
  <c r="B601" i="18"/>
  <c r="F600" i="18"/>
  <c r="D600" i="18"/>
  <c r="B600" i="18"/>
  <c r="F599" i="18"/>
  <c r="D599" i="18"/>
  <c r="B599" i="18"/>
  <c r="F598" i="18"/>
  <c r="D598" i="18"/>
  <c r="B598" i="18"/>
  <c r="F597" i="18"/>
  <c r="D597" i="18"/>
  <c r="B597" i="18"/>
  <c r="F596" i="18"/>
  <c r="D596" i="18"/>
  <c r="B596" i="18"/>
  <c r="F595" i="18"/>
  <c r="D595" i="18"/>
  <c r="B595" i="18"/>
  <c r="F594" i="18"/>
  <c r="D594" i="18"/>
  <c r="B594" i="18"/>
  <c r="F593" i="18"/>
  <c r="D593" i="18"/>
  <c r="B593" i="18"/>
  <c r="F592" i="18"/>
  <c r="D592" i="18"/>
  <c r="B592" i="18"/>
  <c r="F591" i="18"/>
  <c r="D591" i="18"/>
  <c r="B591" i="18"/>
  <c r="F590" i="18"/>
  <c r="D590" i="18"/>
  <c r="B590" i="18"/>
  <c r="F589" i="18"/>
  <c r="D589" i="18"/>
  <c r="B589" i="18"/>
  <c r="F588" i="18"/>
  <c r="D588" i="18"/>
  <c r="B588" i="18"/>
  <c r="F587" i="18"/>
  <c r="D587" i="18"/>
  <c r="B587" i="18"/>
  <c r="F586" i="18"/>
  <c r="D586" i="18"/>
  <c r="B586" i="18"/>
  <c r="F585" i="18"/>
  <c r="D585" i="18"/>
  <c r="B585" i="18"/>
  <c r="F584" i="18"/>
  <c r="D584" i="18"/>
  <c r="B584" i="18"/>
  <c r="F583" i="18"/>
  <c r="D583" i="18"/>
  <c r="B583" i="18"/>
  <c r="F582" i="18"/>
  <c r="D582" i="18"/>
  <c r="B582" i="18"/>
  <c r="F581" i="18"/>
  <c r="D581" i="18"/>
  <c r="B581" i="18"/>
  <c r="F580" i="18"/>
  <c r="D580" i="18"/>
  <c r="B580" i="18"/>
  <c r="F579" i="18"/>
  <c r="D579" i="18"/>
  <c r="B579" i="18"/>
  <c r="F578" i="18"/>
  <c r="D578" i="18"/>
  <c r="B578" i="18"/>
  <c r="F577" i="18"/>
  <c r="D577" i="18"/>
  <c r="B577" i="18"/>
  <c r="F576" i="18"/>
  <c r="D576" i="18"/>
  <c r="B576" i="18"/>
  <c r="F575" i="18"/>
  <c r="D575" i="18"/>
  <c r="B575" i="18"/>
  <c r="F574" i="18"/>
  <c r="D574" i="18"/>
  <c r="B574" i="18"/>
  <c r="F573" i="18"/>
  <c r="D573" i="18"/>
  <c r="B573" i="18"/>
  <c r="F572" i="18"/>
  <c r="D572" i="18"/>
  <c r="B572" i="18"/>
  <c r="F571" i="18"/>
  <c r="D571" i="18"/>
  <c r="B571" i="18"/>
  <c r="F570" i="18"/>
  <c r="D570" i="18"/>
  <c r="B570" i="18"/>
  <c r="F569" i="18"/>
  <c r="D569" i="18"/>
  <c r="B569" i="18"/>
  <c r="F568" i="18"/>
  <c r="D568" i="18"/>
  <c r="B568" i="18"/>
  <c r="F567" i="18"/>
  <c r="D567" i="18"/>
  <c r="B567" i="18"/>
  <c r="F566" i="18"/>
  <c r="D566" i="18"/>
  <c r="B566" i="18"/>
  <c r="F565" i="18"/>
  <c r="D565" i="18"/>
  <c r="B565" i="18"/>
  <c r="F564" i="18"/>
  <c r="D564" i="18"/>
  <c r="B564" i="18"/>
  <c r="F563" i="18"/>
  <c r="D563" i="18"/>
  <c r="B563" i="18"/>
  <c r="F562" i="18"/>
  <c r="D562" i="18"/>
  <c r="B562" i="18"/>
  <c r="F561" i="18"/>
  <c r="D561" i="18"/>
  <c r="B561" i="18"/>
  <c r="F560" i="18"/>
  <c r="D560" i="18"/>
  <c r="B560" i="18"/>
  <c r="F559" i="18"/>
  <c r="D559" i="18"/>
  <c r="B559" i="18"/>
  <c r="F558" i="18"/>
  <c r="D558" i="18"/>
  <c r="B558" i="18"/>
  <c r="F557" i="18"/>
  <c r="D557" i="18"/>
  <c r="B557" i="18"/>
  <c r="F556" i="18"/>
  <c r="D556" i="18"/>
  <c r="B556" i="18"/>
  <c r="F555" i="18"/>
  <c r="D555" i="18"/>
  <c r="B555" i="18"/>
  <c r="F554" i="18"/>
  <c r="D554" i="18"/>
  <c r="B554" i="18"/>
  <c r="F553" i="18"/>
  <c r="D553" i="18"/>
  <c r="B553" i="18"/>
  <c r="F552" i="18"/>
  <c r="D552" i="18"/>
  <c r="B552" i="18"/>
  <c r="F551" i="18"/>
  <c r="D551" i="18"/>
  <c r="B551" i="18"/>
  <c r="F550" i="18"/>
  <c r="D550" i="18"/>
  <c r="B550" i="18"/>
  <c r="F549" i="18"/>
  <c r="D549" i="18"/>
  <c r="B549" i="18"/>
  <c r="F548" i="18"/>
  <c r="D548" i="18"/>
  <c r="B548" i="18"/>
  <c r="F547" i="18"/>
  <c r="D547" i="18"/>
  <c r="B547" i="18"/>
  <c r="F546" i="18"/>
  <c r="D546" i="18"/>
  <c r="B546" i="18"/>
  <c r="F545" i="18"/>
  <c r="D545" i="18"/>
  <c r="B545" i="18"/>
  <c r="F544" i="18"/>
  <c r="D544" i="18"/>
  <c r="B544" i="18"/>
  <c r="F543" i="18"/>
  <c r="D543" i="18"/>
  <c r="B543" i="18"/>
  <c r="F542" i="18"/>
  <c r="D542" i="18"/>
  <c r="B542" i="18"/>
  <c r="F541" i="18"/>
  <c r="D541" i="18"/>
  <c r="B541" i="18"/>
  <c r="F540" i="18"/>
  <c r="D540" i="18"/>
  <c r="B540" i="18"/>
  <c r="F539" i="18"/>
  <c r="D539" i="18"/>
  <c r="B539" i="18"/>
  <c r="F538" i="18"/>
  <c r="D538" i="18"/>
  <c r="B538" i="18"/>
  <c r="F537" i="18"/>
  <c r="D537" i="18"/>
  <c r="B537" i="18"/>
  <c r="F536" i="18"/>
  <c r="D536" i="18"/>
  <c r="B536" i="18"/>
  <c r="F535" i="18"/>
  <c r="D535" i="18"/>
  <c r="B535" i="18"/>
  <c r="F534" i="18"/>
  <c r="D534" i="18"/>
  <c r="B534" i="18"/>
  <c r="F533" i="18"/>
  <c r="D533" i="18"/>
  <c r="B533" i="18"/>
  <c r="F532" i="18"/>
  <c r="D532" i="18"/>
  <c r="B532" i="18"/>
  <c r="F531" i="18"/>
  <c r="D531" i="18"/>
  <c r="B531" i="18"/>
  <c r="F530" i="18"/>
  <c r="D530" i="18"/>
  <c r="B530" i="18"/>
  <c r="F529" i="18"/>
  <c r="D529" i="18"/>
  <c r="B529" i="18"/>
  <c r="F528" i="18"/>
  <c r="D528" i="18"/>
  <c r="B528" i="18"/>
  <c r="F527" i="18"/>
  <c r="D527" i="18"/>
  <c r="B527" i="18"/>
  <c r="F526" i="18"/>
  <c r="D526" i="18"/>
  <c r="B526" i="18"/>
  <c r="F525" i="18"/>
  <c r="D525" i="18"/>
  <c r="B525" i="18"/>
  <c r="F524" i="18"/>
  <c r="D524" i="18"/>
  <c r="B524" i="18"/>
  <c r="F523" i="18"/>
  <c r="D523" i="18"/>
  <c r="B523" i="18"/>
  <c r="F522" i="18"/>
  <c r="D522" i="18"/>
  <c r="B522" i="18"/>
  <c r="F521" i="18"/>
  <c r="D521" i="18"/>
  <c r="B521" i="18"/>
  <c r="F520" i="18"/>
  <c r="D520" i="18"/>
  <c r="B520" i="18"/>
  <c r="F519" i="18"/>
  <c r="D519" i="18"/>
  <c r="B519" i="18"/>
  <c r="F518" i="18"/>
  <c r="D518" i="18"/>
  <c r="B518" i="18"/>
  <c r="F517" i="18"/>
  <c r="D517" i="18"/>
  <c r="B517" i="18"/>
  <c r="F516" i="18"/>
  <c r="D516" i="18"/>
  <c r="B516" i="18"/>
  <c r="F515" i="18"/>
  <c r="D515" i="18"/>
  <c r="B515" i="18"/>
  <c r="F514" i="18"/>
  <c r="D514" i="18"/>
  <c r="B514" i="18"/>
  <c r="F513" i="18"/>
  <c r="D513" i="18"/>
  <c r="B513" i="18"/>
  <c r="F512" i="18"/>
  <c r="D512" i="18"/>
  <c r="B512" i="18"/>
  <c r="F511" i="18"/>
  <c r="D511" i="18"/>
  <c r="B511" i="18"/>
  <c r="F510" i="18"/>
  <c r="D510" i="18"/>
  <c r="B510" i="18"/>
  <c r="F509" i="18"/>
  <c r="D509" i="18"/>
  <c r="B509" i="18"/>
  <c r="F508" i="18"/>
  <c r="D508" i="18"/>
  <c r="B508" i="18"/>
  <c r="F507" i="18"/>
  <c r="D507" i="18"/>
  <c r="B507" i="18"/>
  <c r="F506" i="18"/>
  <c r="D506" i="18"/>
  <c r="B506" i="18"/>
  <c r="F505" i="18"/>
  <c r="D505" i="18"/>
  <c r="B505" i="18"/>
  <c r="F504" i="18"/>
  <c r="D504" i="18"/>
  <c r="B504" i="18"/>
  <c r="F503" i="18"/>
  <c r="D503" i="18"/>
  <c r="B503" i="18"/>
  <c r="F502" i="18"/>
  <c r="D502" i="18"/>
  <c r="B502" i="18"/>
  <c r="F501" i="18"/>
  <c r="D501" i="18"/>
  <c r="B501" i="18"/>
  <c r="F500" i="18"/>
  <c r="D500" i="18"/>
  <c r="B500" i="18"/>
  <c r="F499" i="18"/>
  <c r="D499" i="18"/>
  <c r="B499" i="18"/>
  <c r="F498" i="18"/>
  <c r="D498" i="18"/>
  <c r="B498" i="18"/>
  <c r="F497" i="18"/>
  <c r="D497" i="18"/>
  <c r="B497" i="18"/>
  <c r="F496" i="18"/>
  <c r="D496" i="18"/>
  <c r="B496" i="18"/>
  <c r="F495" i="18"/>
  <c r="D495" i="18"/>
  <c r="B495" i="18"/>
  <c r="F494" i="18"/>
  <c r="D494" i="18"/>
  <c r="B494" i="18"/>
  <c r="F493" i="18"/>
  <c r="D493" i="18"/>
  <c r="B493" i="18"/>
  <c r="F492" i="18"/>
  <c r="D492" i="18"/>
  <c r="B492" i="18"/>
  <c r="F491" i="18"/>
  <c r="D491" i="18"/>
  <c r="B491" i="18"/>
  <c r="F490" i="18"/>
  <c r="D490" i="18"/>
  <c r="B490" i="18"/>
  <c r="F489" i="18"/>
  <c r="D489" i="18"/>
  <c r="B489" i="18"/>
  <c r="F488" i="18"/>
  <c r="D488" i="18"/>
  <c r="B488" i="18"/>
  <c r="F487" i="18"/>
  <c r="D487" i="18"/>
  <c r="B487" i="18"/>
  <c r="F486" i="18"/>
  <c r="D486" i="18"/>
  <c r="B486" i="18"/>
  <c r="F485" i="18"/>
  <c r="D485" i="18"/>
  <c r="B485" i="18"/>
  <c r="F484" i="18"/>
  <c r="D484" i="18"/>
  <c r="B484" i="18"/>
  <c r="F483" i="18"/>
  <c r="D483" i="18"/>
  <c r="B483" i="18"/>
  <c r="F482" i="18"/>
  <c r="D482" i="18"/>
  <c r="B482" i="18"/>
  <c r="F481" i="18"/>
  <c r="D481" i="18"/>
  <c r="B481" i="18"/>
  <c r="F480" i="18"/>
  <c r="D480" i="18"/>
  <c r="B480" i="18"/>
  <c r="F479" i="18"/>
  <c r="D479" i="18"/>
  <c r="B479" i="18"/>
  <c r="F478" i="18"/>
  <c r="D478" i="18"/>
  <c r="B478" i="18"/>
  <c r="F477" i="18"/>
  <c r="D477" i="18"/>
  <c r="B477" i="18"/>
  <c r="F476" i="18"/>
  <c r="D476" i="18"/>
  <c r="B476" i="18"/>
  <c r="F475" i="18"/>
  <c r="D475" i="18"/>
  <c r="B475" i="18"/>
  <c r="F474" i="18"/>
  <c r="D474" i="18"/>
  <c r="B474" i="18"/>
  <c r="F473" i="18"/>
  <c r="D473" i="18"/>
  <c r="B473" i="18"/>
  <c r="F472" i="18"/>
  <c r="D472" i="18"/>
  <c r="B472" i="18"/>
  <c r="F471" i="18"/>
  <c r="D471" i="18"/>
  <c r="B471" i="18"/>
  <c r="F470" i="18"/>
  <c r="D470" i="18"/>
  <c r="B470" i="18"/>
  <c r="F469" i="18"/>
  <c r="D469" i="18"/>
  <c r="B469" i="18"/>
  <c r="F468" i="18"/>
  <c r="D468" i="18"/>
  <c r="B468" i="18"/>
  <c r="F467" i="18"/>
  <c r="D467" i="18"/>
  <c r="B467" i="18"/>
  <c r="F466" i="18"/>
  <c r="D466" i="18"/>
  <c r="B466" i="18"/>
  <c r="F465" i="18"/>
  <c r="D465" i="18"/>
  <c r="B465" i="18"/>
  <c r="F464" i="18"/>
  <c r="D464" i="18"/>
  <c r="B464" i="18"/>
  <c r="F463" i="18"/>
  <c r="D463" i="18"/>
  <c r="B463" i="18"/>
  <c r="F462" i="18"/>
  <c r="D462" i="18"/>
  <c r="B462" i="18"/>
  <c r="F461" i="18"/>
  <c r="D461" i="18"/>
  <c r="B461" i="18"/>
  <c r="F460" i="18"/>
  <c r="D460" i="18"/>
  <c r="B460" i="18"/>
  <c r="F459" i="18"/>
  <c r="D459" i="18"/>
  <c r="B459" i="18"/>
  <c r="F458" i="18"/>
  <c r="D458" i="18"/>
  <c r="B458" i="18"/>
  <c r="F457" i="18"/>
  <c r="D457" i="18"/>
  <c r="B457" i="18"/>
  <c r="F456" i="18"/>
  <c r="D456" i="18"/>
  <c r="B456" i="18"/>
  <c r="F455" i="18"/>
  <c r="D455" i="18"/>
  <c r="B455" i="18"/>
  <c r="F454" i="18"/>
  <c r="D454" i="18"/>
  <c r="B454" i="18"/>
  <c r="F453" i="18"/>
  <c r="D453" i="18"/>
  <c r="B453" i="18"/>
  <c r="F452" i="18"/>
  <c r="D452" i="18"/>
  <c r="B452" i="18"/>
  <c r="F451" i="18"/>
  <c r="D451" i="18"/>
  <c r="B451" i="18"/>
  <c r="F450" i="18"/>
  <c r="D450" i="18"/>
  <c r="B450" i="18"/>
  <c r="F449" i="18"/>
  <c r="D449" i="18"/>
  <c r="B449" i="18"/>
  <c r="F448" i="18"/>
  <c r="D448" i="18"/>
  <c r="B448" i="18"/>
  <c r="F447" i="18"/>
  <c r="D447" i="18"/>
  <c r="B447" i="18"/>
  <c r="F446" i="18"/>
  <c r="D446" i="18"/>
  <c r="B446" i="18"/>
  <c r="F445" i="18"/>
  <c r="D445" i="18"/>
  <c r="B445" i="18"/>
  <c r="F444" i="18"/>
  <c r="D444" i="18"/>
  <c r="B444" i="18"/>
  <c r="F443" i="18"/>
  <c r="D443" i="18"/>
  <c r="B443" i="18"/>
  <c r="F442" i="18"/>
  <c r="D442" i="18"/>
  <c r="B442" i="18"/>
  <c r="F441" i="18"/>
  <c r="D441" i="18"/>
  <c r="B441" i="18"/>
  <c r="F440" i="18"/>
  <c r="D440" i="18"/>
  <c r="B440" i="18"/>
  <c r="F439" i="18"/>
  <c r="D439" i="18"/>
  <c r="B439" i="18"/>
  <c r="F438" i="18"/>
  <c r="D438" i="18"/>
  <c r="B438" i="18"/>
  <c r="F437" i="18"/>
  <c r="D437" i="18"/>
  <c r="B437" i="18"/>
  <c r="F436" i="18"/>
  <c r="D436" i="18"/>
  <c r="B436" i="18"/>
  <c r="F435" i="18"/>
  <c r="D435" i="18"/>
  <c r="B435" i="18"/>
  <c r="F434" i="18"/>
  <c r="D434" i="18"/>
  <c r="B434" i="18"/>
  <c r="F433" i="18"/>
  <c r="D433" i="18"/>
  <c r="B433" i="18"/>
  <c r="F432" i="18"/>
  <c r="D432" i="18"/>
  <c r="B432" i="18"/>
  <c r="F431" i="18"/>
  <c r="D431" i="18"/>
  <c r="B431" i="18"/>
  <c r="F430" i="18"/>
  <c r="D430" i="18"/>
  <c r="B430" i="18"/>
  <c r="F429" i="18"/>
  <c r="D429" i="18"/>
  <c r="B429" i="18"/>
  <c r="F428" i="18"/>
  <c r="D428" i="18"/>
  <c r="B428" i="18"/>
  <c r="F427" i="18"/>
  <c r="D427" i="18"/>
  <c r="B427" i="18"/>
  <c r="F426" i="18"/>
  <c r="D426" i="18"/>
  <c r="B426" i="18"/>
  <c r="F425" i="18"/>
  <c r="D425" i="18"/>
  <c r="B425" i="18"/>
  <c r="F424" i="18"/>
  <c r="D424" i="18"/>
  <c r="B424" i="18"/>
  <c r="F423" i="18"/>
  <c r="D423" i="18"/>
  <c r="B423" i="18"/>
  <c r="F422" i="18"/>
  <c r="D422" i="18"/>
  <c r="B422" i="18"/>
  <c r="F421" i="18"/>
  <c r="D421" i="18"/>
  <c r="B421" i="18"/>
  <c r="F420" i="18"/>
  <c r="D420" i="18"/>
  <c r="B420" i="18"/>
  <c r="F419" i="18"/>
  <c r="D419" i="18"/>
  <c r="B419" i="18"/>
  <c r="F418" i="18"/>
  <c r="D418" i="18"/>
  <c r="B418" i="18"/>
  <c r="F417" i="18"/>
  <c r="D417" i="18"/>
  <c r="B417" i="18"/>
  <c r="F416" i="18"/>
  <c r="D416" i="18"/>
  <c r="B416" i="18"/>
  <c r="F415" i="18"/>
  <c r="D415" i="18"/>
  <c r="B415" i="18"/>
  <c r="F414" i="18"/>
  <c r="D414" i="18"/>
  <c r="B414" i="18"/>
  <c r="F413" i="18"/>
  <c r="D413" i="18"/>
  <c r="B413" i="18"/>
  <c r="F412" i="18"/>
  <c r="D412" i="18"/>
  <c r="B412" i="18"/>
  <c r="F411" i="18"/>
  <c r="D411" i="18"/>
  <c r="B411" i="18"/>
  <c r="F410" i="18"/>
  <c r="D410" i="18"/>
  <c r="B410" i="18"/>
  <c r="F409" i="18"/>
  <c r="D409" i="18"/>
  <c r="B409" i="18"/>
  <c r="F408" i="18"/>
  <c r="D408" i="18"/>
  <c r="B408" i="18"/>
  <c r="F407" i="18"/>
  <c r="D407" i="18"/>
  <c r="B407" i="18"/>
  <c r="F406" i="18"/>
  <c r="D406" i="18"/>
  <c r="B406" i="18"/>
  <c r="F405" i="18"/>
  <c r="D405" i="18"/>
  <c r="B405" i="18"/>
  <c r="F404" i="18"/>
  <c r="D404" i="18"/>
  <c r="B404" i="18"/>
  <c r="F403" i="18"/>
  <c r="D403" i="18"/>
  <c r="B403" i="18"/>
  <c r="F402" i="18"/>
  <c r="D402" i="18"/>
  <c r="B402" i="18"/>
  <c r="F401" i="18"/>
  <c r="D401" i="18"/>
  <c r="B401" i="18"/>
  <c r="F400" i="18"/>
  <c r="D400" i="18"/>
  <c r="B400" i="18"/>
  <c r="F399" i="18"/>
  <c r="D399" i="18"/>
  <c r="B399" i="18"/>
  <c r="F398" i="18"/>
  <c r="D398" i="18"/>
  <c r="B398" i="18"/>
  <c r="F397" i="18"/>
  <c r="D397" i="18"/>
  <c r="B397" i="18"/>
  <c r="F396" i="18"/>
  <c r="D396" i="18"/>
  <c r="B396" i="18"/>
  <c r="F395" i="18"/>
  <c r="D395" i="18"/>
  <c r="B395" i="18"/>
  <c r="F394" i="18"/>
  <c r="D394" i="18"/>
  <c r="B394" i="18"/>
  <c r="F393" i="18"/>
  <c r="D393" i="18"/>
  <c r="B393" i="18"/>
  <c r="F392" i="18"/>
  <c r="D392" i="18"/>
  <c r="B392" i="18"/>
  <c r="F391" i="18"/>
  <c r="D391" i="18"/>
  <c r="B391" i="18"/>
  <c r="F390" i="18"/>
  <c r="D390" i="18"/>
  <c r="B390" i="18"/>
  <c r="F389" i="18"/>
  <c r="D389" i="18"/>
  <c r="B389" i="18"/>
  <c r="F388" i="18"/>
  <c r="D388" i="18"/>
  <c r="B388" i="18"/>
  <c r="F387" i="18"/>
  <c r="D387" i="18"/>
  <c r="B387" i="18"/>
  <c r="F386" i="18"/>
  <c r="D386" i="18"/>
  <c r="B386" i="18"/>
  <c r="F385" i="18"/>
  <c r="D385" i="18"/>
  <c r="B385" i="18"/>
  <c r="F384" i="18"/>
  <c r="D384" i="18"/>
  <c r="B384" i="18"/>
  <c r="F383" i="18"/>
  <c r="D383" i="18"/>
  <c r="B383" i="18"/>
  <c r="F382" i="18"/>
  <c r="D382" i="18"/>
  <c r="B382" i="18"/>
  <c r="F381" i="18"/>
  <c r="D381" i="18"/>
  <c r="B381" i="18"/>
  <c r="F380" i="18"/>
  <c r="D380" i="18"/>
  <c r="B380" i="18"/>
  <c r="F379" i="18"/>
  <c r="D379" i="18"/>
  <c r="B379" i="18"/>
  <c r="F378" i="18"/>
  <c r="D378" i="18"/>
  <c r="B378" i="18"/>
  <c r="F377" i="18"/>
  <c r="D377" i="18"/>
  <c r="B377" i="18"/>
  <c r="F376" i="18"/>
  <c r="D376" i="18"/>
  <c r="B376" i="18"/>
  <c r="F375" i="18"/>
  <c r="D375" i="18"/>
  <c r="B375" i="18"/>
  <c r="F374" i="18"/>
  <c r="D374" i="18"/>
  <c r="B374" i="18"/>
  <c r="F373" i="18"/>
  <c r="D373" i="18"/>
  <c r="B373" i="18"/>
  <c r="F372" i="18"/>
  <c r="D372" i="18"/>
  <c r="B372" i="18"/>
  <c r="F371" i="18"/>
  <c r="D371" i="18"/>
  <c r="B371" i="18"/>
  <c r="F370" i="18"/>
  <c r="D370" i="18"/>
  <c r="B370" i="18"/>
  <c r="F369" i="18"/>
  <c r="D369" i="18"/>
  <c r="B369" i="18"/>
  <c r="F368" i="18"/>
  <c r="D368" i="18"/>
  <c r="B368" i="18"/>
  <c r="F367" i="18"/>
  <c r="D367" i="18"/>
  <c r="B367" i="18"/>
  <c r="F366" i="18"/>
  <c r="D366" i="18"/>
  <c r="B366" i="18"/>
  <c r="F365" i="18"/>
  <c r="D365" i="18"/>
  <c r="B365" i="18"/>
  <c r="F364" i="18"/>
  <c r="D364" i="18"/>
  <c r="B364" i="18"/>
  <c r="F363" i="18"/>
  <c r="D363" i="18"/>
  <c r="B363" i="18"/>
  <c r="F362" i="18"/>
  <c r="D362" i="18"/>
  <c r="B362" i="18"/>
  <c r="F361" i="18"/>
  <c r="D361" i="18"/>
  <c r="B361" i="18"/>
  <c r="F360" i="18"/>
  <c r="D360" i="18"/>
  <c r="B360" i="18"/>
  <c r="F359" i="18"/>
  <c r="D359" i="18"/>
  <c r="B359" i="18"/>
  <c r="F358" i="18"/>
  <c r="D358" i="18"/>
  <c r="B358" i="18"/>
  <c r="F357" i="18"/>
  <c r="D357" i="18"/>
  <c r="B357" i="18"/>
  <c r="F356" i="18"/>
  <c r="D356" i="18"/>
  <c r="B356" i="18"/>
  <c r="F355" i="18"/>
  <c r="D355" i="18"/>
  <c r="B355" i="18"/>
  <c r="F354" i="18"/>
  <c r="D354" i="18"/>
  <c r="B354" i="18"/>
  <c r="F353" i="18"/>
  <c r="D353" i="18"/>
  <c r="B353" i="18"/>
  <c r="F352" i="18"/>
  <c r="D352" i="18"/>
  <c r="B352" i="18"/>
  <c r="F351" i="18"/>
  <c r="D351" i="18"/>
  <c r="B351" i="18"/>
  <c r="F350" i="18"/>
  <c r="D350" i="18"/>
  <c r="B350" i="18"/>
  <c r="F349" i="18"/>
  <c r="D349" i="18"/>
  <c r="B349" i="18"/>
  <c r="F348" i="18"/>
  <c r="D348" i="18"/>
  <c r="B348" i="18"/>
  <c r="F347" i="18"/>
  <c r="D347" i="18"/>
  <c r="B347" i="18"/>
  <c r="F346" i="18"/>
  <c r="D346" i="18"/>
  <c r="B346" i="18"/>
  <c r="F345" i="18"/>
  <c r="D345" i="18"/>
  <c r="B345" i="18"/>
  <c r="F344" i="18"/>
  <c r="D344" i="18"/>
  <c r="B344" i="18"/>
  <c r="F343" i="18"/>
  <c r="D343" i="18"/>
  <c r="B343" i="18"/>
  <c r="F342" i="18"/>
  <c r="D342" i="18"/>
  <c r="B342" i="18"/>
  <c r="F341" i="18"/>
  <c r="D341" i="18"/>
  <c r="B341" i="18"/>
  <c r="F340" i="18"/>
  <c r="D340" i="18"/>
  <c r="B340" i="18"/>
  <c r="F339" i="18"/>
  <c r="D339" i="18"/>
  <c r="B339" i="18"/>
  <c r="F338" i="18"/>
  <c r="D338" i="18"/>
  <c r="B338" i="18"/>
  <c r="F337" i="18"/>
  <c r="D337" i="18"/>
  <c r="B337" i="18"/>
  <c r="F336" i="18"/>
  <c r="D336" i="18"/>
  <c r="B336" i="18"/>
  <c r="F335" i="18"/>
  <c r="D335" i="18"/>
  <c r="B335" i="18"/>
  <c r="F334" i="18"/>
  <c r="D334" i="18"/>
  <c r="B334" i="18"/>
  <c r="F333" i="18"/>
  <c r="D333" i="18"/>
  <c r="B333" i="18"/>
  <c r="F332" i="18"/>
  <c r="D332" i="18"/>
  <c r="B332" i="18"/>
  <c r="F331" i="18"/>
  <c r="D331" i="18"/>
  <c r="B331" i="18"/>
  <c r="F330" i="18"/>
  <c r="D330" i="18"/>
  <c r="B330" i="18"/>
  <c r="F329" i="18"/>
  <c r="D329" i="18"/>
  <c r="B329" i="18"/>
  <c r="F328" i="18"/>
  <c r="D328" i="18"/>
  <c r="B328" i="18"/>
  <c r="F327" i="18"/>
  <c r="D327" i="18"/>
  <c r="B327" i="18"/>
  <c r="F326" i="18"/>
  <c r="D326" i="18"/>
  <c r="B326" i="18"/>
  <c r="F325" i="18"/>
  <c r="D325" i="18"/>
  <c r="B325" i="18"/>
  <c r="F324" i="18"/>
  <c r="D324" i="18"/>
  <c r="B324" i="18"/>
  <c r="F323" i="18"/>
  <c r="D323" i="18"/>
  <c r="B323" i="18"/>
  <c r="F322" i="18"/>
  <c r="D322" i="18"/>
  <c r="B322" i="18"/>
  <c r="F321" i="18"/>
  <c r="D321" i="18"/>
  <c r="B321" i="18"/>
  <c r="F320" i="18"/>
  <c r="D320" i="18"/>
  <c r="B320" i="18"/>
  <c r="F319" i="18"/>
  <c r="D319" i="18"/>
  <c r="B319" i="18"/>
  <c r="F318" i="18"/>
  <c r="D318" i="18"/>
  <c r="B318" i="18"/>
  <c r="F317" i="18"/>
  <c r="D317" i="18"/>
  <c r="B317" i="18"/>
  <c r="F316" i="18"/>
  <c r="D316" i="18"/>
  <c r="B316" i="18"/>
  <c r="F315" i="18"/>
  <c r="D315" i="18"/>
  <c r="B315" i="18"/>
  <c r="F314" i="18"/>
  <c r="D314" i="18"/>
  <c r="B314" i="18"/>
  <c r="F313" i="18"/>
  <c r="D313" i="18"/>
  <c r="B313" i="18"/>
  <c r="F312" i="18"/>
  <c r="D312" i="18"/>
  <c r="B312" i="18"/>
  <c r="F311" i="18"/>
  <c r="D311" i="18"/>
  <c r="B311" i="18"/>
  <c r="F310" i="18"/>
  <c r="D310" i="18"/>
  <c r="B310" i="18"/>
  <c r="F309" i="18"/>
  <c r="D309" i="18"/>
  <c r="B309" i="18"/>
  <c r="F308" i="18"/>
  <c r="D308" i="18"/>
  <c r="B308" i="18"/>
  <c r="F307" i="18"/>
  <c r="D307" i="18"/>
  <c r="B307" i="18"/>
  <c r="F306" i="18"/>
  <c r="D306" i="18"/>
  <c r="B306" i="18"/>
  <c r="F305" i="18"/>
  <c r="D305" i="18"/>
  <c r="B305" i="18"/>
  <c r="F304" i="18"/>
  <c r="D304" i="18"/>
  <c r="B304" i="18"/>
  <c r="F303" i="18"/>
  <c r="D303" i="18"/>
  <c r="B303" i="18"/>
  <c r="F302" i="18"/>
  <c r="D302" i="18"/>
  <c r="B302" i="18"/>
  <c r="F301" i="18"/>
  <c r="D301" i="18"/>
  <c r="B301" i="18"/>
  <c r="F300" i="18"/>
  <c r="D300" i="18"/>
  <c r="B300" i="18"/>
  <c r="F299" i="18"/>
  <c r="D299" i="18"/>
  <c r="B299" i="18"/>
  <c r="F298" i="18"/>
  <c r="D298" i="18"/>
  <c r="B298" i="18"/>
  <c r="F297" i="18"/>
  <c r="D297" i="18"/>
  <c r="B297" i="18"/>
  <c r="F296" i="18"/>
  <c r="D296" i="18"/>
  <c r="B296" i="18"/>
  <c r="F295" i="18"/>
  <c r="D295" i="18"/>
  <c r="B295" i="18"/>
  <c r="F294" i="18"/>
  <c r="D294" i="18"/>
  <c r="B294" i="18"/>
  <c r="F293" i="18"/>
  <c r="D293" i="18"/>
  <c r="B293" i="18"/>
  <c r="F292" i="18"/>
  <c r="D292" i="18"/>
  <c r="B292" i="18"/>
  <c r="F291" i="18"/>
  <c r="D291" i="18"/>
  <c r="B291" i="18"/>
  <c r="F290" i="18"/>
  <c r="D290" i="18"/>
  <c r="B290" i="18"/>
  <c r="F289" i="18"/>
  <c r="D289" i="18"/>
  <c r="B289" i="18"/>
  <c r="F288" i="18"/>
  <c r="D288" i="18"/>
  <c r="B288" i="18"/>
  <c r="F287" i="18"/>
  <c r="D287" i="18"/>
  <c r="B287" i="18"/>
  <c r="F286" i="18"/>
  <c r="D286" i="18"/>
  <c r="B286" i="18"/>
  <c r="F285" i="18"/>
  <c r="D285" i="18"/>
  <c r="B285" i="18"/>
  <c r="F284" i="18"/>
  <c r="D284" i="18"/>
  <c r="B284" i="18"/>
  <c r="F283" i="18"/>
  <c r="D283" i="18"/>
  <c r="B283" i="18"/>
  <c r="F282" i="18"/>
  <c r="D282" i="18"/>
  <c r="B282" i="18"/>
  <c r="F281" i="18"/>
  <c r="D281" i="18"/>
  <c r="B281" i="18"/>
  <c r="F280" i="18"/>
  <c r="D280" i="18"/>
  <c r="B280" i="18"/>
  <c r="F279" i="18"/>
  <c r="D279" i="18"/>
  <c r="B279" i="18"/>
  <c r="F278" i="18"/>
  <c r="D278" i="18"/>
  <c r="B278" i="18"/>
  <c r="F277" i="18"/>
  <c r="D277" i="18"/>
  <c r="B277" i="18"/>
  <c r="F276" i="18"/>
  <c r="D276" i="18"/>
  <c r="B276" i="18"/>
  <c r="F275" i="18"/>
  <c r="D275" i="18"/>
  <c r="B275" i="18"/>
  <c r="F274" i="18"/>
  <c r="D274" i="18"/>
  <c r="B274" i="18"/>
  <c r="F273" i="18"/>
  <c r="D273" i="18"/>
  <c r="B273" i="18"/>
  <c r="F272" i="18"/>
  <c r="D272" i="18"/>
  <c r="B272" i="18"/>
  <c r="F271" i="18"/>
  <c r="D271" i="18"/>
  <c r="B271" i="18"/>
  <c r="F270" i="18"/>
  <c r="D270" i="18"/>
  <c r="B270" i="18"/>
  <c r="F269" i="18"/>
  <c r="D269" i="18"/>
  <c r="B269" i="18"/>
  <c r="F268" i="18"/>
  <c r="D268" i="18"/>
  <c r="B268" i="18"/>
  <c r="F267" i="18"/>
  <c r="D267" i="18"/>
  <c r="B267" i="18"/>
  <c r="F266" i="18"/>
  <c r="D266" i="18"/>
  <c r="B266" i="18"/>
  <c r="F265" i="18"/>
  <c r="D265" i="18"/>
  <c r="B265" i="18"/>
  <c r="F264" i="18"/>
  <c r="D264" i="18"/>
  <c r="B264" i="18"/>
  <c r="F263" i="18"/>
  <c r="D263" i="18"/>
  <c r="B263" i="18"/>
  <c r="F262" i="18"/>
  <c r="D262" i="18"/>
  <c r="B262" i="18"/>
  <c r="F261" i="18"/>
  <c r="D261" i="18"/>
  <c r="B261" i="18"/>
  <c r="F260" i="18"/>
  <c r="D260" i="18"/>
  <c r="B260" i="18"/>
  <c r="F259" i="18"/>
  <c r="D259" i="18"/>
  <c r="B259" i="18"/>
  <c r="F258" i="18"/>
  <c r="D258" i="18"/>
  <c r="B258" i="18"/>
  <c r="F257" i="18"/>
  <c r="D257" i="18"/>
  <c r="B257" i="18"/>
  <c r="F256" i="18"/>
  <c r="D256" i="18"/>
  <c r="B256" i="18"/>
  <c r="F255" i="18"/>
  <c r="D255" i="18"/>
  <c r="B255" i="18"/>
  <c r="F254" i="18"/>
  <c r="D254" i="18"/>
  <c r="B254" i="18"/>
  <c r="F253" i="18"/>
  <c r="D253" i="18"/>
  <c r="B253" i="18"/>
  <c r="F252" i="18"/>
  <c r="D252" i="18"/>
  <c r="B252" i="18"/>
  <c r="F251" i="18"/>
  <c r="D251" i="18"/>
  <c r="B251" i="18"/>
  <c r="F250" i="18"/>
  <c r="D250" i="18"/>
  <c r="B250" i="18"/>
  <c r="F249" i="18"/>
  <c r="D249" i="18"/>
  <c r="B249" i="18"/>
  <c r="F248" i="18"/>
  <c r="D248" i="18"/>
  <c r="B248" i="18"/>
  <c r="F247" i="18"/>
  <c r="D247" i="18"/>
  <c r="B247" i="18"/>
  <c r="F246" i="18"/>
  <c r="D246" i="18"/>
  <c r="B246" i="18"/>
  <c r="F245" i="18"/>
  <c r="D245" i="18"/>
  <c r="B245" i="18"/>
  <c r="F244" i="18"/>
  <c r="D244" i="18"/>
  <c r="B244" i="18"/>
  <c r="F243" i="18"/>
  <c r="D243" i="18"/>
  <c r="B243" i="18"/>
  <c r="F242" i="18"/>
  <c r="D242" i="18"/>
  <c r="B242" i="18"/>
  <c r="F241" i="18"/>
  <c r="D241" i="18"/>
  <c r="B241" i="18"/>
  <c r="F240" i="18"/>
  <c r="D240" i="18"/>
  <c r="B240" i="18"/>
  <c r="F239" i="18"/>
  <c r="D239" i="18"/>
  <c r="B239" i="18"/>
  <c r="F238" i="18"/>
  <c r="D238" i="18"/>
  <c r="B238" i="18"/>
  <c r="F237" i="18"/>
  <c r="D237" i="18"/>
  <c r="B237" i="18"/>
  <c r="F236" i="18"/>
  <c r="D236" i="18"/>
  <c r="B236" i="18"/>
  <c r="F235" i="18"/>
  <c r="D235" i="18"/>
  <c r="B235" i="18"/>
  <c r="F234" i="18"/>
  <c r="D234" i="18"/>
  <c r="B234" i="18"/>
  <c r="F233" i="18"/>
  <c r="D233" i="18"/>
  <c r="B233" i="18"/>
  <c r="F232" i="18"/>
  <c r="D232" i="18"/>
  <c r="B232" i="18"/>
  <c r="F231" i="18"/>
  <c r="D231" i="18"/>
  <c r="B231" i="18"/>
  <c r="F230" i="18"/>
  <c r="D230" i="18"/>
  <c r="B230" i="18"/>
  <c r="F229" i="18"/>
  <c r="D229" i="18"/>
  <c r="B229" i="18"/>
  <c r="F228" i="18"/>
  <c r="D228" i="18"/>
  <c r="B228" i="18"/>
  <c r="F227" i="18"/>
  <c r="D227" i="18"/>
  <c r="B227" i="18"/>
  <c r="F226" i="18"/>
  <c r="D226" i="18"/>
  <c r="B226" i="18"/>
  <c r="F225" i="18"/>
  <c r="D225" i="18"/>
  <c r="B225" i="18"/>
  <c r="F224" i="18"/>
  <c r="D224" i="18"/>
  <c r="B224" i="18"/>
  <c r="F223" i="18"/>
  <c r="D223" i="18"/>
  <c r="B223" i="18"/>
  <c r="F222" i="18"/>
  <c r="D222" i="18"/>
  <c r="B222" i="18"/>
  <c r="F221" i="18"/>
  <c r="D221" i="18"/>
  <c r="B221" i="18"/>
  <c r="F220" i="18"/>
  <c r="D220" i="18"/>
  <c r="B220" i="18"/>
  <c r="F219" i="18"/>
  <c r="D219" i="18"/>
  <c r="B219" i="18"/>
  <c r="F218" i="18"/>
  <c r="D218" i="18"/>
  <c r="B218" i="18"/>
  <c r="F217" i="18"/>
  <c r="D217" i="18"/>
  <c r="B217" i="18"/>
  <c r="F216" i="18"/>
  <c r="D216" i="18"/>
  <c r="B216" i="18"/>
  <c r="F215" i="18"/>
  <c r="D215" i="18"/>
  <c r="B215" i="18"/>
  <c r="F214" i="18"/>
  <c r="D214" i="18"/>
  <c r="B214" i="18"/>
  <c r="F213" i="18"/>
  <c r="D213" i="18"/>
  <c r="B213" i="18"/>
  <c r="F212" i="18"/>
  <c r="D212" i="18"/>
  <c r="B212" i="18"/>
  <c r="F211" i="18"/>
  <c r="D211" i="18"/>
  <c r="B211" i="18"/>
  <c r="F210" i="18"/>
  <c r="D210" i="18"/>
  <c r="B210" i="18"/>
  <c r="F209" i="18"/>
  <c r="D209" i="18"/>
  <c r="B209" i="18"/>
  <c r="F208" i="18"/>
  <c r="D208" i="18"/>
  <c r="B208" i="18"/>
  <c r="F207" i="18"/>
  <c r="D207" i="18"/>
  <c r="B207" i="18"/>
  <c r="F206" i="18"/>
  <c r="D206" i="18"/>
  <c r="B206" i="18"/>
  <c r="F205" i="18"/>
  <c r="D205" i="18"/>
  <c r="B205" i="18"/>
  <c r="F204" i="18"/>
  <c r="D204" i="18"/>
  <c r="B204" i="18"/>
  <c r="F203" i="18"/>
  <c r="D203" i="18"/>
  <c r="B203" i="18"/>
  <c r="F202" i="18"/>
  <c r="D202" i="18"/>
  <c r="B202" i="18"/>
  <c r="F201" i="18"/>
  <c r="D201" i="18"/>
  <c r="B201" i="18"/>
  <c r="F200" i="18"/>
  <c r="D200" i="18"/>
  <c r="B200" i="18"/>
  <c r="F199" i="18"/>
  <c r="D199" i="18"/>
  <c r="B199" i="18"/>
  <c r="F198" i="18"/>
  <c r="D198" i="18"/>
  <c r="B198" i="18"/>
  <c r="F197" i="18"/>
  <c r="D197" i="18"/>
  <c r="B197" i="18"/>
  <c r="F196" i="18"/>
  <c r="D196" i="18"/>
  <c r="B196" i="18"/>
  <c r="F195" i="18"/>
  <c r="D195" i="18"/>
  <c r="B195" i="18"/>
  <c r="F194" i="18"/>
  <c r="D194" i="18"/>
  <c r="B194" i="18"/>
  <c r="F193" i="18"/>
  <c r="D193" i="18"/>
  <c r="B193" i="18"/>
  <c r="F192" i="18"/>
  <c r="D192" i="18"/>
  <c r="B192" i="18"/>
  <c r="F191" i="18"/>
  <c r="D191" i="18"/>
  <c r="B191" i="18"/>
  <c r="F190" i="18"/>
  <c r="D190" i="18"/>
  <c r="B190" i="18"/>
  <c r="F189" i="18"/>
  <c r="D189" i="18"/>
  <c r="B189" i="18"/>
  <c r="F188" i="18"/>
  <c r="D188" i="18"/>
  <c r="B188" i="18"/>
  <c r="F187" i="18"/>
  <c r="D187" i="18"/>
  <c r="B187" i="18"/>
  <c r="F186" i="18"/>
  <c r="D186" i="18"/>
  <c r="B186" i="18"/>
  <c r="F185" i="18"/>
  <c r="D185" i="18"/>
  <c r="B185" i="18"/>
  <c r="F184" i="18"/>
  <c r="D184" i="18"/>
  <c r="B184" i="18"/>
  <c r="F183" i="18"/>
  <c r="D183" i="18"/>
  <c r="B183" i="18"/>
  <c r="F182" i="18"/>
  <c r="D182" i="18"/>
  <c r="B182" i="18"/>
  <c r="F181" i="18"/>
  <c r="D181" i="18"/>
  <c r="B181" i="18"/>
  <c r="F180" i="18"/>
  <c r="D180" i="18"/>
  <c r="B180" i="18"/>
  <c r="F179" i="18"/>
  <c r="D179" i="18"/>
  <c r="B179" i="18"/>
  <c r="F178" i="18"/>
  <c r="D178" i="18"/>
  <c r="B178" i="18"/>
  <c r="F177" i="18"/>
  <c r="D177" i="18"/>
  <c r="B177" i="18"/>
  <c r="F176" i="18"/>
  <c r="D176" i="18"/>
  <c r="B176" i="18"/>
  <c r="F175" i="18"/>
  <c r="D175" i="18"/>
  <c r="B175" i="18"/>
  <c r="F174" i="18"/>
  <c r="D174" i="18"/>
  <c r="B174" i="18"/>
  <c r="F173" i="18"/>
  <c r="D173" i="18"/>
  <c r="B173" i="18"/>
  <c r="F172" i="18"/>
  <c r="D172" i="18"/>
  <c r="B172" i="18"/>
  <c r="F171" i="18"/>
  <c r="D171" i="18"/>
  <c r="B171" i="18"/>
  <c r="F170" i="18"/>
  <c r="D170" i="18"/>
  <c r="B170" i="18"/>
  <c r="F169" i="18"/>
  <c r="D169" i="18"/>
  <c r="B169" i="18"/>
  <c r="F168" i="18"/>
  <c r="D168" i="18"/>
  <c r="B168" i="18"/>
  <c r="F167" i="18"/>
  <c r="D167" i="18"/>
  <c r="B167" i="18"/>
  <c r="F166" i="18"/>
  <c r="D166" i="18"/>
  <c r="B166" i="18"/>
  <c r="F165" i="18"/>
  <c r="D165" i="18"/>
  <c r="B165" i="18"/>
  <c r="F164" i="18"/>
  <c r="D164" i="18"/>
  <c r="B164" i="18"/>
  <c r="F163" i="18"/>
  <c r="D163" i="18"/>
  <c r="B163" i="18"/>
  <c r="F162" i="18"/>
  <c r="D162" i="18"/>
  <c r="B162" i="18"/>
  <c r="F161" i="18"/>
  <c r="D161" i="18"/>
  <c r="B161" i="18"/>
  <c r="F160" i="18"/>
  <c r="D160" i="18"/>
  <c r="B160" i="18"/>
  <c r="F159" i="18"/>
  <c r="D159" i="18"/>
  <c r="B159" i="18"/>
  <c r="F158" i="18"/>
  <c r="D158" i="18"/>
  <c r="B158" i="18"/>
  <c r="F157" i="18"/>
  <c r="D157" i="18"/>
  <c r="B157" i="18"/>
  <c r="F156" i="18"/>
  <c r="D156" i="18"/>
  <c r="B156" i="18"/>
  <c r="F155" i="18"/>
  <c r="D155" i="18"/>
  <c r="B155" i="18"/>
  <c r="F154" i="18"/>
  <c r="D154" i="18"/>
  <c r="B154" i="18"/>
  <c r="F153" i="18"/>
  <c r="D153" i="18"/>
  <c r="B153" i="18"/>
  <c r="F152" i="18"/>
  <c r="D152" i="18"/>
  <c r="B152" i="18"/>
  <c r="F151" i="18"/>
  <c r="D151" i="18"/>
  <c r="B151" i="18"/>
  <c r="F150" i="18"/>
  <c r="D150" i="18"/>
  <c r="B150" i="18"/>
  <c r="F149" i="18"/>
  <c r="D149" i="18"/>
  <c r="B149" i="18"/>
  <c r="F148" i="18"/>
  <c r="D148" i="18"/>
  <c r="B148" i="18"/>
  <c r="F147" i="18"/>
  <c r="D147" i="18"/>
  <c r="B147" i="18"/>
  <c r="F146" i="18"/>
  <c r="D146" i="18"/>
  <c r="B146" i="18"/>
  <c r="F145" i="18"/>
  <c r="D145" i="18"/>
  <c r="B145" i="18"/>
  <c r="F144" i="18"/>
  <c r="D144" i="18"/>
  <c r="B144" i="18"/>
  <c r="F143" i="18"/>
  <c r="D143" i="18"/>
  <c r="B143" i="18"/>
  <c r="F142" i="18"/>
  <c r="D142" i="18"/>
  <c r="B142" i="18"/>
  <c r="F141" i="18"/>
  <c r="D141" i="18"/>
  <c r="B141" i="18"/>
  <c r="F140" i="18"/>
  <c r="D140" i="18"/>
  <c r="B140" i="18"/>
  <c r="F139" i="18"/>
  <c r="D139" i="18"/>
  <c r="B139" i="18"/>
  <c r="F138" i="18"/>
  <c r="D138" i="18"/>
  <c r="B138" i="18"/>
  <c r="F137" i="18"/>
  <c r="D137" i="18"/>
  <c r="B137" i="18"/>
  <c r="F136" i="18"/>
  <c r="D136" i="18"/>
  <c r="B136" i="18"/>
  <c r="F135" i="18"/>
  <c r="D135" i="18"/>
  <c r="B135" i="18"/>
  <c r="F134" i="18"/>
  <c r="D134" i="18"/>
  <c r="B134" i="18"/>
  <c r="F133" i="18"/>
  <c r="D133" i="18"/>
  <c r="B133" i="18"/>
  <c r="F132" i="18"/>
  <c r="D132" i="18"/>
  <c r="B132" i="18"/>
  <c r="F131" i="18"/>
  <c r="D131" i="18"/>
  <c r="B131" i="18"/>
  <c r="F130" i="18"/>
  <c r="D130" i="18"/>
  <c r="B130" i="18"/>
  <c r="F129" i="18"/>
  <c r="D129" i="18"/>
  <c r="B129" i="18"/>
  <c r="F128" i="18"/>
  <c r="D128" i="18"/>
  <c r="B128" i="18"/>
  <c r="F127" i="18"/>
  <c r="D127" i="18"/>
  <c r="B127" i="18"/>
  <c r="F126" i="18"/>
  <c r="D126" i="18"/>
  <c r="B126" i="18"/>
  <c r="F125" i="18"/>
  <c r="D125" i="18"/>
  <c r="B125" i="18"/>
  <c r="F124" i="18"/>
  <c r="D124" i="18"/>
  <c r="B124" i="18"/>
  <c r="F123" i="18"/>
  <c r="D123" i="18"/>
  <c r="B123" i="18"/>
  <c r="F122" i="18"/>
  <c r="D122" i="18"/>
  <c r="B122" i="18"/>
  <c r="F121" i="18"/>
  <c r="D121" i="18"/>
  <c r="B121" i="18"/>
  <c r="F120" i="18"/>
  <c r="D120" i="18"/>
  <c r="B120" i="18"/>
  <c r="F119" i="18"/>
  <c r="D119" i="18"/>
  <c r="B119" i="18"/>
  <c r="F118" i="18"/>
  <c r="D118" i="18"/>
  <c r="B118" i="18"/>
  <c r="F117" i="18"/>
  <c r="D117" i="18"/>
  <c r="B117" i="18"/>
  <c r="F116" i="18"/>
  <c r="D116" i="18"/>
  <c r="B116" i="18"/>
  <c r="F115" i="18"/>
  <c r="D115" i="18"/>
  <c r="B115" i="18"/>
  <c r="F114" i="18"/>
  <c r="D114" i="18"/>
  <c r="B114" i="18"/>
  <c r="F113" i="18"/>
  <c r="D113" i="18"/>
  <c r="B113" i="18"/>
  <c r="F112" i="18"/>
  <c r="D112" i="18"/>
  <c r="B112" i="18"/>
  <c r="F111" i="18"/>
  <c r="D111" i="18"/>
  <c r="B111" i="18"/>
  <c r="F110" i="18"/>
  <c r="D110" i="18"/>
  <c r="B110" i="18"/>
  <c r="F109" i="18"/>
  <c r="D109" i="18"/>
  <c r="B109" i="18"/>
  <c r="F108" i="18"/>
  <c r="D108" i="18"/>
  <c r="B108" i="18"/>
  <c r="F107" i="18"/>
  <c r="D107" i="18"/>
  <c r="B107" i="18"/>
  <c r="F106" i="18"/>
  <c r="D106" i="18"/>
  <c r="B106" i="18"/>
  <c r="F105" i="18"/>
  <c r="D105" i="18"/>
  <c r="B105" i="18"/>
  <c r="F104" i="18"/>
  <c r="D104" i="18"/>
  <c r="B104" i="18"/>
  <c r="F103" i="18"/>
  <c r="D103" i="18"/>
  <c r="B103" i="18"/>
  <c r="F102" i="18"/>
  <c r="D102" i="18"/>
  <c r="B102" i="18"/>
  <c r="F101" i="18"/>
  <c r="D101" i="18"/>
  <c r="B101" i="18"/>
  <c r="F100" i="18"/>
  <c r="D100" i="18"/>
  <c r="B100" i="18"/>
  <c r="F99" i="18"/>
  <c r="D99" i="18"/>
  <c r="B99" i="18"/>
  <c r="F98" i="18"/>
  <c r="D98" i="18"/>
  <c r="B98" i="18"/>
  <c r="F97" i="18"/>
  <c r="D97" i="18"/>
  <c r="B97" i="18"/>
  <c r="F96" i="18"/>
  <c r="D96" i="18"/>
  <c r="B96" i="18"/>
  <c r="F95" i="18"/>
  <c r="D95" i="18"/>
  <c r="B95" i="18"/>
  <c r="F94" i="18"/>
  <c r="D94" i="18"/>
  <c r="B94" i="18"/>
  <c r="F93" i="18"/>
  <c r="D93" i="18"/>
  <c r="B93" i="18"/>
  <c r="F92" i="18"/>
  <c r="D92" i="18"/>
  <c r="B92" i="18"/>
  <c r="F91" i="18"/>
  <c r="D91" i="18"/>
  <c r="B91" i="18"/>
  <c r="F90" i="18"/>
  <c r="D90" i="18"/>
  <c r="B90" i="18"/>
  <c r="F89" i="18"/>
  <c r="D89" i="18"/>
  <c r="B89" i="18"/>
  <c r="B88" i="18"/>
  <c r="B87" i="18"/>
  <c r="B86" i="18"/>
  <c r="F85" i="18"/>
  <c r="D85" i="18"/>
  <c r="B85" i="18"/>
  <c r="F84" i="18"/>
  <c r="D84" i="18"/>
  <c r="B84" i="18"/>
  <c r="F83" i="18"/>
  <c r="D83" i="18"/>
  <c r="B83" i="18"/>
  <c r="F82" i="18"/>
  <c r="D82" i="18"/>
  <c r="B82" i="18"/>
  <c r="F81" i="18"/>
  <c r="D81" i="18"/>
  <c r="B81" i="18"/>
  <c r="F80" i="18"/>
  <c r="D80" i="18"/>
  <c r="B80" i="18"/>
  <c r="F79" i="18"/>
  <c r="D79" i="18"/>
  <c r="B79" i="18"/>
  <c r="F78" i="18"/>
  <c r="D78" i="18"/>
  <c r="B78" i="18"/>
  <c r="F77" i="18"/>
  <c r="D77" i="18"/>
  <c r="B77" i="18"/>
  <c r="F76" i="18"/>
  <c r="D76" i="18"/>
  <c r="B76" i="18"/>
  <c r="F75" i="18"/>
  <c r="D75" i="18"/>
  <c r="B75" i="18"/>
  <c r="F74" i="18"/>
  <c r="D74" i="18"/>
  <c r="B74" i="18"/>
  <c r="F73" i="18"/>
  <c r="D73" i="18"/>
  <c r="B73" i="18"/>
  <c r="F72" i="18"/>
  <c r="D72" i="18"/>
  <c r="B72" i="18"/>
  <c r="F71" i="18"/>
  <c r="D71" i="18"/>
  <c r="B71" i="18"/>
  <c r="F70" i="18"/>
  <c r="D70" i="18"/>
  <c r="B70" i="18"/>
  <c r="F69" i="18"/>
  <c r="D69" i="18"/>
  <c r="B69" i="18"/>
  <c r="F68" i="18"/>
  <c r="D68" i="18"/>
  <c r="B68" i="18"/>
  <c r="F67" i="18"/>
  <c r="D67" i="18"/>
  <c r="B67" i="18"/>
  <c r="F66" i="18"/>
  <c r="D66" i="18"/>
  <c r="B66" i="18"/>
  <c r="F65" i="18"/>
  <c r="D65" i="18"/>
  <c r="B65" i="18"/>
  <c r="F64" i="18"/>
  <c r="D64" i="18"/>
  <c r="B64" i="18"/>
  <c r="F63" i="18"/>
  <c r="D63" i="18"/>
  <c r="B63" i="18"/>
  <c r="F62" i="18"/>
  <c r="D62" i="18"/>
  <c r="B62" i="18"/>
  <c r="F61" i="18"/>
  <c r="D61" i="18"/>
  <c r="B61" i="18"/>
  <c r="F60" i="18"/>
  <c r="D60" i="18"/>
  <c r="B60" i="18"/>
  <c r="F59" i="18"/>
  <c r="D59" i="18"/>
  <c r="B59" i="18"/>
  <c r="F58" i="18"/>
  <c r="D58" i="18"/>
  <c r="B58" i="18"/>
  <c r="F57" i="18"/>
  <c r="D57" i="18"/>
  <c r="B57" i="18"/>
  <c r="F56" i="18"/>
  <c r="D56" i="18"/>
  <c r="B56" i="18"/>
  <c r="F55" i="18"/>
  <c r="D55" i="18"/>
  <c r="B55" i="18"/>
  <c r="F54" i="18"/>
  <c r="D54" i="18"/>
  <c r="B54" i="18"/>
  <c r="F53" i="18"/>
  <c r="D53" i="18"/>
  <c r="B53" i="18"/>
  <c r="F52" i="18"/>
  <c r="D52" i="18"/>
  <c r="B52" i="18"/>
  <c r="F51" i="18"/>
  <c r="D51" i="18"/>
  <c r="B51" i="18"/>
  <c r="F50" i="18"/>
  <c r="D50" i="18"/>
  <c r="B50" i="18"/>
  <c r="F49" i="18"/>
  <c r="D49" i="18"/>
  <c r="B49" i="18"/>
  <c r="F48" i="18"/>
  <c r="D48" i="18"/>
  <c r="B48" i="18"/>
  <c r="F47" i="18"/>
  <c r="D47" i="18"/>
  <c r="B47" i="18"/>
  <c r="F46" i="18"/>
  <c r="D46" i="18"/>
  <c r="B46" i="18"/>
  <c r="F45" i="18"/>
  <c r="D45" i="18"/>
  <c r="B45" i="18"/>
  <c r="F44" i="18"/>
  <c r="D44" i="18"/>
  <c r="B44" i="18"/>
  <c r="F42" i="18"/>
  <c r="D42" i="18"/>
  <c r="B42" i="18"/>
  <c r="F41" i="18"/>
  <c r="D41" i="18"/>
  <c r="B41" i="18"/>
  <c r="F40" i="18"/>
  <c r="D40" i="18"/>
  <c r="B40" i="18"/>
  <c r="F39" i="18"/>
  <c r="D39" i="18"/>
  <c r="B39" i="18"/>
  <c r="F38" i="18"/>
  <c r="D38" i="18"/>
  <c r="B38" i="18"/>
  <c r="F37" i="18"/>
  <c r="D37" i="18"/>
  <c r="B37" i="18"/>
  <c r="F36" i="18"/>
  <c r="D36" i="18"/>
  <c r="B36" i="18"/>
  <c r="F35" i="18"/>
  <c r="D35" i="18"/>
  <c r="B35" i="18"/>
  <c r="F34" i="18"/>
  <c r="D34" i="18"/>
  <c r="B34" i="18"/>
  <c r="F33" i="18"/>
  <c r="D33" i="18"/>
  <c r="B33" i="18"/>
  <c r="F32" i="18"/>
  <c r="D32" i="18"/>
  <c r="B32" i="18"/>
  <c r="F31" i="18"/>
  <c r="D31" i="18"/>
  <c r="B31" i="18"/>
  <c r="F30" i="18"/>
  <c r="D30" i="18"/>
  <c r="B30" i="18"/>
  <c r="F29" i="18"/>
  <c r="D29" i="18"/>
  <c r="B29" i="18"/>
  <c r="F28" i="18"/>
  <c r="D28" i="18"/>
  <c r="B28" i="18"/>
  <c r="F27" i="18"/>
  <c r="D27" i="18"/>
  <c r="B27" i="18"/>
  <c r="F26" i="18"/>
  <c r="D26" i="18"/>
  <c r="B26" i="18"/>
  <c r="F25" i="18"/>
  <c r="D25" i="18"/>
  <c r="B25" i="18"/>
  <c r="F24" i="18"/>
  <c r="D24" i="18"/>
  <c r="B24" i="18"/>
  <c r="F23" i="18"/>
  <c r="D23" i="18"/>
  <c r="B23" i="18"/>
  <c r="F22" i="18"/>
  <c r="D22" i="18"/>
  <c r="B22" i="18"/>
  <c r="F21" i="18"/>
  <c r="D21" i="18"/>
  <c r="B21" i="18"/>
  <c r="F20" i="18"/>
  <c r="D20" i="18"/>
  <c r="B20" i="18"/>
  <c r="F19" i="18"/>
  <c r="D19" i="18"/>
  <c r="B19" i="18"/>
  <c r="F18" i="18"/>
  <c r="D18" i="18"/>
  <c r="B18" i="18"/>
  <c r="F17" i="18"/>
  <c r="D17" i="18"/>
  <c r="B17" i="18"/>
  <c r="F16" i="18"/>
  <c r="D16" i="18"/>
  <c r="B16" i="18"/>
  <c r="F15" i="18"/>
  <c r="D15" i="18"/>
  <c r="B15" i="18"/>
  <c r="F14" i="18"/>
  <c r="D14" i="18"/>
  <c r="B14" i="18"/>
  <c r="F13" i="18"/>
  <c r="D13" i="18"/>
  <c r="B13" i="18"/>
  <c r="F12" i="18"/>
  <c r="D12" i="18"/>
  <c r="B12" i="18"/>
  <c r="F11" i="18"/>
  <c r="D11" i="18"/>
  <c r="B11" i="18"/>
  <c r="F10" i="18"/>
  <c r="D10" i="18"/>
  <c r="B10" i="18"/>
  <c r="F9" i="18"/>
  <c r="D9" i="18"/>
  <c r="B9" i="18"/>
  <c r="F8" i="18"/>
  <c r="D8" i="18"/>
  <c r="B8" i="18"/>
  <c r="F7" i="18"/>
  <c r="D7" i="18"/>
  <c r="B7" i="18"/>
  <c r="F6" i="18"/>
  <c r="D6" i="18"/>
  <c r="B6" i="18"/>
  <c r="F5" i="18"/>
  <c r="D5" i="18"/>
  <c r="B5" i="18"/>
  <c r="F4" i="18"/>
  <c r="D4" i="18"/>
  <c r="B4" i="18"/>
  <c r="F3" i="18"/>
  <c r="D3" i="18"/>
  <c r="B3" i="18"/>
  <c r="F2" i="18"/>
  <c r="D2" i="18"/>
  <c r="B2" i="18"/>
  <c r="AG149" i="4" l="1"/>
  <c r="AM103" i="4" l="1"/>
  <c r="K54" i="5" l="1"/>
  <c r="C48" i="15" l="1"/>
  <c r="AI14" i="1" l="1"/>
  <c r="C44" i="17" l="1"/>
  <c r="C70" i="15" l="1"/>
  <c r="C63" i="15"/>
  <c r="C61" i="15"/>
  <c r="C64" i="12"/>
  <c r="C63" i="12"/>
  <c r="C65" i="12"/>
  <c r="K187" i="8" l="1"/>
  <c r="K158" i="8"/>
  <c r="B4" i="8"/>
  <c r="K56" i="4" l="1"/>
  <c r="H70" i="4" l="1"/>
  <c r="AG143" i="4"/>
  <c r="AG142" i="4"/>
  <c r="N142" i="4"/>
  <c r="N143" i="4"/>
  <c r="K142" i="4"/>
  <c r="K143" i="4"/>
  <c r="J125" i="4" l="1"/>
  <c r="N8" i="6" l="1"/>
  <c r="N6" i="6"/>
  <c r="N6" i="3"/>
  <c r="N149" i="1" l="1"/>
  <c r="K149" i="1"/>
  <c r="AI18" i="1"/>
  <c r="AF17" i="1"/>
  <c r="N17" i="1"/>
  <c r="K154" i="1" l="1"/>
  <c r="K45" i="1"/>
  <c r="AC184" i="2" l="1"/>
  <c r="F21" i="6" l="1"/>
  <c r="AI14" i="5" l="1"/>
  <c r="N127" i="1" l="1"/>
  <c r="N103" i="4" l="1"/>
  <c r="M106" i="4"/>
  <c r="H200" i="1" l="1"/>
  <c r="K171" i="4" l="1"/>
  <c r="K170" i="4"/>
  <c r="K169" i="4"/>
  <c r="AM136" i="5" l="1"/>
  <c r="AM128" i="3"/>
  <c r="AM127" i="3"/>
  <c r="AM120" i="3"/>
  <c r="AM113" i="3"/>
  <c r="AM110" i="3"/>
  <c r="AM108" i="3"/>
  <c r="AM53" i="3"/>
  <c r="AM67" i="2"/>
  <c r="AM65" i="2"/>
  <c r="AM80" i="2"/>
  <c r="AM105" i="2"/>
  <c r="AM111" i="2"/>
  <c r="AM113" i="2"/>
  <c r="AM112" i="2"/>
  <c r="AM110" i="2"/>
  <c r="AM109" i="2"/>
  <c r="AM162" i="2"/>
  <c r="AM158" i="4"/>
  <c r="AM155" i="4"/>
  <c r="AM90" i="4"/>
  <c r="AM81" i="4"/>
  <c r="AM44" i="4"/>
  <c r="AM43" i="4"/>
  <c r="AM42" i="4"/>
  <c r="AM35" i="4"/>
  <c r="AM38" i="6"/>
  <c r="AM24" i="6"/>
  <c r="AM28" i="6"/>
  <c r="AM170" i="4"/>
  <c r="AM160" i="4"/>
  <c r="AM166" i="4"/>
  <c r="AM165" i="4"/>
  <c r="AM164" i="4"/>
  <c r="AM163" i="4"/>
  <c r="AM162" i="4"/>
  <c r="AM161" i="4"/>
  <c r="AM159" i="4" l="1"/>
  <c r="Q158" i="8" s="1"/>
  <c r="AM19" i="3" l="1"/>
  <c r="AL50" i="2"/>
  <c r="AL51" i="2"/>
  <c r="AM42" i="2"/>
  <c r="AM16" i="2"/>
  <c r="AM25" i="1"/>
  <c r="AM13" i="1"/>
  <c r="K44" i="3" l="1"/>
  <c r="AG132" i="1" l="1"/>
  <c r="J34" i="1" l="1"/>
  <c r="H39" i="6"/>
  <c r="R39" i="6" s="1"/>
  <c r="V39" i="6" s="1"/>
  <c r="W39" i="6" s="1"/>
  <c r="AK39" i="6" s="1"/>
  <c r="AL36" i="6"/>
  <c r="AL37" i="6"/>
  <c r="AD74" i="1"/>
  <c r="AG74" i="1" s="1"/>
  <c r="AL75" i="1"/>
  <c r="N45" i="1"/>
  <c r="AL13" i="1"/>
  <c r="AN39" i="6" l="1"/>
  <c r="AN31" i="6" s="1"/>
  <c r="AN30" i="6" s="1"/>
  <c r="AK31" i="6"/>
  <c r="AK30" i="6" s="1"/>
  <c r="AK3" i="6" s="1"/>
  <c r="O198" i="8" s="1"/>
  <c r="J9" i="7" s="1"/>
  <c r="H140" i="5"/>
  <c r="AG95" i="1" l="1"/>
  <c r="AG93" i="1"/>
  <c r="AF93" i="1"/>
  <c r="AD51" i="6" l="1"/>
  <c r="AG51" i="6" s="1"/>
  <c r="AG50" i="6"/>
  <c r="AG49" i="6"/>
  <c r="AG48" i="6"/>
  <c r="AD45" i="6"/>
  <c r="AG45" i="6" s="1"/>
  <c r="AD44" i="6"/>
  <c r="AG44" i="6" s="1"/>
  <c r="AM43" i="6"/>
  <c r="AD37" i="6"/>
  <c r="AG37" i="6" s="1"/>
  <c r="N52" i="6"/>
  <c r="N51" i="6"/>
  <c r="N50" i="6"/>
  <c r="N49" i="6"/>
  <c r="N48" i="6"/>
  <c r="N46" i="6"/>
  <c r="N45" i="6"/>
  <c r="N44" i="6"/>
  <c r="N43" i="6"/>
  <c r="N42" i="6"/>
  <c r="N41" i="6"/>
  <c r="N39" i="6"/>
  <c r="N37" i="6"/>
  <c r="N36" i="6"/>
  <c r="N35" i="6"/>
  <c r="N34" i="6"/>
  <c r="N33" i="6"/>
  <c r="K52" i="6"/>
  <c r="K51" i="6"/>
  <c r="K50" i="6"/>
  <c r="K49" i="6"/>
  <c r="K48" i="6"/>
  <c r="K46" i="6"/>
  <c r="K45" i="6"/>
  <c r="K44" i="6"/>
  <c r="K43" i="6"/>
  <c r="K42" i="6"/>
  <c r="K41" i="6"/>
  <c r="K39" i="6"/>
  <c r="K37" i="6"/>
  <c r="K36" i="6"/>
  <c r="K35" i="6"/>
  <c r="K34" i="6"/>
  <c r="K33" i="6"/>
  <c r="AG28" i="6"/>
  <c r="AG27" i="6"/>
  <c r="AG20" i="6"/>
  <c r="AG19" i="6"/>
  <c r="AG16" i="6"/>
  <c r="AG15" i="6"/>
  <c r="N29" i="6"/>
  <c r="N28" i="6"/>
  <c r="N27" i="6"/>
  <c r="N26" i="6"/>
  <c r="N25" i="6"/>
  <c r="N24" i="6"/>
  <c r="N23" i="6"/>
  <c r="N21" i="6"/>
  <c r="N20" i="6"/>
  <c r="N19" i="6"/>
  <c r="N18" i="6"/>
  <c r="N17" i="6"/>
  <c r="N16" i="6"/>
  <c r="N15" i="6"/>
  <c r="K29" i="6"/>
  <c r="K28" i="6"/>
  <c r="K27" i="6"/>
  <c r="K26" i="6"/>
  <c r="K25" i="6"/>
  <c r="K24" i="6"/>
  <c r="K23" i="6"/>
  <c r="K21" i="6"/>
  <c r="K20" i="6"/>
  <c r="K19" i="6"/>
  <c r="K18" i="6"/>
  <c r="K17" i="6"/>
  <c r="K16" i="6"/>
  <c r="K15" i="6"/>
  <c r="AM11" i="6"/>
  <c r="AM8" i="6"/>
  <c r="AM7" i="6"/>
  <c r="N7" i="6"/>
  <c r="N13" i="6"/>
  <c r="N12" i="6"/>
  <c r="K13" i="6"/>
  <c r="K12" i="6"/>
  <c r="K8" i="6"/>
  <c r="K7" i="6"/>
  <c r="K6" i="6"/>
  <c r="AG125" i="5"/>
  <c r="AD127" i="5"/>
  <c r="AG127" i="5" s="1"/>
  <c r="N141" i="5"/>
  <c r="N140" i="5"/>
  <c r="N138" i="5"/>
  <c r="N137" i="5"/>
  <c r="N136" i="5"/>
  <c r="N135" i="5"/>
  <c r="N133" i="5"/>
  <c r="N132" i="5"/>
  <c r="N130" i="5"/>
  <c r="N128" i="5"/>
  <c r="N127" i="5"/>
  <c r="N126" i="5"/>
  <c r="N125" i="5"/>
  <c r="N124" i="5"/>
  <c r="N122" i="5"/>
  <c r="N121" i="5"/>
  <c r="N120" i="5"/>
  <c r="N119" i="5"/>
  <c r="N118" i="5"/>
  <c r="N117" i="5"/>
  <c r="N115" i="5"/>
  <c r="N114" i="5"/>
  <c r="N113" i="5"/>
  <c r="N112" i="5"/>
  <c r="N111" i="5"/>
  <c r="K141" i="5"/>
  <c r="K140" i="5"/>
  <c r="K138" i="5"/>
  <c r="K137" i="5"/>
  <c r="K136" i="5"/>
  <c r="K135" i="5"/>
  <c r="K133" i="5"/>
  <c r="K132" i="5"/>
  <c r="K130" i="5"/>
  <c r="K128" i="5"/>
  <c r="K127" i="5"/>
  <c r="K126" i="5"/>
  <c r="K125" i="5"/>
  <c r="K124" i="5"/>
  <c r="K122" i="5"/>
  <c r="K121" i="5"/>
  <c r="K120" i="5"/>
  <c r="K119" i="5"/>
  <c r="K118" i="5"/>
  <c r="K117" i="5"/>
  <c r="K115" i="5"/>
  <c r="K114" i="5"/>
  <c r="K113" i="5"/>
  <c r="K112" i="5"/>
  <c r="K111" i="5"/>
  <c r="AK83" i="5"/>
  <c r="AN83" i="5" s="1"/>
  <c r="AK82" i="5"/>
  <c r="AN82" i="5" s="1"/>
  <c r="AK81" i="5"/>
  <c r="AN81" i="5" s="1"/>
  <c r="AD80" i="5"/>
  <c r="AG80" i="5" s="1"/>
  <c r="AG79" i="5"/>
  <c r="N108" i="5"/>
  <c r="N107" i="5"/>
  <c r="N106" i="5"/>
  <c r="N104" i="5"/>
  <c r="N103" i="5"/>
  <c r="N102" i="5"/>
  <c r="N101" i="5"/>
  <c r="N100" i="5"/>
  <c r="N98" i="5"/>
  <c r="N97" i="5"/>
  <c r="N96" i="5"/>
  <c r="N95" i="5"/>
  <c r="N93" i="5"/>
  <c r="N92" i="5" s="1"/>
  <c r="J187" i="8" s="1"/>
  <c r="N90" i="5"/>
  <c r="N88" i="5"/>
  <c r="N87" i="5"/>
  <c r="N86" i="5"/>
  <c r="N84" i="5"/>
  <c r="N83" i="5"/>
  <c r="N82" i="5"/>
  <c r="N81" i="5"/>
  <c r="N80" i="5"/>
  <c r="N79" i="5"/>
  <c r="K108" i="5"/>
  <c r="K107" i="5"/>
  <c r="K106" i="5"/>
  <c r="K104" i="5"/>
  <c r="K103" i="5"/>
  <c r="K102" i="5"/>
  <c r="K101" i="5"/>
  <c r="K100" i="5"/>
  <c r="K98" i="5"/>
  <c r="K97" i="5"/>
  <c r="K96" i="5"/>
  <c r="K95" i="5"/>
  <c r="K93" i="5"/>
  <c r="K92" i="5" s="1"/>
  <c r="E187" i="8" s="1"/>
  <c r="K90" i="5"/>
  <c r="K88" i="5"/>
  <c r="K87" i="5"/>
  <c r="K86" i="5"/>
  <c r="K84" i="5"/>
  <c r="K83" i="5"/>
  <c r="K82" i="5"/>
  <c r="K81" i="5"/>
  <c r="K80" i="5"/>
  <c r="K79" i="5"/>
  <c r="N76" i="5"/>
  <c r="N75" i="5"/>
  <c r="K76" i="5"/>
  <c r="K75" i="5"/>
  <c r="N73" i="5"/>
  <c r="N72" i="5"/>
  <c r="N71" i="5"/>
  <c r="N70" i="5"/>
  <c r="N69" i="5"/>
  <c r="K73" i="5"/>
  <c r="K72" i="5"/>
  <c r="K71" i="5"/>
  <c r="K70" i="5"/>
  <c r="K69" i="5"/>
  <c r="N67" i="5"/>
  <c r="N66" i="5" s="1"/>
  <c r="J181" i="8" s="1"/>
  <c r="K67" i="5"/>
  <c r="K66" i="5" s="1"/>
  <c r="E181" i="8" s="1"/>
  <c r="N65" i="5"/>
  <c r="N64" i="5"/>
  <c r="N63" i="5"/>
  <c r="N62" i="5"/>
  <c r="K65" i="5"/>
  <c r="K64" i="5"/>
  <c r="K63" i="5"/>
  <c r="K62" i="5"/>
  <c r="N60" i="5"/>
  <c r="N59" i="5"/>
  <c r="K60" i="5"/>
  <c r="K59" i="5"/>
  <c r="AD54" i="5"/>
  <c r="AG54" i="5" s="1"/>
  <c r="N56" i="5"/>
  <c r="N55" i="5" s="1"/>
  <c r="J177" i="8" s="1"/>
  <c r="K56" i="5"/>
  <c r="K55" i="5" s="1"/>
  <c r="E177" i="8" s="1"/>
  <c r="N54" i="5"/>
  <c r="N53" i="5"/>
  <c r="N52" i="5"/>
  <c r="N51" i="5"/>
  <c r="N50" i="5"/>
  <c r="K53" i="5"/>
  <c r="K52" i="5"/>
  <c r="K51" i="5"/>
  <c r="K50" i="5"/>
  <c r="AG42" i="5"/>
  <c r="N47" i="5"/>
  <c r="N46" i="5"/>
  <c r="N45" i="5"/>
  <c r="N44" i="5"/>
  <c r="N42" i="5"/>
  <c r="N41" i="5"/>
  <c r="N39" i="5"/>
  <c r="N38" i="5"/>
  <c r="N37" i="5"/>
  <c r="N35" i="5"/>
  <c r="N34" i="5"/>
  <c r="N33" i="5"/>
  <c r="N31" i="5"/>
  <c r="N30" i="5" s="1"/>
  <c r="J170" i="8" s="1"/>
  <c r="N28" i="5"/>
  <c r="N27" i="5"/>
  <c r="N25" i="5"/>
  <c r="N24" i="5"/>
  <c r="N22" i="5"/>
  <c r="N21" i="5"/>
  <c r="N20" i="5"/>
  <c r="N19" i="5"/>
  <c r="K47" i="5"/>
  <c r="K46" i="5"/>
  <c r="K45" i="5"/>
  <c r="K44" i="5"/>
  <c r="K42" i="5"/>
  <c r="K41" i="5"/>
  <c r="K39" i="5"/>
  <c r="K38" i="5"/>
  <c r="K37" i="5"/>
  <c r="K35" i="5"/>
  <c r="K34" i="5"/>
  <c r="K33" i="5"/>
  <c r="K31" i="5"/>
  <c r="K30" i="5" s="1"/>
  <c r="E170" i="8" s="1"/>
  <c r="K28" i="5"/>
  <c r="K27" i="5"/>
  <c r="K25" i="5"/>
  <c r="K24" i="5"/>
  <c r="K22" i="5"/>
  <c r="K21" i="5"/>
  <c r="K20" i="5"/>
  <c r="K19" i="5"/>
  <c r="AM8" i="5"/>
  <c r="K6" i="5"/>
  <c r="N6" i="5"/>
  <c r="N16" i="5"/>
  <c r="N15" i="5"/>
  <c r="N14" i="5"/>
  <c r="N13" i="5"/>
  <c r="K16" i="5"/>
  <c r="K15" i="5"/>
  <c r="K14" i="5"/>
  <c r="K13" i="5"/>
  <c r="N8" i="5"/>
  <c r="N11" i="5"/>
  <c r="N10" i="5"/>
  <c r="K8" i="5"/>
  <c r="K11" i="5"/>
  <c r="K10" i="5"/>
  <c r="AG170" i="4"/>
  <c r="N168" i="4"/>
  <c r="J160" i="8" s="1"/>
  <c r="J159" i="8" s="1"/>
  <c r="K168" i="4"/>
  <c r="E160" i="8" s="1"/>
  <c r="E159" i="8" s="1"/>
  <c r="AG166" i="4"/>
  <c r="AG165" i="4"/>
  <c r="AG164" i="4"/>
  <c r="AG161" i="4"/>
  <c r="AG160" i="4"/>
  <c r="AG158" i="4"/>
  <c r="AG157" i="4"/>
  <c r="AG155" i="4"/>
  <c r="AG163" i="4"/>
  <c r="AG162" i="4"/>
  <c r="AG139" i="4"/>
  <c r="AD156" i="4"/>
  <c r="AM147" i="4"/>
  <c r="AM139" i="4"/>
  <c r="AD138" i="4"/>
  <c r="AG138" i="4" s="1"/>
  <c r="N166" i="4"/>
  <c r="N165" i="4"/>
  <c r="N164" i="4"/>
  <c r="N163" i="4"/>
  <c r="N162" i="4"/>
  <c r="N161" i="4"/>
  <c r="N160" i="4"/>
  <c r="N158" i="4"/>
  <c r="N157" i="4"/>
  <c r="N156" i="4"/>
  <c r="N155" i="4"/>
  <c r="N154" i="4"/>
  <c r="N152" i="4"/>
  <c r="N151" i="4"/>
  <c r="N149" i="4"/>
  <c r="N148" i="4"/>
  <c r="N147" i="4"/>
  <c r="N146" i="4"/>
  <c r="N145" i="4"/>
  <c r="N141" i="4"/>
  <c r="N139" i="4"/>
  <c r="N138" i="4"/>
  <c r="N137" i="4"/>
  <c r="K166" i="4"/>
  <c r="K165" i="4"/>
  <c r="K164" i="4"/>
  <c r="K163" i="4"/>
  <c r="K162" i="4"/>
  <c r="K161" i="4"/>
  <c r="K160" i="4"/>
  <c r="K158" i="4"/>
  <c r="K157" i="4"/>
  <c r="K156" i="4"/>
  <c r="K155" i="4"/>
  <c r="K154" i="4"/>
  <c r="K152" i="4"/>
  <c r="K151" i="4"/>
  <c r="K149" i="4"/>
  <c r="K148" i="4"/>
  <c r="K147" i="4"/>
  <c r="K146" i="4"/>
  <c r="K145" i="4"/>
  <c r="K141" i="4"/>
  <c r="K139" i="4"/>
  <c r="K138" i="4"/>
  <c r="K137" i="4"/>
  <c r="AL98" i="4"/>
  <c r="AM130" i="4"/>
  <c r="AM126" i="4"/>
  <c r="AM124" i="4"/>
  <c r="N134" i="4"/>
  <c r="N132" i="4"/>
  <c r="N131" i="4"/>
  <c r="N130" i="4"/>
  <c r="N129" i="4"/>
  <c r="N128" i="4"/>
  <c r="N127" i="4"/>
  <c r="N126" i="4"/>
  <c r="N124" i="4"/>
  <c r="N123" i="4"/>
  <c r="N120" i="4"/>
  <c r="N119" i="4"/>
  <c r="N118" i="4"/>
  <c r="N117" i="4"/>
  <c r="N116" i="4"/>
  <c r="N115" i="4"/>
  <c r="N114" i="4"/>
  <c r="N113" i="4"/>
  <c r="N112" i="4"/>
  <c r="N111" i="4"/>
  <c r="N110" i="4"/>
  <c r="N104" i="4"/>
  <c r="N102" i="4"/>
  <c r="N101" i="4"/>
  <c r="K134" i="4"/>
  <c r="K132" i="4"/>
  <c r="K131" i="4"/>
  <c r="K130" i="4"/>
  <c r="K129" i="4"/>
  <c r="K128" i="4"/>
  <c r="K127" i="4"/>
  <c r="K126" i="4"/>
  <c r="K124" i="4"/>
  <c r="K123" i="4"/>
  <c r="K120" i="4"/>
  <c r="K119" i="4"/>
  <c r="K118" i="4"/>
  <c r="K117" i="4"/>
  <c r="K116" i="4"/>
  <c r="K115" i="4"/>
  <c r="K114" i="4"/>
  <c r="K113" i="4"/>
  <c r="K112" i="4"/>
  <c r="K111" i="4"/>
  <c r="K110" i="4"/>
  <c r="E150" i="8"/>
  <c r="K104" i="4"/>
  <c r="K103" i="4"/>
  <c r="K102" i="4"/>
  <c r="K101" i="4"/>
  <c r="N99" i="4"/>
  <c r="N98" i="4" s="1"/>
  <c r="M99" i="4"/>
  <c r="M98" i="4" s="1"/>
  <c r="K99" i="4"/>
  <c r="K98" i="4" s="1"/>
  <c r="J99" i="4"/>
  <c r="J98" i="4" s="1"/>
  <c r="N96" i="4"/>
  <c r="N95" i="4" s="1"/>
  <c r="J146" i="8" s="1"/>
  <c r="N94" i="4"/>
  <c r="N93" i="4"/>
  <c r="N92" i="4"/>
  <c r="N90" i="4"/>
  <c r="N89" i="4"/>
  <c r="N88" i="4"/>
  <c r="N87" i="4"/>
  <c r="N86" i="4"/>
  <c r="N85" i="4"/>
  <c r="N84" i="4"/>
  <c r="K96" i="4"/>
  <c r="K95" i="4" s="1"/>
  <c r="E146" i="8" s="1"/>
  <c r="K94" i="4"/>
  <c r="K93" i="4"/>
  <c r="K92" i="4"/>
  <c r="K87" i="4"/>
  <c r="K84" i="4"/>
  <c r="K90" i="4"/>
  <c r="K89" i="4"/>
  <c r="K88" i="4"/>
  <c r="K86" i="4"/>
  <c r="K85" i="4"/>
  <c r="AM93" i="4"/>
  <c r="AD92" i="4"/>
  <c r="AD87" i="4"/>
  <c r="AG87" i="4" s="1"/>
  <c r="AG93" i="4"/>
  <c r="AD90" i="4"/>
  <c r="AG90" i="4" s="1"/>
  <c r="AD72" i="4"/>
  <c r="AG72" i="4" s="1"/>
  <c r="AG68" i="4"/>
  <c r="AG67" i="4"/>
  <c r="N81" i="4"/>
  <c r="N80" i="4"/>
  <c r="N78" i="4"/>
  <c r="N77" i="4" s="1"/>
  <c r="J141" i="8" s="1"/>
  <c r="N75" i="4"/>
  <c r="N74" i="4"/>
  <c r="N72" i="4"/>
  <c r="N71" i="4"/>
  <c r="N70" i="4"/>
  <c r="N68" i="4"/>
  <c r="N67" i="4"/>
  <c r="N66" i="4"/>
  <c r="N65" i="4"/>
  <c r="N63" i="4"/>
  <c r="N62" i="4"/>
  <c r="K81" i="4"/>
  <c r="K80" i="4"/>
  <c r="K78" i="4"/>
  <c r="K77" i="4" s="1"/>
  <c r="E141" i="8" s="1"/>
  <c r="K75" i="4"/>
  <c r="K74" i="4"/>
  <c r="K72" i="4"/>
  <c r="K71" i="4"/>
  <c r="K70" i="4"/>
  <c r="K68" i="4"/>
  <c r="K67" i="4"/>
  <c r="K66" i="4"/>
  <c r="K65" i="4"/>
  <c r="K63" i="4"/>
  <c r="K62" i="4"/>
  <c r="N59" i="4"/>
  <c r="N58" i="4"/>
  <c r="N56" i="4"/>
  <c r="N55" i="4"/>
  <c r="N54" i="4"/>
  <c r="N52" i="4"/>
  <c r="N51" i="4"/>
  <c r="N49" i="4"/>
  <c r="N48" i="4"/>
  <c r="N47" i="4"/>
  <c r="N43" i="4"/>
  <c r="N41" i="4"/>
  <c r="N40" i="4"/>
  <c r="K58" i="4"/>
  <c r="K55" i="4"/>
  <c r="K54" i="4"/>
  <c r="K52" i="4"/>
  <c r="K51" i="4"/>
  <c r="K49" i="4"/>
  <c r="K48" i="4"/>
  <c r="K47" i="4"/>
  <c r="K43" i="4"/>
  <c r="K41" i="4"/>
  <c r="K40" i="4"/>
  <c r="AC27" i="4"/>
  <c r="AG36" i="4"/>
  <c r="N36" i="4"/>
  <c r="N35" i="4"/>
  <c r="N34" i="4"/>
  <c r="N32" i="4"/>
  <c r="N31" i="4"/>
  <c r="N30" i="4"/>
  <c r="N29" i="4"/>
  <c r="N28" i="4"/>
  <c r="K36" i="4"/>
  <c r="K35" i="4"/>
  <c r="K34" i="4"/>
  <c r="K32" i="4"/>
  <c r="K31" i="4"/>
  <c r="K30" i="4"/>
  <c r="K29" i="4"/>
  <c r="N25" i="4"/>
  <c r="N24" i="4"/>
  <c r="N23" i="4"/>
  <c r="K25" i="4"/>
  <c r="K24" i="4"/>
  <c r="K23" i="4"/>
  <c r="AG16" i="4"/>
  <c r="AD13" i="4"/>
  <c r="AG13" i="4" s="1"/>
  <c r="AD14" i="4"/>
  <c r="AG14" i="4" s="1"/>
  <c r="AD18" i="4"/>
  <c r="AG18" i="4" s="1"/>
  <c r="N7" i="4"/>
  <c r="N21" i="4"/>
  <c r="N20" i="4"/>
  <c r="N19" i="4"/>
  <c r="N18" i="4"/>
  <c r="N17" i="4"/>
  <c r="N16" i="4"/>
  <c r="N15" i="4"/>
  <c r="N14" i="4"/>
  <c r="N13" i="4"/>
  <c r="N12" i="4"/>
  <c r="N11" i="4"/>
  <c r="N10" i="4"/>
  <c r="N9" i="4"/>
  <c r="N8" i="4"/>
  <c r="N6" i="4"/>
  <c r="K21" i="4"/>
  <c r="K18" i="4"/>
  <c r="K17" i="4"/>
  <c r="K13" i="4"/>
  <c r="K7" i="4"/>
  <c r="AM119" i="4" l="1"/>
  <c r="AM19" i="4"/>
  <c r="AM29" i="6"/>
  <c r="AM98" i="5"/>
  <c r="AD84" i="5"/>
  <c r="AG84" i="5" s="1"/>
  <c r="AM27" i="6"/>
  <c r="AD140" i="5"/>
  <c r="AD41" i="6"/>
  <c r="AG41" i="6" s="1"/>
  <c r="AD42" i="6"/>
  <c r="AG42" i="6" s="1"/>
  <c r="AD19" i="5"/>
  <c r="AD70" i="5"/>
  <c r="AG70" i="5" s="1"/>
  <c r="N141" i="8"/>
  <c r="AD78" i="4"/>
  <c r="AD77" i="4" s="1"/>
  <c r="K141" i="8" s="1"/>
  <c r="AM15" i="6"/>
  <c r="N201" i="8"/>
  <c r="AM34" i="6"/>
  <c r="AD7" i="5"/>
  <c r="AD135" i="5"/>
  <c r="N169" i="8"/>
  <c r="AM88" i="4"/>
  <c r="AD88" i="4"/>
  <c r="AG88" i="4" s="1"/>
  <c r="AM24" i="4"/>
  <c r="AD21" i="4"/>
  <c r="AG21" i="4" s="1"/>
  <c r="AD12" i="4"/>
  <c r="AG12" i="4" s="1"/>
  <c r="AM107" i="4"/>
  <c r="AD107" i="4"/>
  <c r="AD105" i="4" s="1"/>
  <c r="K150" i="8" s="1"/>
  <c r="AM25" i="6"/>
  <c r="AM91" i="5"/>
  <c r="AM20" i="5"/>
  <c r="AL6" i="6"/>
  <c r="AM6" i="6"/>
  <c r="AG37" i="5"/>
  <c r="AD20" i="4"/>
  <c r="AM41" i="4"/>
  <c r="N126" i="8"/>
  <c r="AM138" i="5"/>
  <c r="AM132" i="5"/>
  <c r="AM100" i="5"/>
  <c r="AM34" i="5"/>
  <c r="AM42" i="5"/>
  <c r="AD115" i="5"/>
  <c r="AG115" i="5" s="1"/>
  <c r="AM44" i="5"/>
  <c r="AM130" i="5"/>
  <c r="AM47" i="5"/>
  <c r="N189" i="8"/>
  <c r="AM25" i="5"/>
  <c r="AM35" i="5"/>
  <c r="AM16" i="5"/>
  <c r="AM15" i="5"/>
  <c r="AM14" i="5"/>
  <c r="AM13" i="5"/>
  <c r="AM38" i="5"/>
  <c r="AM11" i="5"/>
  <c r="AM27" i="5"/>
  <c r="AM51" i="5"/>
  <c r="AM50" i="5"/>
  <c r="AM52" i="5"/>
  <c r="AM53" i="5"/>
  <c r="AM29" i="4"/>
  <c r="AM30" i="4"/>
  <c r="AM63" i="4"/>
  <c r="AM28" i="4"/>
  <c r="AM141" i="5"/>
  <c r="AM137" i="5"/>
  <c r="AM133" i="5"/>
  <c r="AM128" i="5"/>
  <c r="AM126" i="5"/>
  <c r="AM124" i="5"/>
  <c r="AM122" i="5"/>
  <c r="AM121" i="5"/>
  <c r="AM120" i="5"/>
  <c r="AM119" i="5"/>
  <c r="AM118" i="5"/>
  <c r="AM117" i="5"/>
  <c r="AM114" i="5"/>
  <c r="AM113" i="5"/>
  <c r="AD169" i="4"/>
  <c r="AD168" i="4" s="1"/>
  <c r="AM97" i="5"/>
  <c r="AM96" i="5"/>
  <c r="AM90" i="5"/>
  <c r="AM87" i="5"/>
  <c r="AM83" i="5"/>
  <c r="AM82" i="5"/>
  <c r="AM81" i="5"/>
  <c r="AM76" i="5"/>
  <c r="AM72" i="5"/>
  <c r="AM71" i="5"/>
  <c r="AM73" i="5"/>
  <c r="AM67" i="5"/>
  <c r="AM66" i="5" s="1"/>
  <c r="AM64" i="5"/>
  <c r="AM65" i="5"/>
  <c r="AM63" i="5"/>
  <c r="AM62" i="5"/>
  <c r="AM60" i="5"/>
  <c r="N135" i="8"/>
  <c r="AM58" i="4"/>
  <c r="AM19" i="6"/>
  <c r="AM21" i="6"/>
  <c r="AM35" i="6"/>
  <c r="AM20" i="6"/>
  <c r="AM36" i="6"/>
  <c r="AM46" i="6"/>
  <c r="AM39" i="6"/>
  <c r="AM16" i="6"/>
  <c r="AM17" i="6"/>
  <c r="AM13" i="6"/>
  <c r="AM18" i="6"/>
  <c r="AM46" i="5"/>
  <c r="AM45" i="5"/>
  <c r="AM94" i="4"/>
  <c r="AM45" i="4"/>
  <c r="AM74" i="4"/>
  <c r="AM113" i="4"/>
  <c r="AM75" i="4"/>
  <c r="AM132" i="4"/>
  <c r="AM17" i="4"/>
  <c r="AM116" i="4"/>
  <c r="AM125" i="4"/>
  <c r="AM133" i="4"/>
  <c r="AM148" i="4"/>
  <c r="AM157" i="4"/>
  <c r="AM80" i="4"/>
  <c r="AM79" i="4" s="1"/>
  <c r="Q142" i="8" s="1"/>
  <c r="AM108" i="4"/>
  <c r="AM117" i="4"/>
  <c r="AM149" i="4"/>
  <c r="AM15" i="4"/>
  <c r="AM7" i="4"/>
  <c r="AM34" i="4"/>
  <c r="AM70" i="4"/>
  <c r="AM89" i="4"/>
  <c r="AM118" i="4"/>
  <c r="AM127" i="4"/>
  <c r="AM151" i="4"/>
  <c r="AM71" i="4"/>
  <c r="AM111" i="4"/>
  <c r="AM128" i="4"/>
  <c r="AM152" i="4"/>
  <c r="AM145" i="4"/>
  <c r="AM154" i="4"/>
  <c r="AM65" i="4"/>
  <c r="AM85" i="4"/>
  <c r="AM104" i="4"/>
  <c r="AM114" i="4"/>
  <c r="AM123" i="4"/>
  <c r="AM131" i="4"/>
  <c r="AM146" i="4"/>
  <c r="AM66" i="4"/>
  <c r="AM86" i="4"/>
  <c r="AM115" i="4"/>
  <c r="AM16" i="4"/>
  <c r="AM25" i="4"/>
  <c r="AM112" i="4"/>
  <c r="AM120" i="4"/>
  <c r="AM129" i="4"/>
  <c r="AM153" i="4"/>
  <c r="AM52" i="4"/>
  <c r="AM48" i="4"/>
  <c r="AM49" i="4"/>
  <c r="AM47" i="4"/>
  <c r="AM21" i="5"/>
  <c r="AM22" i="5"/>
  <c r="AM137" i="4"/>
  <c r="AM56" i="4"/>
  <c r="AM55" i="4"/>
  <c r="AM52" i="6"/>
  <c r="AM108" i="5"/>
  <c r="AM107" i="5"/>
  <c r="AM106" i="5"/>
  <c r="AM104" i="5"/>
  <c r="AM103" i="5"/>
  <c r="AM102" i="5"/>
  <c r="AM101" i="5"/>
  <c r="AM40" i="4"/>
  <c r="N5" i="6"/>
  <c r="J200" i="8" s="1"/>
  <c r="AM33" i="6"/>
  <c r="AM23" i="6"/>
  <c r="AG52" i="6"/>
  <c r="AG47" i="6" s="1"/>
  <c r="K26" i="5"/>
  <c r="AM31" i="4"/>
  <c r="AM110" i="4"/>
  <c r="AM6" i="4"/>
  <c r="AM59" i="4"/>
  <c r="AM51" i="4"/>
  <c r="N133" i="8"/>
  <c r="AG11" i="5"/>
  <c r="N40" i="5"/>
  <c r="J173" i="8" s="1"/>
  <c r="K58" i="5"/>
  <c r="E179" i="8" s="1"/>
  <c r="K74" i="5"/>
  <c r="E183" i="8" s="1"/>
  <c r="AD137" i="5"/>
  <c r="AG137" i="5" s="1"/>
  <c r="K46" i="4"/>
  <c r="E132" i="8" s="1"/>
  <c r="AG96" i="5"/>
  <c r="AD132" i="5"/>
  <c r="AG132" i="5" s="1"/>
  <c r="AD76" i="5"/>
  <c r="AG76" i="5" s="1"/>
  <c r="AG13" i="5"/>
  <c r="N105" i="5"/>
  <c r="J190" i="8" s="1"/>
  <c r="K85" i="5"/>
  <c r="E186" i="8" s="1"/>
  <c r="AD26" i="6"/>
  <c r="AG26" i="6" s="1"/>
  <c r="AD21" i="6"/>
  <c r="AG21" i="6" s="1"/>
  <c r="AD34" i="6"/>
  <c r="AG34" i="6" s="1"/>
  <c r="N23" i="5"/>
  <c r="J168" i="8" s="1"/>
  <c r="K49" i="5"/>
  <c r="E176" i="8" s="1"/>
  <c r="E175" i="8" s="1"/>
  <c r="K139" i="5"/>
  <c r="E197" i="8" s="1"/>
  <c r="AD141" i="5"/>
  <c r="AG141" i="5" s="1"/>
  <c r="AD10" i="5"/>
  <c r="AG10" i="5" s="1"/>
  <c r="AD60" i="5"/>
  <c r="AG60" i="5" s="1"/>
  <c r="K105" i="5"/>
  <c r="E190" i="8" s="1"/>
  <c r="K40" i="5"/>
  <c r="E173" i="8" s="1"/>
  <c r="AD62" i="5"/>
  <c r="AG62" i="5" s="1"/>
  <c r="AD14" i="5"/>
  <c r="AG14" i="5" s="1"/>
  <c r="AD45" i="5"/>
  <c r="AG45" i="5" s="1"/>
  <c r="AG122" i="5"/>
  <c r="AG21" i="5"/>
  <c r="K5" i="5"/>
  <c r="E163" i="8" s="1"/>
  <c r="N58" i="5"/>
  <c r="J179" i="8" s="1"/>
  <c r="AG82" i="5"/>
  <c r="AG23" i="4"/>
  <c r="N69" i="4"/>
  <c r="J139" i="8" s="1"/>
  <c r="K136" i="4"/>
  <c r="E154" i="8" s="1"/>
  <c r="N57" i="4"/>
  <c r="J135" i="8" s="1"/>
  <c r="AM93" i="5"/>
  <c r="N187" i="8"/>
  <c r="H187" i="8" s="1"/>
  <c r="AM24" i="5"/>
  <c r="N168" i="8"/>
  <c r="AM23" i="4"/>
  <c r="K100" i="4"/>
  <c r="E149" i="8" s="1"/>
  <c r="AD46" i="5"/>
  <c r="AG46" i="5" s="1"/>
  <c r="AG83" i="5"/>
  <c r="K53" i="4"/>
  <c r="E134" i="8" s="1"/>
  <c r="N9" i="5"/>
  <c r="J164" i="8" s="1"/>
  <c r="AD8" i="5"/>
  <c r="AG8" i="5" s="1"/>
  <c r="K23" i="5"/>
  <c r="E168" i="8" s="1"/>
  <c r="N26" i="5"/>
  <c r="J169" i="8" s="1"/>
  <c r="N177" i="8"/>
  <c r="AM56" i="5"/>
  <c r="AD90" i="5"/>
  <c r="AG90" i="5" s="1"/>
  <c r="AG112" i="5"/>
  <c r="AD29" i="6"/>
  <c r="AG29" i="6" s="1"/>
  <c r="N47" i="6"/>
  <c r="J206" i="8" s="1"/>
  <c r="N91" i="4"/>
  <c r="J145" i="8" s="1"/>
  <c r="N12" i="5"/>
  <c r="J165" i="8" s="1"/>
  <c r="AD128" i="4"/>
  <c r="AG128" i="4" s="1"/>
  <c r="K78" i="5"/>
  <c r="AD95" i="5"/>
  <c r="AG95" i="5" s="1"/>
  <c r="K116" i="5"/>
  <c r="E193" i="8" s="1"/>
  <c r="N110" i="5"/>
  <c r="J192" i="8" s="1"/>
  <c r="AG113" i="5"/>
  <c r="K22" i="6"/>
  <c r="E202" i="8" s="1"/>
  <c r="AD119" i="5"/>
  <c r="AG119" i="5" s="1"/>
  <c r="N18" i="5"/>
  <c r="J167" i="8" s="1"/>
  <c r="AD25" i="5"/>
  <c r="AG25" i="5" s="1"/>
  <c r="AG63" i="5"/>
  <c r="AK80" i="5"/>
  <c r="AD104" i="5"/>
  <c r="AG104" i="5" s="1"/>
  <c r="N40" i="6"/>
  <c r="J205" i="8" s="1"/>
  <c r="N78" i="5"/>
  <c r="J185" i="8" s="1"/>
  <c r="AD34" i="5"/>
  <c r="AG34" i="5" s="1"/>
  <c r="AD64" i="5"/>
  <c r="AG64" i="5" s="1"/>
  <c r="AD124" i="5"/>
  <c r="AG124" i="5" s="1"/>
  <c r="K50" i="4"/>
  <c r="E133" i="8" s="1"/>
  <c r="AM106" i="4"/>
  <c r="K9" i="5"/>
  <c r="E164" i="8" s="1"/>
  <c r="AG16" i="5"/>
  <c r="K32" i="5"/>
  <c r="E171" i="8" s="1"/>
  <c r="AD51" i="5"/>
  <c r="AG51" i="5" s="1"/>
  <c r="AD65" i="5"/>
  <c r="AG65" i="5" s="1"/>
  <c r="AD81" i="5"/>
  <c r="AG81" i="5" s="1"/>
  <c r="K131" i="5"/>
  <c r="E195" i="8" s="1"/>
  <c r="N139" i="5"/>
  <c r="J197" i="8" s="1"/>
  <c r="AD18" i="6"/>
  <c r="AG18" i="6" s="1"/>
  <c r="AD22" i="5"/>
  <c r="AG22" i="5" s="1"/>
  <c r="N100" i="4"/>
  <c r="J149" i="8" s="1"/>
  <c r="N136" i="4"/>
  <c r="J154" i="8" s="1"/>
  <c r="N53" i="4"/>
  <c r="J134" i="8" s="1"/>
  <c r="K121" i="4"/>
  <c r="N50" i="4"/>
  <c r="J133" i="8" s="1"/>
  <c r="AG48" i="4"/>
  <c r="AD99" i="4"/>
  <c r="AG99" i="4" s="1"/>
  <c r="AG98" i="4" s="1"/>
  <c r="AG49" i="4"/>
  <c r="N27" i="4"/>
  <c r="J128" i="8" s="1"/>
  <c r="AG51" i="4"/>
  <c r="AD117" i="4"/>
  <c r="AG117" i="4" s="1"/>
  <c r="AD17" i="4"/>
  <c r="AG17" i="4" s="1"/>
  <c r="N79" i="4"/>
  <c r="J142" i="8" s="1"/>
  <c r="AD70" i="4"/>
  <c r="AG70" i="4" s="1"/>
  <c r="N121" i="4"/>
  <c r="J152" i="8" s="1"/>
  <c r="AD118" i="4"/>
  <c r="AG118" i="4" s="1"/>
  <c r="K69" i="4"/>
  <c r="E139" i="8" s="1"/>
  <c r="K79" i="4"/>
  <c r="E142" i="8" s="1"/>
  <c r="AD119" i="4"/>
  <c r="AG119" i="4" s="1"/>
  <c r="AG156" i="4"/>
  <c r="K33" i="4"/>
  <c r="E129" i="8" s="1"/>
  <c r="N33" i="4"/>
  <c r="J129" i="8" s="1"/>
  <c r="K57" i="4"/>
  <c r="E135" i="8" s="1"/>
  <c r="N46" i="4"/>
  <c r="J132" i="8" s="1"/>
  <c r="N61" i="4"/>
  <c r="J137" i="8" s="1"/>
  <c r="AG127" i="4"/>
  <c r="AM122" i="4"/>
  <c r="AM54" i="4"/>
  <c r="N134" i="8"/>
  <c r="E148" i="8"/>
  <c r="AM62" i="4"/>
  <c r="J148" i="8"/>
  <c r="N167" i="4"/>
  <c r="AM143" i="4"/>
  <c r="AD30" i="4"/>
  <c r="AG30" i="4" s="1"/>
  <c r="K159" i="4"/>
  <c r="E158" i="8" s="1"/>
  <c r="G158" i="8" s="1"/>
  <c r="AD52" i="4"/>
  <c r="AG52" i="4" s="1"/>
  <c r="AG146" i="4"/>
  <c r="AD54" i="4"/>
  <c r="AD85" i="4"/>
  <c r="AG85" i="4" s="1"/>
  <c r="AD123" i="4"/>
  <c r="AG123" i="4" s="1"/>
  <c r="AD131" i="4"/>
  <c r="AG131" i="4" s="1"/>
  <c r="AG147" i="4"/>
  <c r="AM171" i="4"/>
  <c r="AG145" i="4"/>
  <c r="K61" i="4"/>
  <c r="E137" i="8" s="1"/>
  <c r="AD55" i="4"/>
  <c r="AG55" i="4" s="1"/>
  <c r="AD124" i="4"/>
  <c r="AG124" i="4" s="1"/>
  <c r="AG132" i="4"/>
  <c r="N144" i="4"/>
  <c r="J156" i="8" s="1"/>
  <c r="AD113" i="4"/>
  <c r="AG113" i="4" s="1"/>
  <c r="AD137" i="4"/>
  <c r="N132" i="8"/>
  <c r="K22" i="4"/>
  <c r="E126" i="8" s="1"/>
  <c r="AM32" i="4"/>
  <c r="AD31" i="4"/>
  <c r="AG31" i="4" s="1"/>
  <c r="AD62" i="4"/>
  <c r="K91" i="4"/>
  <c r="E145" i="8" s="1"/>
  <c r="AD129" i="4"/>
  <c r="AG129" i="4" s="1"/>
  <c r="N159" i="4"/>
  <c r="J158" i="8" s="1"/>
  <c r="AD63" i="4"/>
  <c r="AG63" i="4" s="1"/>
  <c r="AG43" i="4"/>
  <c r="AG56" i="4"/>
  <c r="AG34" i="4"/>
  <c r="AD47" i="4"/>
  <c r="AG115" i="4"/>
  <c r="AG134" i="4"/>
  <c r="AG141" i="4"/>
  <c r="AG140" i="4" s="1"/>
  <c r="AD152" i="4"/>
  <c r="AG152" i="4" s="1"/>
  <c r="K40" i="6"/>
  <c r="E205" i="8" s="1"/>
  <c r="AD17" i="6"/>
  <c r="N146" i="8"/>
  <c r="AM96" i="4"/>
  <c r="AM95" i="4" s="1"/>
  <c r="N171" i="8"/>
  <c r="AM33" i="5"/>
  <c r="AD33" i="5"/>
  <c r="AG33" i="5" s="1"/>
  <c r="AD35" i="5"/>
  <c r="AG35" i="5" s="1"/>
  <c r="N32" i="5"/>
  <c r="K12" i="5"/>
  <c r="E165" i="8" s="1"/>
  <c r="N5" i="5"/>
  <c r="J163" i="8" s="1"/>
  <c r="AG6" i="5"/>
  <c r="AM31" i="5"/>
  <c r="AM30" i="5" s="1"/>
  <c r="N170" i="8"/>
  <c r="AD38" i="5"/>
  <c r="AG38" i="5" s="1"/>
  <c r="AD39" i="5"/>
  <c r="AG39" i="5" s="1"/>
  <c r="N36" i="5"/>
  <c r="J172" i="8" s="1"/>
  <c r="K36" i="5"/>
  <c r="E172" i="8" s="1"/>
  <c r="K18" i="5"/>
  <c r="N164" i="8"/>
  <c r="AM10" i="5"/>
  <c r="AG27" i="5"/>
  <c r="AM28" i="5"/>
  <c r="AG28" i="5"/>
  <c r="N74" i="5"/>
  <c r="J183" i="8" s="1"/>
  <c r="AM75" i="5"/>
  <c r="N183" i="8"/>
  <c r="AD75" i="5"/>
  <c r="AG75" i="5" s="1"/>
  <c r="AD72" i="5"/>
  <c r="AG72" i="5" s="1"/>
  <c r="N68" i="5"/>
  <c r="J182" i="8" s="1"/>
  <c r="AD71" i="5"/>
  <c r="AG71" i="5" s="1"/>
  <c r="AD73" i="5"/>
  <c r="AG73" i="5" s="1"/>
  <c r="K68" i="5"/>
  <c r="E182" i="8" s="1"/>
  <c r="AM69" i="5"/>
  <c r="AD69" i="5"/>
  <c r="N181" i="8"/>
  <c r="AD67" i="5"/>
  <c r="N61" i="5"/>
  <c r="J180" i="8" s="1"/>
  <c r="K61" i="5"/>
  <c r="E180" i="8" s="1"/>
  <c r="N180" i="8"/>
  <c r="AG59" i="5"/>
  <c r="K140" i="4"/>
  <c r="E155" i="8" s="1"/>
  <c r="N140" i="4"/>
  <c r="J155" i="8" s="1"/>
  <c r="AG103" i="4"/>
  <c r="AG104" i="4"/>
  <c r="AG102" i="4"/>
  <c r="AM101" i="4"/>
  <c r="J150" i="8"/>
  <c r="AM95" i="5"/>
  <c r="AG98" i="5"/>
  <c r="AD97" i="5"/>
  <c r="AG97" i="5" s="1"/>
  <c r="K94" i="5"/>
  <c r="E188" i="8" s="1"/>
  <c r="N94" i="5"/>
  <c r="J188" i="8" s="1"/>
  <c r="AG93" i="5"/>
  <c r="AG92" i="5" s="1"/>
  <c r="AM86" i="5"/>
  <c r="AD86" i="5"/>
  <c r="AG86" i="5" s="1"/>
  <c r="AD87" i="5"/>
  <c r="AG87" i="5" s="1"/>
  <c r="AD88" i="5"/>
  <c r="AG88" i="5" s="1"/>
  <c r="N85" i="5"/>
  <c r="J186" i="8" s="1"/>
  <c r="K47" i="6"/>
  <c r="E206" i="8" s="1"/>
  <c r="K167" i="4"/>
  <c r="AD25" i="6"/>
  <c r="AG25" i="6" s="1"/>
  <c r="AG108" i="5"/>
  <c r="N190" i="8"/>
  <c r="AD106" i="5"/>
  <c r="AD100" i="5"/>
  <c r="AG102" i="5"/>
  <c r="K99" i="5"/>
  <c r="E189" i="8" s="1"/>
  <c r="AD101" i="5"/>
  <c r="AG101" i="5" s="1"/>
  <c r="AD103" i="5"/>
  <c r="AG103" i="5" s="1"/>
  <c r="N99" i="5"/>
  <c r="J189" i="8" s="1"/>
  <c r="AD41" i="4"/>
  <c r="AG41" i="4" s="1"/>
  <c r="AD40" i="4"/>
  <c r="AG40" i="4" s="1"/>
  <c r="AD39" i="4"/>
  <c r="AG39" i="6"/>
  <c r="K31" i="6"/>
  <c r="E204" i="8" s="1"/>
  <c r="N31" i="6"/>
  <c r="J204" i="8" s="1"/>
  <c r="AD35" i="6"/>
  <c r="AG35" i="6" s="1"/>
  <c r="AD33" i="6"/>
  <c r="AG33" i="6" s="1"/>
  <c r="AG13" i="6"/>
  <c r="AG8" i="6"/>
  <c r="AG7" i="6"/>
  <c r="AG6" i="6"/>
  <c r="K5" i="6"/>
  <c r="E200" i="8" s="1"/>
  <c r="N14" i="6"/>
  <c r="J201" i="8" s="1"/>
  <c r="K14" i="6"/>
  <c r="E201" i="8" s="1"/>
  <c r="AG76" i="4"/>
  <c r="AD75" i="4"/>
  <c r="AG75" i="4" s="1"/>
  <c r="AG74" i="4"/>
  <c r="AG71" i="4"/>
  <c r="AD66" i="4"/>
  <c r="AG66" i="4" s="1"/>
  <c r="K64" i="4"/>
  <c r="E138" i="8" s="1"/>
  <c r="AG65" i="4"/>
  <c r="N64" i="4"/>
  <c r="J138" i="8" s="1"/>
  <c r="N22" i="6"/>
  <c r="J202" i="8" s="1"/>
  <c r="AD23" i="6"/>
  <c r="AG23" i="6" s="1"/>
  <c r="AD138" i="5"/>
  <c r="K134" i="5"/>
  <c r="E196" i="8" s="1"/>
  <c r="N134" i="5"/>
  <c r="J196" i="8" s="1"/>
  <c r="AG133" i="5"/>
  <c r="N195" i="8"/>
  <c r="N131" i="5"/>
  <c r="J195" i="8" s="1"/>
  <c r="AG126" i="5"/>
  <c r="AG128" i="5"/>
  <c r="AG129" i="5"/>
  <c r="AD130" i="5"/>
  <c r="AG130" i="5" s="1"/>
  <c r="N193" i="8"/>
  <c r="AG120" i="5"/>
  <c r="AG121" i="5"/>
  <c r="AG117" i="5"/>
  <c r="AG118" i="5"/>
  <c r="N116" i="5"/>
  <c r="J193" i="8" s="1"/>
  <c r="AG114" i="5"/>
  <c r="K110" i="5"/>
  <c r="E192" i="8" s="1"/>
  <c r="AG159" i="4"/>
  <c r="N150" i="4"/>
  <c r="J157" i="8" s="1"/>
  <c r="K150" i="4"/>
  <c r="E157" i="8" s="1"/>
  <c r="AD154" i="4"/>
  <c r="AG154" i="4" s="1"/>
  <c r="AD148" i="4"/>
  <c r="AG148" i="4" s="1"/>
  <c r="N156" i="8"/>
  <c r="K144" i="4"/>
  <c r="E156" i="8" s="1"/>
  <c r="AD29" i="4"/>
  <c r="AG29" i="4" s="1"/>
  <c r="AD28" i="4"/>
  <c r="K27" i="4"/>
  <c r="E128" i="8" s="1"/>
  <c r="AG15" i="4"/>
  <c r="AD7" i="4"/>
  <c r="AG7" i="4" s="1"/>
  <c r="N5" i="4"/>
  <c r="J125" i="8" s="1"/>
  <c r="K5" i="4"/>
  <c r="E125" i="8" s="1"/>
  <c r="N43" i="5"/>
  <c r="J174" i="8" s="1"/>
  <c r="K43" i="5"/>
  <c r="E174" i="8" s="1"/>
  <c r="AD44" i="5"/>
  <c r="AG116" i="4"/>
  <c r="AD120" i="4"/>
  <c r="AG120" i="4" s="1"/>
  <c r="AG114" i="4"/>
  <c r="AD111" i="4"/>
  <c r="AG111" i="4" s="1"/>
  <c r="AD110" i="4"/>
  <c r="AD55" i="5"/>
  <c r="K177" i="8" s="1"/>
  <c r="N49" i="5"/>
  <c r="J176" i="8" s="1"/>
  <c r="J175" i="8" s="1"/>
  <c r="AG52" i="5"/>
  <c r="AD53" i="5"/>
  <c r="AG53" i="5" s="1"/>
  <c r="N109" i="4"/>
  <c r="J151" i="8" s="1"/>
  <c r="K109" i="4"/>
  <c r="AD112" i="4"/>
  <c r="AG112" i="4" s="1"/>
  <c r="AD94" i="4"/>
  <c r="AG94" i="4" s="1"/>
  <c r="K83" i="4"/>
  <c r="N83" i="4"/>
  <c r="J144" i="8" s="1"/>
  <c r="AD89" i="4"/>
  <c r="AG89" i="4" s="1"/>
  <c r="AG86" i="4"/>
  <c r="N142" i="8"/>
  <c r="AG81" i="4"/>
  <c r="AG59" i="4"/>
  <c r="AG25" i="4"/>
  <c r="AG24" i="4"/>
  <c r="N22" i="4"/>
  <c r="J126" i="8" s="1"/>
  <c r="AG46" i="6"/>
  <c r="AD36" i="6"/>
  <c r="AG36" i="6" s="1"/>
  <c r="AM37" i="6"/>
  <c r="N165" i="8"/>
  <c r="AD15" i="5"/>
  <c r="AG15" i="5" s="1"/>
  <c r="AD96" i="4"/>
  <c r="AG92" i="4"/>
  <c r="AG84" i="4"/>
  <c r="AI6" i="4"/>
  <c r="AI7" i="4"/>
  <c r="AL7" i="4" s="1"/>
  <c r="AI13" i="4"/>
  <c r="AL13" i="4" s="1"/>
  <c r="AI14" i="4"/>
  <c r="AL14" i="4" s="1"/>
  <c r="AI15" i="4"/>
  <c r="AL15" i="4" s="1"/>
  <c r="AI16" i="4"/>
  <c r="AL16" i="4" s="1"/>
  <c r="AI17" i="4"/>
  <c r="AL17" i="4" s="1"/>
  <c r="AI18" i="4"/>
  <c r="AL18" i="4" s="1"/>
  <c r="AF23" i="4"/>
  <c r="AI23" i="4"/>
  <c r="AL23" i="4" s="1"/>
  <c r="AF25" i="4"/>
  <c r="AI25" i="4"/>
  <c r="AL25" i="4" s="1"/>
  <c r="AF31" i="4"/>
  <c r="AF27" i="4" s="1"/>
  <c r="AI31" i="4"/>
  <c r="AL31" i="4" s="1"/>
  <c r="AL27" i="4" s="1"/>
  <c r="AF34" i="4"/>
  <c r="AI34" i="4"/>
  <c r="AL34" i="4" s="1"/>
  <c r="AF36" i="4"/>
  <c r="AI36" i="4"/>
  <c r="AL36" i="4" s="1"/>
  <c r="AI40" i="4"/>
  <c r="AL40" i="4" s="1"/>
  <c r="AI45" i="4"/>
  <c r="AL45" i="4" s="1"/>
  <c r="AI47" i="4"/>
  <c r="AI48" i="4"/>
  <c r="AL48" i="4" s="1"/>
  <c r="AI49" i="4"/>
  <c r="AL49" i="4" s="1"/>
  <c r="AI52" i="4"/>
  <c r="AI50" i="4" s="1"/>
  <c r="AI54" i="4"/>
  <c r="AL54" i="4" s="1"/>
  <c r="AF55" i="4"/>
  <c r="AI55" i="4"/>
  <c r="AL55" i="4" s="1"/>
  <c r="AI56" i="4"/>
  <c r="AL56" i="4" s="1"/>
  <c r="AI59" i="4"/>
  <c r="AL59" i="4" s="1"/>
  <c r="AL57" i="4" s="1"/>
  <c r="AI62" i="4"/>
  <c r="AL62" i="4" s="1"/>
  <c r="AL61" i="4" s="1"/>
  <c r="AF65" i="4"/>
  <c r="AI65" i="4"/>
  <c r="AL65" i="4" s="1"/>
  <c r="AI66" i="4"/>
  <c r="AL66" i="4" s="1"/>
  <c r="AI67" i="4"/>
  <c r="AL67" i="4" s="1"/>
  <c r="AF68" i="4"/>
  <c r="AI68" i="4"/>
  <c r="AL68" i="4" s="1"/>
  <c r="AF70" i="4"/>
  <c r="AI70" i="4"/>
  <c r="AF71" i="4"/>
  <c r="AI71" i="4"/>
  <c r="AL71" i="4" s="1"/>
  <c r="AI72" i="4"/>
  <c r="AL72" i="4" s="1"/>
  <c r="AF74" i="4"/>
  <c r="AI74" i="4"/>
  <c r="AI75" i="4"/>
  <c r="AL75" i="4" s="1"/>
  <c r="AI78" i="4"/>
  <c r="AI77" i="4" s="1"/>
  <c r="AI80" i="4"/>
  <c r="AF81" i="4"/>
  <c r="AI81" i="4"/>
  <c r="AL81" i="4" s="1"/>
  <c r="AI85" i="4"/>
  <c r="AL85" i="4" s="1"/>
  <c r="AI86" i="4"/>
  <c r="AL86" i="4" s="1"/>
  <c r="AI90" i="4"/>
  <c r="AI92" i="4"/>
  <c r="AI94" i="4"/>
  <c r="AL94" i="4" s="1"/>
  <c r="AF96" i="4"/>
  <c r="AF95" i="4" s="1"/>
  <c r="AI96" i="4"/>
  <c r="AI95" i="4" s="1"/>
  <c r="AF101" i="4"/>
  <c r="AI101" i="4"/>
  <c r="AF102" i="4"/>
  <c r="AI102" i="4"/>
  <c r="AL102" i="4" s="1"/>
  <c r="AF104" i="4"/>
  <c r="AI104" i="4"/>
  <c r="AI106" i="4"/>
  <c r="AL106" i="4" s="1"/>
  <c r="AI107" i="4"/>
  <c r="AL107" i="4" s="1"/>
  <c r="AI108" i="4"/>
  <c r="AL108" i="4" s="1"/>
  <c r="AF110" i="4"/>
  <c r="AI110" i="4"/>
  <c r="AI111" i="4"/>
  <c r="AL111" i="4" s="1"/>
  <c r="AI113" i="4"/>
  <c r="AL113" i="4" s="1"/>
  <c r="AI114" i="4"/>
  <c r="AL114" i="4" s="1"/>
  <c r="AF115" i="4"/>
  <c r="AI115" i="4"/>
  <c r="AL115" i="4" s="1"/>
  <c r="AI116" i="4"/>
  <c r="AL116" i="4" s="1"/>
  <c r="AI118" i="4"/>
  <c r="AL118" i="4" s="1"/>
  <c r="AL119" i="4"/>
  <c r="AI120" i="4"/>
  <c r="AL120" i="4" s="1"/>
  <c r="AI122" i="4"/>
  <c r="AI125" i="4"/>
  <c r="AL125" i="4" s="1"/>
  <c r="AF127" i="4"/>
  <c r="AI127" i="4"/>
  <c r="AL127" i="4" s="1"/>
  <c r="AF128" i="4"/>
  <c r="AI128" i="4"/>
  <c r="AL128" i="4" s="1"/>
  <c r="AI131" i="4"/>
  <c r="AL131" i="4" s="1"/>
  <c r="AI133" i="4"/>
  <c r="AL133" i="4" s="1"/>
  <c r="AI134" i="4"/>
  <c r="AL134" i="4" s="1"/>
  <c r="AF137" i="4"/>
  <c r="AF136" i="4" s="1"/>
  <c r="AI136" i="4"/>
  <c r="AI141" i="4"/>
  <c r="AL141" i="4" s="1"/>
  <c r="AF142" i="4"/>
  <c r="AI142" i="4"/>
  <c r="AL142" i="4" s="1"/>
  <c r="AI143" i="4"/>
  <c r="AL143" i="4" s="1"/>
  <c r="AI146" i="4"/>
  <c r="AL146" i="4" s="1"/>
  <c r="AI147" i="4"/>
  <c r="AL147" i="4" s="1"/>
  <c r="AI148" i="4"/>
  <c r="AL148" i="4" s="1"/>
  <c r="AI151" i="4"/>
  <c r="AL151" i="4" s="1"/>
  <c r="AI152" i="4"/>
  <c r="AL152" i="4" s="1"/>
  <c r="AI153" i="4"/>
  <c r="AI154" i="4"/>
  <c r="AL154" i="4" s="1"/>
  <c r="AI156" i="4"/>
  <c r="AL156" i="4" s="1"/>
  <c r="AI157" i="4"/>
  <c r="AL157" i="4" s="1"/>
  <c r="N132" i="3"/>
  <c r="N129" i="3" s="1"/>
  <c r="J122" i="8" s="1"/>
  <c r="N128" i="3"/>
  <c r="N127" i="3"/>
  <c r="N126" i="3"/>
  <c r="K132" i="3"/>
  <c r="K129" i="3" s="1"/>
  <c r="E122" i="8" s="1"/>
  <c r="K128" i="3"/>
  <c r="K127" i="3"/>
  <c r="K126" i="3"/>
  <c r="AM116" i="3"/>
  <c r="AM115" i="3"/>
  <c r="N119" i="3"/>
  <c r="N123" i="3"/>
  <c r="N122" i="3"/>
  <c r="N121" i="3"/>
  <c r="N118" i="3"/>
  <c r="N116" i="3"/>
  <c r="N115" i="3"/>
  <c r="N114" i="3"/>
  <c r="N112" i="3"/>
  <c r="N111" i="3"/>
  <c r="N109" i="3"/>
  <c r="N108" i="3"/>
  <c r="N106" i="3"/>
  <c r="N105" i="3"/>
  <c r="N104" i="3"/>
  <c r="N103" i="3"/>
  <c r="N102" i="3"/>
  <c r="K123" i="3"/>
  <c r="K122" i="3"/>
  <c r="K121" i="3"/>
  <c r="K119" i="3"/>
  <c r="K118" i="3"/>
  <c r="K116" i="3"/>
  <c r="K115" i="3"/>
  <c r="K114" i="3"/>
  <c r="K112" i="3"/>
  <c r="K111" i="3"/>
  <c r="K109" i="3"/>
  <c r="K108" i="3"/>
  <c r="K106" i="3"/>
  <c r="K105" i="3"/>
  <c r="K104" i="3"/>
  <c r="K103" i="3"/>
  <c r="K102" i="3"/>
  <c r="AF56" i="3"/>
  <c r="AF54" i="3" s="1"/>
  <c r="AD83" i="3"/>
  <c r="AG83" i="3" s="1"/>
  <c r="AD71" i="3"/>
  <c r="AG71" i="3" s="1"/>
  <c r="N98" i="3"/>
  <c r="N99" i="3"/>
  <c r="N97" i="3"/>
  <c r="K99" i="3"/>
  <c r="K98" i="3"/>
  <c r="K97" i="3"/>
  <c r="N93" i="3"/>
  <c r="N95" i="3"/>
  <c r="N94" i="3"/>
  <c r="N92" i="3"/>
  <c r="K95" i="3"/>
  <c r="K94" i="3"/>
  <c r="K93" i="3"/>
  <c r="K92" i="3"/>
  <c r="N89" i="3"/>
  <c r="N90" i="3"/>
  <c r="N88" i="3"/>
  <c r="N87" i="3"/>
  <c r="N76" i="3"/>
  <c r="N85" i="3"/>
  <c r="N84" i="3"/>
  <c r="N83" i="3"/>
  <c r="N82" i="3"/>
  <c r="N81" i="3"/>
  <c r="N80" i="3"/>
  <c r="N79" i="3"/>
  <c r="N78" i="3"/>
  <c r="N77" i="3"/>
  <c r="N75" i="3"/>
  <c r="N74" i="3"/>
  <c r="K90" i="3"/>
  <c r="K89" i="3"/>
  <c r="K88" i="3"/>
  <c r="K87" i="3"/>
  <c r="K85" i="3"/>
  <c r="K84" i="3"/>
  <c r="K83" i="3"/>
  <c r="K82" i="3"/>
  <c r="K81" i="3"/>
  <c r="K80" i="3"/>
  <c r="K79" i="3"/>
  <c r="K78" i="3"/>
  <c r="K77" i="3"/>
  <c r="K76" i="3"/>
  <c r="K75" i="3"/>
  <c r="K74" i="3"/>
  <c r="N71" i="3"/>
  <c r="N70" i="3"/>
  <c r="N72" i="3"/>
  <c r="N69" i="3"/>
  <c r="K72" i="3"/>
  <c r="K71" i="3"/>
  <c r="K70" i="3"/>
  <c r="K69" i="3"/>
  <c r="N66" i="3"/>
  <c r="N65" i="3"/>
  <c r="K66" i="3"/>
  <c r="K65" i="3"/>
  <c r="N63" i="3"/>
  <c r="N62" i="3"/>
  <c r="N61" i="3"/>
  <c r="N60" i="3"/>
  <c r="N58" i="3"/>
  <c r="N57" i="3"/>
  <c r="N56" i="3"/>
  <c r="N55" i="3"/>
  <c r="N52" i="3"/>
  <c r="N51" i="3"/>
  <c r="N50" i="3"/>
  <c r="N49" i="3"/>
  <c r="N48" i="3"/>
  <c r="N47" i="3"/>
  <c r="K63" i="3"/>
  <c r="K62" i="3"/>
  <c r="K61" i="3"/>
  <c r="K60" i="3"/>
  <c r="K58" i="3"/>
  <c r="K57" i="3"/>
  <c r="K56" i="3"/>
  <c r="K55" i="3"/>
  <c r="K52" i="3"/>
  <c r="K51" i="3"/>
  <c r="K50" i="3"/>
  <c r="K49" i="3"/>
  <c r="K48" i="3"/>
  <c r="K47" i="3"/>
  <c r="N44" i="3"/>
  <c r="N43" i="3" s="1"/>
  <c r="J104" i="8" s="1"/>
  <c r="N42" i="3"/>
  <c r="N41" i="3"/>
  <c r="N39" i="3"/>
  <c r="N38" i="3"/>
  <c r="N37" i="3"/>
  <c r="N36" i="3"/>
  <c r="N35" i="3"/>
  <c r="K43" i="3"/>
  <c r="E104" i="8" s="1"/>
  <c r="K42" i="3"/>
  <c r="K41" i="3"/>
  <c r="K39" i="3"/>
  <c r="K38" i="3"/>
  <c r="K37" i="3"/>
  <c r="K36" i="3"/>
  <c r="K35" i="3"/>
  <c r="AC21" i="3"/>
  <c r="N32" i="3"/>
  <c r="N31" i="3"/>
  <c r="N30" i="3"/>
  <c r="N27" i="3"/>
  <c r="N26" i="3"/>
  <c r="N25" i="3"/>
  <c r="N23" i="3"/>
  <c r="N22" i="3"/>
  <c r="N20" i="3"/>
  <c r="N19" i="3"/>
  <c r="N18" i="3"/>
  <c r="N17" i="3"/>
  <c r="K32" i="3"/>
  <c r="K31" i="3"/>
  <c r="K27" i="3"/>
  <c r="K26" i="3"/>
  <c r="K25" i="3"/>
  <c r="K23" i="3"/>
  <c r="K22" i="3"/>
  <c r="K20" i="3"/>
  <c r="K19" i="3"/>
  <c r="K18" i="3"/>
  <c r="K17" i="3"/>
  <c r="AG27" i="3"/>
  <c r="AD23" i="3"/>
  <c r="AG23" i="3" s="1"/>
  <c r="N14" i="3"/>
  <c r="N13" i="3"/>
  <c r="N12" i="3"/>
  <c r="K14" i="3"/>
  <c r="K13" i="3"/>
  <c r="K12" i="3"/>
  <c r="N8" i="3"/>
  <c r="N7" i="3"/>
  <c r="N9" i="3"/>
  <c r="N10" i="3"/>
  <c r="K7" i="3"/>
  <c r="K8" i="3"/>
  <c r="K9" i="3"/>
  <c r="K10" i="3"/>
  <c r="AD14" i="3"/>
  <c r="AG14" i="3" s="1"/>
  <c r="AD6" i="2"/>
  <c r="AG6" i="2" s="1"/>
  <c r="AG8" i="3"/>
  <c r="AG9" i="3"/>
  <c r="AD10" i="3"/>
  <c r="AG204" i="2"/>
  <c r="AD201" i="2"/>
  <c r="AG201" i="2" s="1"/>
  <c r="AD200" i="2"/>
  <c r="AC187" i="2"/>
  <c r="AD166" i="2"/>
  <c r="N182" i="2"/>
  <c r="J85" i="8" s="1"/>
  <c r="K182" i="2"/>
  <c r="E85" i="8" s="1"/>
  <c r="H183" i="8" l="1"/>
  <c r="H146" i="8"/>
  <c r="H189" i="8"/>
  <c r="H156" i="8"/>
  <c r="H168" i="8"/>
  <c r="H169" i="8"/>
  <c r="H141" i="8"/>
  <c r="H132" i="8"/>
  <c r="H134" i="8"/>
  <c r="H135" i="8"/>
  <c r="H190" i="8"/>
  <c r="H170" i="8"/>
  <c r="H180" i="8"/>
  <c r="H126" i="8"/>
  <c r="H201" i="8"/>
  <c r="H165" i="8"/>
  <c r="H193" i="8"/>
  <c r="H181" i="8"/>
  <c r="H164" i="8"/>
  <c r="AN80" i="5"/>
  <c r="AN79" i="5"/>
  <c r="E185" i="8"/>
  <c r="E184" i="8" s="1"/>
  <c r="K77" i="5"/>
  <c r="AK84" i="5"/>
  <c r="AN84" i="5" s="1"/>
  <c r="AM122" i="3"/>
  <c r="AE40" i="3"/>
  <c r="AE33" i="3" s="1"/>
  <c r="AE86" i="3"/>
  <c r="AE21" i="3"/>
  <c r="AM103" i="3"/>
  <c r="AM104" i="3"/>
  <c r="AM80" i="3"/>
  <c r="AM89" i="3"/>
  <c r="AM51" i="3"/>
  <c r="AE101" i="3"/>
  <c r="L117" i="8" s="1"/>
  <c r="AM85" i="3"/>
  <c r="AM69" i="3"/>
  <c r="AE68" i="3"/>
  <c r="AM79" i="3"/>
  <c r="AM118" i="3"/>
  <c r="AE117" i="3"/>
  <c r="L119" i="8" s="1"/>
  <c r="AM94" i="3"/>
  <c r="AM95" i="3"/>
  <c r="AE11" i="3"/>
  <c r="AE4" i="3" s="1"/>
  <c r="AM55" i="3"/>
  <c r="AE54" i="3"/>
  <c r="L107" i="8" s="1"/>
  <c r="N103" i="8"/>
  <c r="AM70" i="3"/>
  <c r="AM98" i="3"/>
  <c r="AG10" i="3"/>
  <c r="AD5" i="3"/>
  <c r="AM48" i="3"/>
  <c r="AM58" i="3"/>
  <c r="AM20" i="3"/>
  <c r="N96" i="3"/>
  <c r="J115" i="8" s="1"/>
  <c r="N197" i="8"/>
  <c r="AM140" i="5"/>
  <c r="AM139" i="5" s="1"/>
  <c r="Q197" i="8" s="1"/>
  <c r="AM70" i="5"/>
  <c r="AM68" i="5" s="1"/>
  <c r="Q182" i="8" s="1"/>
  <c r="AM84" i="5"/>
  <c r="AM191" i="2"/>
  <c r="AM41" i="6"/>
  <c r="AM42" i="6"/>
  <c r="AM29" i="5"/>
  <c r="AM26" i="5" s="1"/>
  <c r="Q169" i="8" s="1"/>
  <c r="N167" i="8"/>
  <c r="AM19" i="5"/>
  <c r="AM18" i="5" s="1"/>
  <c r="AD40" i="6"/>
  <c r="K205" i="8" s="1"/>
  <c r="AM78" i="4"/>
  <c r="AM77" i="4" s="1"/>
  <c r="Q141" i="8" s="1"/>
  <c r="AL122" i="4"/>
  <c r="AL121" i="4" s="1"/>
  <c r="AI121" i="4"/>
  <c r="AD47" i="3"/>
  <c r="K160" i="8"/>
  <c r="K159" i="8" s="1"/>
  <c r="AD167" i="4"/>
  <c r="AG178" i="2"/>
  <c r="AG179" i="2"/>
  <c r="AM61" i="3"/>
  <c r="AM63" i="3"/>
  <c r="AM37" i="5"/>
  <c r="AM135" i="5"/>
  <c r="AM134" i="5" s="1"/>
  <c r="Q196" i="8" s="1"/>
  <c r="AD5" i="5"/>
  <c r="K163" i="8" s="1"/>
  <c r="AM22" i="4"/>
  <c r="Q126" i="8" s="1"/>
  <c r="AM21" i="4"/>
  <c r="E169" i="8"/>
  <c r="K17" i="5"/>
  <c r="E167" i="8"/>
  <c r="AG20" i="5"/>
  <c r="AD18" i="5"/>
  <c r="AM41" i="5"/>
  <c r="AM40" i="5" s="1"/>
  <c r="Q173" i="8" s="1"/>
  <c r="N173" i="8"/>
  <c r="N179" i="8"/>
  <c r="H179" i="8" s="1"/>
  <c r="AM5" i="6"/>
  <c r="AM31" i="6"/>
  <c r="AM59" i="5"/>
  <c r="AM58" i="5" s="1"/>
  <c r="Q179" i="8" s="1"/>
  <c r="N172" i="8"/>
  <c r="AM9" i="5"/>
  <c r="Q164" i="8" s="1"/>
  <c r="K173" i="8"/>
  <c r="AG41" i="5"/>
  <c r="AG40" i="5" s="1"/>
  <c r="AM42" i="3"/>
  <c r="AM14" i="6"/>
  <c r="Q201" i="8" s="1"/>
  <c r="AG50" i="3"/>
  <c r="AM39" i="5"/>
  <c r="N157" i="8"/>
  <c r="AM156" i="4"/>
  <c r="AM150" i="4" s="1"/>
  <c r="Q157" i="8" s="1"/>
  <c r="AM36" i="4"/>
  <c r="AM20" i="4"/>
  <c r="AM26" i="6"/>
  <c r="AG205" i="2"/>
  <c r="AG203" i="2" s="1"/>
  <c r="AM196" i="2"/>
  <c r="AM112" i="3"/>
  <c r="AD29" i="3"/>
  <c r="AG29" i="3" s="1"/>
  <c r="AD30" i="3"/>
  <c r="AG30" i="3" s="1"/>
  <c r="AM131" i="3"/>
  <c r="AM169" i="4"/>
  <c r="AM168" i="4" s="1"/>
  <c r="AM167" i="4" s="1"/>
  <c r="Q159" i="8" s="1"/>
  <c r="N160" i="8"/>
  <c r="AM105" i="5"/>
  <c r="Q190" i="8" s="1"/>
  <c r="AM88" i="5"/>
  <c r="AM131" i="5"/>
  <c r="Q195" i="8" s="1"/>
  <c r="AM12" i="5"/>
  <c r="Q165" i="8" s="1"/>
  <c r="AM89" i="5"/>
  <c r="AM116" i="5"/>
  <c r="Q193" i="8" s="1"/>
  <c r="AM61" i="5"/>
  <c r="Q180" i="8" s="1"/>
  <c r="AM43" i="5"/>
  <c r="Q174" i="8" s="1"/>
  <c r="AG107" i="5"/>
  <c r="AD105" i="5"/>
  <c r="K190" i="8" s="1"/>
  <c r="AM99" i="5"/>
  <c r="Q189" i="8" s="1"/>
  <c r="AM52" i="3"/>
  <c r="AM49" i="3"/>
  <c r="AM39" i="3"/>
  <c r="AM38" i="3"/>
  <c r="AM37" i="3"/>
  <c r="AM18" i="3"/>
  <c r="AM17" i="3"/>
  <c r="AM13" i="3"/>
  <c r="AM12" i="3"/>
  <c r="AM7" i="3"/>
  <c r="AM54" i="5"/>
  <c r="AM49" i="5" s="1"/>
  <c r="Q176" i="8" s="1"/>
  <c r="AG169" i="4"/>
  <c r="AG168" i="4" s="1"/>
  <c r="AG167" i="4" s="1"/>
  <c r="H167" i="4" s="1"/>
  <c r="AM90" i="3"/>
  <c r="AM88" i="3"/>
  <c r="AM80" i="5"/>
  <c r="AM49" i="6"/>
  <c r="AM50" i="6"/>
  <c r="AM190" i="2"/>
  <c r="AM189" i="2"/>
  <c r="AM186" i="2"/>
  <c r="AM183" i="2"/>
  <c r="AM182" i="2" s="1"/>
  <c r="Q85" i="8" s="1"/>
  <c r="AM181" i="2"/>
  <c r="AG181" i="2"/>
  <c r="AM180" i="2"/>
  <c r="AM177" i="2"/>
  <c r="AM175" i="2"/>
  <c r="AM172" i="2"/>
  <c r="AM169" i="2"/>
  <c r="AM168" i="2"/>
  <c r="AM167" i="2"/>
  <c r="AM144" i="4"/>
  <c r="Q156" i="8" s="1"/>
  <c r="AM134" i="4"/>
  <c r="AM67" i="4"/>
  <c r="AM68" i="4"/>
  <c r="AM109" i="4"/>
  <c r="Q151" i="8" s="1"/>
  <c r="AM72" i="4"/>
  <c r="AM69" i="4" s="1"/>
  <c r="Q139" i="8" s="1"/>
  <c r="AM46" i="4"/>
  <c r="Q132" i="8" s="1"/>
  <c r="AM13" i="4"/>
  <c r="AM87" i="4"/>
  <c r="AM14" i="4"/>
  <c r="AM50" i="4"/>
  <c r="Q133" i="8" s="1"/>
  <c r="AM141" i="4"/>
  <c r="N145" i="8"/>
  <c r="AM18" i="4"/>
  <c r="AM84" i="4"/>
  <c r="AM99" i="3"/>
  <c r="AM92" i="3"/>
  <c r="AM84" i="3"/>
  <c r="AM81" i="3"/>
  <c r="AM78" i="3"/>
  <c r="AM77" i="3"/>
  <c r="AM76" i="3"/>
  <c r="AM75" i="3"/>
  <c r="AM74" i="3"/>
  <c r="AM72" i="3"/>
  <c r="AM48" i="6"/>
  <c r="AM51" i="6"/>
  <c r="AM121" i="3"/>
  <c r="AM114" i="3"/>
  <c r="AM111" i="3"/>
  <c r="AM106" i="3"/>
  <c r="AM105" i="3"/>
  <c r="AM102" i="3"/>
  <c r="AM62" i="3"/>
  <c r="AM60" i="3"/>
  <c r="AM57" i="3"/>
  <c r="AM199" i="2"/>
  <c r="AM197" i="2"/>
  <c r="AM195" i="2"/>
  <c r="K40" i="3"/>
  <c r="E103" i="8" s="1"/>
  <c r="N40" i="3"/>
  <c r="J103" i="8" s="1"/>
  <c r="AD47" i="6"/>
  <c r="K206" i="8" s="1"/>
  <c r="AM74" i="5"/>
  <c r="Q183" i="8" s="1"/>
  <c r="AM115" i="5"/>
  <c r="AM110" i="5" s="1"/>
  <c r="AM94" i="5"/>
  <c r="Q188" i="8" s="1"/>
  <c r="AG9" i="5"/>
  <c r="Q181" i="8"/>
  <c r="AM32" i="5"/>
  <c r="Q171" i="8" s="1"/>
  <c r="AM23" i="5"/>
  <c r="Q168" i="8" s="1"/>
  <c r="AM92" i="5"/>
  <c r="Q187" i="8" s="1"/>
  <c r="AM55" i="5"/>
  <c r="AD98" i="4"/>
  <c r="N149" i="8"/>
  <c r="AM102" i="4"/>
  <c r="AM100" i="4" s="1"/>
  <c r="Q149" i="8" s="1"/>
  <c r="AM61" i="4"/>
  <c r="Q137" i="8" s="1"/>
  <c r="AM57" i="4"/>
  <c r="Q135" i="8" s="1"/>
  <c r="AM105" i="4"/>
  <c r="Q150" i="8" s="1"/>
  <c r="AM53" i="4"/>
  <c r="Q134" i="8" s="1"/>
  <c r="AM98" i="4"/>
  <c r="AL110" i="4"/>
  <c r="AL109" i="4" s="1"/>
  <c r="AI109" i="4"/>
  <c r="N151" i="8" s="1"/>
  <c r="AM27" i="4"/>
  <c r="Q128" i="8" s="1"/>
  <c r="Q170" i="8"/>
  <c r="K48" i="5"/>
  <c r="E178" i="8"/>
  <c r="K57" i="5"/>
  <c r="AD74" i="5"/>
  <c r="K183" i="8" s="1"/>
  <c r="AG5" i="5"/>
  <c r="AG74" i="5"/>
  <c r="AG12" i="5"/>
  <c r="AG131" i="5"/>
  <c r="AG32" i="5"/>
  <c r="AG61" i="5"/>
  <c r="AD91" i="4"/>
  <c r="K145" i="8" s="1"/>
  <c r="K203" i="2"/>
  <c r="E91" i="8" s="1"/>
  <c r="AD22" i="6"/>
  <c r="K202" i="8" s="1"/>
  <c r="J203" i="8"/>
  <c r="AG94" i="5"/>
  <c r="AD110" i="5"/>
  <c r="K192" i="8" s="1"/>
  <c r="AD9" i="5"/>
  <c r="K164" i="8" s="1"/>
  <c r="AG78" i="5"/>
  <c r="AD61" i="5"/>
  <c r="K180" i="8" s="1"/>
  <c r="AD32" i="5"/>
  <c r="K171" i="8" s="1"/>
  <c r="AG26" i="5"/>
  <c r="N4" i="5"/>
  <c r="AD94" i="5"/>
  <c r="K188" i="8" s="1"/>
  <c r="J162" i="8"/>
  <c r="AD12" i="5"/>
  <c r="K165" i="8" s="1"/>
  <c r="AG55" i="5"/>
  <c r="AG116" i="5"/>
  <c r="E162" i="8"/>
  <c r="J143" i="8"/>
  <c r="AG78" i="4"/>
  <c r="AG77" i="4" s="1"/>
  <c r="K82" i="4"/>
  <c r="K184" i="2"/>
  <c r="E86" i="8" s="1"/>
  <c r="AD172" i="2"/>
  <c r="AG172" i="2" s="1"/>
  <c r="AI69" i="4"/>
  <c r="AG22" i="4"/>
  <c r="AI57" i="4"/>
  <c r="AL70" i="4"/>
  <c r="AL69" i="4" s="1"/>
  <c r="AL22" i="4"/>
  <c r="K28" i="3"/>
  <c r="E100" i="8" s="1"/>
  <c r="N203" i="2"/>
  <c r="J91" i="8" s="1"/>
  <c r="N165" i="2"/>
  <c r="J81" i="8" s="1"/>
  <c r="K193" i="2"/>
  <c r="K170" i="2"/>
  <c r="E82" i="8" s="1"/>
  <c r="K91" i="3"/>
  <c r="E114" i="8" s="1"/>
  <c r="K68" i="3"/>
  <c r="E111" i="8" s="1"/>
  <c r="AL144" i="4"/>
  <c r="AG169" i="2"/>
  <c r="AG138" i="5"/>
  <c r="AG134" i="5" s="1"/>
  <c r="AD134" i="5"/>
  <c r="K196" i="8" s="1"/>
  <c r="K173" i="2"/>
  <c r="E83" i="8" s="1"/>
  <c r="K187" i="2"/>
  <c r="E87" i="8" s="1"/>
  <c r="AD175" i="2"/>
  <c r="AG175" i="2" s="1"/>
  <c r="AG127" i="3"/>
  <c r="AI100" i="4"/>
  <c r="N26" i="4"/>
  <c r="AM127" i="5"/>
  <c r="AD26" i="5"/>
  <c r="K169" i="8" s="1"/>
  <c r="AG43" i="6"/>
  <c r="AG40" i="6" s="1"/>
  <c r="AG186" i="2"/>
  <c r="AG196" i="2"/>
  <c r="AI22" i="4"/>
  <c r="K4" i="5"/>
  <c r="N48" i="5"/>
  <c r="AD183" i="2"/>
  <c r="AG183" i="2" s="1"/>
  <c r="AG182" i="2" s="1"/>
  <c r="AD190" i="2"/>
  <c r="AG190" i="2" s="1"/>
  <c r="AG199" i="2"/>
  <c r="AD98" i="3"/>
  <c r="AG98" i="3" s="1"/>
  <c r="AL78" i="4"/>
  <c r="AL77" i="4" s="1"/>
  <c r="AF22" i="4"/>
  <c r="AD116" i="5"/>
  <c r="K193" i="8" s="1"/>
  <c r="AD78" i="5"/>
  <c r="AG69" i="4"/>
  <c r="AG24" i="5"/>
  <c r="AG23" i="5" s="1"/>
  <c r="AD23" i="5"/>
  <c r="K168" i="8" s="1"/>
  <c r="AI83" i="4"/>
  <c r="AD31" i="6"/>
  <c r="K204" i="8" s="1"/>
  <c r="AG111" i="5"/>
  <c r="AG110" i="5" s="1"/>
  <c r="AG22" i="6"/>
  <c r="AG17" i="6"/>
  <c r="AG14" i="6" s="1"/>
  <c r="AD14" i="6"/>
  <c r="K201" i="8" s="1"/>
  <c r="AG128" i="3"/>
  <c r="AM25" i="3"/>
  <c r="AL101" i="4"/>
  <c r="AD49" i="5"/>
  <c r="K176" i="8" s="1"/>
  <c r="K175" i="8" s="1"/>
  <c r="K30" i="6"/>
  <c r="N57" i="5"/>
  <c r="K97" i="4"/>
  <c r="J127" i="8"/>
  <c r="J199" i="8"/>
  <c r="E152" i="8"/>
  <c r="AD83" i="4"/>
  <c r="K144" i="8" s="1"/>
  <c r="J124" i="8"/>
  <c r="AD50" i="4"/>
  <c r="K133" i="8" s="1"/>
  <c r="AG25" i="3"/>
  <c r="AI140" i="4"/>
  <c r="AL64" i="4"/>
  <c r="AI144" i="4"/>
  <c r="AI91" i="4"/>
  <c r="AI46" i="4"/>
  <c r="AG50" i="4"/>
  <c r="AI150" i="4"/>
  <c r="AI79" i="4"/>
  <c r="AI27" i="4"/>
  <c r="AI64" i="4"/>
  <c r="AG144" i="4"/>
  <c r="AL33" i="4"/>
  <c r="AL26" i="4" s="1"/>
  <c r="AL105" i="4"/>
  <c r="AL53" i="4"/>
  <c r="AF33" i="4"/>
  <c r="AF26" i="4" s="1"/>
  <c r="AI105" i="4"/>
  <c r="AI53" i="4"/>
  <c r="AI5" i="4"/>
  <c r="E124" i="8"/>
  <c r="E127" i="8"/>
  <c r="AL140" i="4"/>
  <c r="AL153" i="4"/>
  <c r="AL150" i="4" s="1"/>
  <c r="AL104" i="4"/>
  <c r="AF100" i="4"/>
  <c r="AL90" i="4"/>
  <c r="AL83" i="4" s="1"/>
  <c r="AL80" i="4"/>
  <c r="AL79" i="4" s="1"/>
  <c r="AL74" i="4"/>
  <c r="AL52" i="4"/>
  <c r="AL50" i="4" s="1"/>
  <c r="AL6" i="4"/>
  <c r="AL5" i="4" s="1"/>
  <c r="AM138" i="4"/>
  <c r="AG62" i="4"/>
  <c r="AG61" i="4" s="1"/>
  <c r="AD61" i="4"/>
  <c r="K137" i="8" s="1"/>
  <c r="AG151" i="4"/>
  <c r="AG150" i="4" s="1"/>
  <c r="AD150" i="4"/>
  <c r="K157" i="8" s="1"/>
  <c r="N97" i="4"/>
  <c r="AL137" i="4"/>
  <c r="AL136" i="4" s="1"/>
  <c r="AL96" i="4"/>
  <c r="AL95" i="4" s="1"/>
  <c r="AL92" i="4"/>
  <c r="AL91" i="4" s="1"/>
  <c r="AI61" i="4"/>
  <c r="AL47" i="4"/>
  <c r="AL46" i="4" s="1"/>
  <c r="AI33" i="4"/>
  <c r="AG6" i="4"/>
  <c r="AG5" i="4" s="1"/>
  <c r="AD5" i="4"/>
  <c r="K125" i="8" s="1"/>
  <c r="N139" i="8"/>
  <c r="AD140" i="4"/>
  <c r="K155" i="8" s="1"/>
  <c r="AD136" i="4"/>
  <c r="AG137" i="4"/>
  <c r="AG136" i="4" s="1"/>
  <c r="AG121" i="4"/>
  <c r="AD121" i="4"/>
  <c r="K152" i="8" s="1"/>
  <c r="AM92" i="4"/>
  <c r="N148" i="8"/>
  <c r="H148" i="8" s="1"/>
  <c r="AD73" i="4"/>
  <c r="K140" i="8" s="1"/>
  <c r="AD53" i="4"/>
  <c r="K134" i="8" s="1"/>
  <c r="AG54" i="4"/>
  <c r="AG53" i="4" s="1"/>
  <c r="K26" i="4"/>
  <c r="AG91" i="4"/>
  <c r="E144" i="8"/>
  <c r="E143" i="8" s="1"/>
  <c r="N138" i="8"/>
  <c r="AD144" i="4"/>
  <c r="K156" i="8" s="1"/>
  <c r="J153" i="8"/>
  <c r="AG47" i="4"/>
  <c r="AG46" i="4" s="1"/>
  <c r="AD46" i="4"/>
  <c r="K132" i="8" s="1"/>
  <c r="J178" i="8"/>
  <c r="K73" i="3"/>
  <c r="E112" i="8" s="1"/>
  <c r="AG88" i="3"/>
  <c r="K21" i="3"/>
  <c r="E98" i="8" s="1"/>
  <c r="N28" i="3"/>
  <c r="J100" i="8" s="1"/>
  <c r="N86" i="3"/>
  <c r="J113" i="8" s="1"/>
  <c r="AD97" i="3"/>
  <c r="AG97" i="3" s="1"/>
  <c r="AM119" i="3"/>
  <c r="AG35" i="3"/>
  <c r="AD89" i="3"/>
  <c r="AG89" i="3" s="1"/>
  <c r="K24" i="3"/>
  <c r="E99" i="8" s="1"/>
  <c r="AD82" i="3"/>
  <c r="AG82" i="3" s="1"/>
  <c r="K16" i="3"/>
  <c r="E97" i="8" s="1"/>
  <c r="K59" i="3"/>
  <c r="E108" i="8" s="1"/>
  <c r="AD84" i="3"/>
  <c r="AG84" i="3" s="1"/>
  <c r="AD22" i="3"/>
  <c r="AD21" i="3" s="1"/>
  <c r="K98" i="8" s="1"/>
  <c r="AG75" i="3"/>
  <c r="AG114" i="3"/>
  <c r="N11" i="3"/>
  <c r="J95" i="8" s="1"/>
  <c r="AD48" i="3"/>
  <c r="AG48" i="3" s="1"/>
  <c r="AG99" i="3"/>
  <c r="AG56" i="3"/>
  <c r="AD103" i="3"/>
  <c r="AG103" i="3" s="1"/>
  <c r="K64" i="3"/>
  <c r="E109" i="8" s="1"/>
  <c r="N68" i="3"/>
  <c r="AM109" i="3"/>
  <c r="AG115" i="3"/>
  <c r="AM44" i="6"/>
  <c r="AG191" i="2"/>
  <c r="N187" i="2"/>
  <c r="J87" i="8" s="1"/>
  <c r="AG189" i="2"/>
  <c r="AM188" i="2"/>
  <c r="AM185" i="2"/>
  <c r="N86" i="8"/>
  <c r="N184" i="2"/>
  <c r="J86" i="8" s="1"/>
  <c r="N85" i="8"/>
  <c r="AG180" i="2"/>
  <c r="AD177" i="2"/>
  <c r="AM174" i="2"/>
  <c r="N83" i="8"/>
  <c r="AD174" i="2"/>
  <c r="N173" i="2"/>
  <c r="J83" i="8" s="1"/>
  <c r="N170" i="2"/>
  <c r="J82" i="8" s="1"/>
  <c r="K165" i="2"/>
  <c r="E81" i="8" s="1"/>
  <c r="AD168" i="2"/>
  <c r="AG168" i="2" s="1"/>
  <c r="N21" i="3"/>
  <c r="J98" i="8" s="1"/>
  <c r="Q146" i="8"/>
  <c r="N17" i="5"/>
  <c r="J171" i="8"/>
  <c r="J166" i="8" s="1"/>
  <c r="AM6" i="5"/>
  <c r="AG31" i="5"/>
  <c r="AG30" i="5" s="1"/>
  <c r="AD30" i="5"/>
  <c r="K170" i="8" s="1"/>
  <c r="AG36" i="5"/>
  <c r="AD36" i="5"/>
  <c r="K172" i="8" s="1"/>
  <c r="AG19" i="5"/>
  <c r="AM132" i="3"/>
  <c r="N24" i="3"/>
  <c r="J99" i="8" s="1"/>
  <c r="N82" i="4"/>
  <c r="AD90" i="3"/>
  <c r="AG90" i="3" s="1"/>
  <c r="K86" i="3"/>
  <c r="E113" i="8" s="1"/>
  <c r="K96" i="3"/>
  <c r="E115" i="8" s="1"/>
  <c r="N91" i="3"/>
  <c r="J114" i="8" s="1"/>
  <c r="AG74" i="3"/>
  <c r="AD70" i="3"/>
  <c r="AG70" i="3" s="1"/>
  <c r="AD69" i="3"/>
  <c r="AG69" i="3" s="1"/>
  <c r="J147" i="8"/>
  <c r="E203" i="8"/>
  <c r="AD68" i="5"/>
  <c r="K182" i="8" s="1"/>
  <c r="AG69" i="5"/>
  <c r="AG68" i="5" s="1"/>
  <c r="AG67" i="5"/>
  <c r="AG66" i="5" s="1"/>
  <c r="AD66" i="5"/>
  <c r="K181" i="8" s="1"/>
  <c r="AG58" i="5"/>
  <c r="AD58" i="5"/>
  <c r="N135" i="4"/>
  <c r="AG101" i="4"/>
  <c r="AG100" i="4" s="1"/>
  <c r="AD100" i="4"/>
  <c r="K149" i="8" s="1"/>
  <c r="J184" i="8"/>
  <c r="AM79" i="5"/>
  <c r="AG85" i="5"/>
  <c r="AD85" i="5"/>
  <c r="K186" i="8" s="1"/>
  <c r="E153" i="8"/>
  <c r="AM97" i="3"/>
  <c r="AM41" i="3"/>
  <c r="AD38" i="3"/>
  <c r="AG38" i="3" s="1"/>
  <c r="AG32" i="3"/>
  <c r="AD41" i="3"/>
  <c r="K54" i="3"/>
  <c r="E107" i="8" s="1"/>
  <c r="AG65" i="3"/>
  <c r="AG76" i="3"/>
  <c r="AD79" i="3"/>
  <c r="AG79" i="3" s="1"/>
  <c r="AD92" i="3"/>
  <c r="AG116" i="3"/>
  <c r="N104" i="8"/>
  <c r="AM44" i="3"/>
  <c r="AD87" i="3"/>
  <c r="K125" i="3"/>
  <c r="E121" i="8" s="1"/>
  <c r="E120" i="8" s="1"/>
  <c r="AG109" i="3"/>
  <c r="AD26" i="3"/>
  <c r="AG26" i="3" s="1"/>
  <c r="AG36" i="3"/>
  <c r="AD95" i="3"/>
  <c r="AG95" i="3" s="1"/>
  <c r="AD80" i="3"/>
  <c r="AG80" i="3" s="1"/>
  <c r="AD42" i="3"/>
  <c r="AG42" i="3" s="1"/>
  <c r="AG72" i="3"/>
  <c r="AG78" i="3"/>
  <c r="AD93" i="3"/>
  <c r="AG93" i="3" s="1"/>
  <c r="AD121" i="3"/>
  <c r="AG121" i="3" s="1"/>
  <c r="AD126" i="3"/>
  <c r="AD108" i="3"/>
  <c r="AG108" i="3" s="1"/>
  <c r="AD81" i="3"/>
  <c r="AG81" i="3" s="1"/>
  <c r="K5" i="3"/>
  <c r="AD20" i="3"/>
  <c r="AG20" i="3" s="1"/>
  <c r="AG44" i="3"/>
  <c r="AG43" i="3" s="1"/>
  <c r="N46" i="3"/>
  <c r="J106" i="8" s="1"/>
  <c r="N73" i="3"/>
  <c r="J112" i="8" s="1"/>
  <c r="AD77" i="3"/>
  <c r="AG77" i="3" s="1"/>
  <c r="AD85" i="3"/>
  <c r="AG85" i="3" s="1"/>
  <c r="AD94" i="3"/>
  <c r="AG94" i="3" s="1"/>
  <c r="AD102" i="3"/>
  <c r="AG102" i="3" s="1"/>
  <c r="AG106" i="5"/>
  <c r="AD99" i="5"/>
  <c r="K189" i="8" s="1"/>
  <c r="AG100" i="5"/>
  <c r="AG99" i="5" s="1"/>
  <c r="N77" i="5"/>
  <c r="AD123" i="3"/>
  <c r="AG123" i="3" s="1"/>
  <c r="AD122" i="3"/>
  <c r="AG122" i="3" s="1"/>
  <c r="K117" i="3"/>
  <c r="E119" i="8" s="1"/>
  <c r="AD38" i="4"/>
  <c r="K131" i="8" s="1"/>
  <c r="AG39" i="4"/>
  <c r="AG38" i="4" s="1"/>
  <c r="AD118" i="3"/>
  <c r="AD119" i="3"/>
  <c r="AG119" i="3" s="1"/>
  <c r="N117" i="3"/>
  <c r="J119" i="8" s="1"/>
  <c r="N107" i="3"/>
  <c r="J118" i="8" s="1"/>
  <c r="K107" i="3"/>
  <c r="E118" i="8" s="1"/>
  <c r="AG112" i="3"/>
  <c r="AG111" i="3"/>
  <c r="AG106" i="3"/>
  <c r="K101" i="3"/>
  <c r="E117" i="8" s="1"/>
  <c r="AD104" i="3"/>
  <c r="AG104" i="3" s="1"/>
  <c r="N101" i="3"/>
  <c r="J117" i="8" s="1"/>
  <c r="N64" i="3"/>
  <c r="J109" i="8" s="1"/>
  <c r="AD63" i="3"/>
  <c r="AG63" i="3" s="1"/>
  <c r="AG62" i="3"/>
  <c r="N59" i="3"/>
  <c r="J108" i="8" s="1"/>
  <c r="AG61" i="3"/>
  <c r="AD58" i="3"/>
  <c r="AG58" i="3" s="1"/>
  <c r="AD57" i="3"/>
  <c r="AG57" i="3" s="1"/>
  <c r="N54" i="3"/>
  <c r="J107" i="8" s="1"/>
  <c r="AD55" i="3"/>
  <c r="AG200" i="2"/>
  <c r="AG195" i="2"/>
  <c r="N193" i="2"/>
  <c r="J89" i="8" s="1"/>
  <c r="AG194" i="2"/>
  <c r="N30" i="6"/>
  <c r="N4" i="6"/>
  <c r="E199" i="8"/>
  <c r="K4" i="6"/>
  <c r="AG5" i="6"/>
  <c r="AD5" i="6"/>
  <c r="AG73" i="4"/>
  <c r="AD69" i="4"/>
  <c r="K139" i="8" s="1"/>
  <c r="AG64" i="4"/>
  <c r="AD64" i="4"/>
  <c r="K138" i="8" s="1"/>
  <c r="AD131" i="5"/>
  <c r="K195" i="8" s="1"/>
  <c r="AG123" i="5"/>
  <c r="AD123" i="5"/>
  <c r="K194" i="8" s="1"/>
  <c r="AG35" i="4"/>
  <c r="AG33" i="4" s="1"/>
  <c r="AD33" i="4"/>
  <c r="K129" i="8" s="1"/>
  <c r="N128" i="8"/>
  <c r="AD27" i="4"/>
  <c r="K128" i="8" s="1"/>
  <c r="AG28" i="4"/>
  <c r="AG27" i="4" s="1"/>
  <c r="N4" i="4"/>
  <c r="K4" i="4"/>
  <c r="AD43" i="5"/>
  <c r="K174" i="8" s="1"/>
  <c r="AG44" i="5"/>
  <c r="AG43" i="5" s="1"/>
  <c r="E151" i="8"/>
  <c r="AG110" i="4"/>
  <c r="AG109" i="4" s="1"/>
  <c r="AD109" i="4"/>
  <c r="K151" i="8" s="1"/>
  <c r="AD52" i="3"/>
  <c r="AG52" i="3" s="1"/>
  <c r="AD51" i="3"/>
  <c r="AG51" i="3" s="1"/>
  <c r="K46" i="3"/>
  <c r="E106" i="8" s="1"/>
  <c r="AG49" i="3"/>
  <c r="AD39" i="3"/>
  <c r="AG39" i="3" s="1"/>
  <c r="K34" i="3"/>
  <c r="N34" i="3"/>
  <c r="J102" i="8" s="1"/>
  <c r="AG37" i="3"/>
  <c r="AD19" i="3"/>
  <c r="AG19" i="3" s="1"/>
  <c r="N16" i="3"/>
  <c r="J97" i="8" s="1"/>
  <c r="AD18" i="3"/>
  <c r="AG18" i="3" s="1"/>
  <c r="AD17" i="3"/>
  <c r="K11" i="3"/>
  <c r="E95" i="8" s="1"/>
  <c r="AG7" i="3"/>
  <c r="N5" i="3"/>
  <c r="J94" i="8" s="1"/>
  <c r="AG6" i="3"/>
  <c r="AG140" i="5"/>
  <c r="AG139" i="5" s="1"/>
  <c r="AD139" i="5"/>
  <c r="K197" i="8" s="1"/>
  <c r="AG50" i="5"/>
  <c r="AG49" i="5" s="1"/>
  <c r="AG80" i="4"/>
  <c r="AG79" i="4" s="1"/>
  <c r="AD79" i="4"/>
  <c r="K142" i="8" s="1"/>
  <c r="AD57" i="4"/>
  <c r="K135" i="8" s="1"/>
  <c r="AG58" i="4"/>
  <c r="AG57" i="4" s="1"/>
  <c r="AD22" i="4"/>
  <c r="K126" i="8" s="1"/>
  <c r="N125" i="3"/>
  <c r="J121" i="8" s="1"/>
  <c r="J120" i="8" s="1"/>
  <c r="AG66" i="3"/>
  <c r="AG31" i="6"/>
  <c r="AG96" i="4"/>
  <c r="AG95" i="4" s="1"/>
  <c r="AD95" i="4"/>
  <c r="AG83" i="4"/>
  <c r="AD12" i="3"/>
  <c r="AD13" i="3"/>
  <c r="AG13" i="3" s="1"/>
  <c r="AG166" i="2"/>
  <c r="AD167" i="2"/>
  <c r="AD165" i="2" s="1"/>
  <c r="AL160" i="2"/>
  <c r="AD163" i="2"/>
  <c r="AG163" i="2" s="1"/>
  <c r="AD159" i="2"/>
  <c r="AG159" i="2" s="1"/>
  <c r="AD147" i="2"/>
  <c r="AG133" i="2"/>
  <c r="AD127" i="2"/>
  <c r="AD122" i="2"/>
  <c r="K70" i="8" s="1"/>
  <c r="N124" i="2"/>
  <c r="J71" i="8" s="1"/>
  <c r="N122" i="2"/>
  <c r="J70" i="8" s="1"/>
  <c r="N120" i="2"/>
  <c r="J69" i="8" s="1"/>
  <c r="K124" i="2"/>
  <c r="E71" i="8" s="1"/>
  <c r="K122" i="2"/>
  <c r="E70" i="8" s="1"/>
  <c r="K120" i="2"/>
  <c r="E69" i="8" s="1"/>
  <c r="AD117" i="2"/>
  <c r="AG117" i="2" s="1"/>
  <c r="AD116" i="2"/>
  <c r="AG116" i="2" s="1"/>
  <c r="AD108" i="2"/>
  <c r="AD103" i="2"/>
  <c r="AG103" i="2" s="1"/>
  <c r="AG100" i="2"/>
  <c r="AG96" i="2"/>
  <c r="AC86" i="2"/>
  <c r="AD62" i="2"/>
  <c r="AG62" i="2" s="1"/>
  <c r="AD61" i="2"/>
  <c r="AD55" i="2"/>
  <c r="AG55" i="2" s="1"/>
  <c r="AC48" i="2"/>
  <c r="AG51" i="2"/>
  <c r="AG42" i="2"/>
  <c r="H151" i="8" l="1"/>
  <c r="H172" i="8"/>
  <c r="E101" i="15"/>
  <c r="H197" i="8"/>
  <c r="H86" i="8"/>
  <c r="H149" i="8"/>
  <c r="H139" i="8"/>
  <c r="H173" i="8"/>
  <c r="H167" i="8"/>
  <c r="H83" i="8"/>
  <c r="N159" i="8"/>
  <c r="H159" i="8" s="1"/>
  <c r="H160" i="8"/>
  <c r="H104" i="8"/>
  <c r="H157" i="8"/>
  <c r="H103" i="8"/>
  <c r="H128" i="8"/>
  <c r="H85" i="8"/>
  <c r="H138" i="8"/>
  <c r="H145" i="8"/>
  <c r="L116" i="8"/>
  <c r="AE67" i="3"/>
  <c r="E89" i="8"/>
  <c r="AG193" i="2"/>
  <c r="AG198" i="2"/>
  <c r="K179" i="8"/>
  <c r="K178" i="8" s="1"/>
  <c r="AD57" i="5"/>
  <c r="K185" i="8"/>
  <c r="K184" i="8" s="1"/>
  <c r="AD77" i="5"/>
  <c r="K167" i="8"/>
  <c r="AD17" i="5"/>
  <c r="AN78" i="5"/>
  <c r="AN77" i="5" s="1"/>
  <c r="AN3" i="5" s="1"/>
  <c r="R161" i="8" s="1"/>
  <c r="AK78" i="5"/>
  <c r="AK77" i="5" s="1"/>
  <c r="AK3" i="5" s="1"/>
  <c r="O161" i="8" s="1"/>
  <c r="J8" i="7" s="1"/>
  <c r="N137" i="8"/>
  <c r="J7" i="7"/>
  <c r="AM87" i="3"/>
  <c r="AM86" i="3" s="1"/>
  <c r="Q113" i="8" s="1"/>
  <c r="N114" i="8"/>
  <c r="N113" i="8"/>
  <c r="AM22" i="3"/>
  <c r="AM93" i="3"/>
  <c r="AM91" i="3" s="1"/>
  <c r="Q114" i="8" s="1"/>
  <c r="AM30" i="3"/>
  <c r="AE100" i="3"/>
  <c r="AM82" i="3"/>
  <c r="AE28" i="3"/>
  <c r="AM123" i="3"/>
  <c r="AM117" i="3" s="1"/>
  <c r="AE46" i="3"/>
  <c r="N119" i="8"/>
  <c r="N62" i="8"/>
  <c r="N150" i="8"/>
  <c r="N87" i="8"/>
  <c r="N82" i="8"/>
  <c r="AM171" i="2"/>
  <c r="AM170" i="2" s="1"/>
  <c r="Q82" i="8" s="1"/>
  <c r="AG108" i="2"/>
  <c r="AM133" i="2"/>
  <c r="K200" i="8"/>
  <c r="K199" i="8" s="1"/>
  <c r="AD4" i="6"/>
  <c r="AM121" i="4"/>
  <c r="Q152" i="8" s="1"/>
  <c r="K154" i="8"/>
  <c r="K153" i="8" s="1"/>
  <c r="AD135" i="4"/>
  <c r="AM47" i="3"/>
  <c r="AM29" i="3"/>
  <c r="N100" i="8"/>
  <c r="AD40" i="3"/>
  <c r="N192" i="8"/>
  <c r="AM179" i="2"/>
  <c r="AM36" i="5"/>
  <c r="Q172" i="8" s="1"/>
  <c r="E166" i="8"/>
  <c r="AM7" i="5"/>
  <c r="AM5" i="5" s="1"/>
  <c r="AG18" i="5"/>
  <c r="AG17" i="5" s="1"/>
  <c r="H17" i="5" s="1"/>
  <c r="N163" i="8"/>
  <c r="H163" i="8" s="1"/>
  <c r="K148" i="8"/>
  <c r="K147" i="8" s="1"/>
  <c r="AD97" i="4"/>
  <c r="AM205" i="2"/>
  <c r="AM138" i="2"/>
  <c r="AM22" i="6"/>
  <c r="Q202" i="8" s="1"/>
  <c r="AM47" i="6"/>
  <c r="Q206" i="8" s="1"/>
  <c r="Q204" i="8"/>
  <c r="N185" i="8"/>
  <c r="AM126" i="3"/>
  <c r="AM125" i="3" s="1"/>
  <c r="AG146" i="2"/>
  <c r="AG139" i="2"/>
  <c r="AD134" i="2"/>
  <c r="AG134" i="2" s="1"/>
  <c r="AD137" i="2"/>
  <c r="AG137" i="2" s="1"/>
  <c r="N75" i="8"/>
  <c r="AG142" i="2"/>
  <c r="N129" i="8"/>
  <c r="AM27" i="3"/>
  <c r="AM24" i="3" s="1"/>
  <c r="Q99" i="8" s="1"/>
  <c r="AM16" i="3"/>
  <c r="Q97" i="8" s="1"/>
  <c r="AM34" i="3"/>
  <c r="Q102" i="8" s="1"/>
  <c r="AM48" i="2"/>
  <c r="AD48" i="2"/>
  <c r="AG48" i="2" s="1"/>
  <c r="K33" i="3"/>
  <c r="AM46" i="2"/>
  <c r="AM51" i="2"/>
  <c r="AM128" i="2"/>
  <c r="AM79" i="2"/>
  <c r="AM58" i="2"/>
  <c r="AM82" i="2"/>
  <c r="AM83" i="2"/>
  <c r="AM59" i="3"/>
  <c r="Q108" i="8" s="1"/>
  <c r="N107" i="8"/>
  <c r="AM56" i="3"/>
  <c r="AM54" i="3" s="1"/>
  <c r="Q107" i="8" s="1"/>
  <c r="AM32" i="3"/>
  <c r="AM107" i="3"/>
  <c r="Q118" i="8" s="1"/>
  <c r="AD28" i="3"/>
  <c r="K100" i="8" s="1"/>
  <c r="AM50" i="3"/>
  <c r="AM130" i="3"/>
  <c r="AM129" i="3" s="1"/>
  <c r="Q122" i="8" s="1"/>
  <c r="AM48" i="5"/>
  <c r="Q175" i="8" s="1"/>
  <c r="D68" i="15" s="1"/>
  <c r="AM85" i="5"/>
  <c r="Q186" i="8" s="1"/>
  <c r="AG105" i="5"/>
  <c r="AG77" i="5" s="1"/>
  <c r="H77" i="5" s="1"/>
  <c r="AM66" i="3"/>
  <c r="AM88" i="2"/>
  <c r="AM87" i="2"/>
  <c r="AM86" i="2"/>
  <c r="AM114" i="2"/>
  <c r="AM104" i="2"/>
  <c r="AM99" i="2"/>
  <c r="AM98" i="2"/>
  <c r="AM95" i="2"/>
  <c r="AM94" i="2"/>
  <c r="AM31" i="3"/>
  <c r="AM10" i="3"/>
  <c r="AM9" i="3"/>
  <c r="AM8" i="3"/>
  <c r="AM76" i="2"/>
  <c r="AM75" i="2"/>
  <c r="AM74" i="2"/>
  <c r="AM72" i="2"/>
  <c r="AM71" i="2"/>
  <c r="AM64" i="2"/>
  <c r="AM63" i="2"/>
  <c r="AM66" i="2"/>
  <c r="AM59" i="2"/>
  <c r="AM57" i="2"/>
  <c r="AM53" i="2"/>
  <c r="AM54" i="2"/>
  <c r="AM47" i="2"/>
  <c r="AM45" i="2"/>
  <c r="AM41" i="2"/>
  <c r="AM40" i="2"/>
  <c r="AM158" i="2"/>
  <c r="AM157" i="2"/>
  <c r="AM156" i="2"/>
  <c r="AM153" i="2"/>
  <c r="AM152" i="2"/>
  <c r="AM151" i="2"/>
  <c r="AM150" i="2"/>
  <c r="AM144" i="2"/>
  <c r="AM143" i="2"/>
  <c r="AM136" i="2"/>
  <c r="AM135" i="2"/>
  <c r="Q160" i="8"/>
  <c r="AM84" i="2"/>
  <c r="AM78" i="2"/>
  <c r="AM5" i="4"/>
  <c r="AM4" i="4" s="1"/>
  <c r="J101" i="8"/>
  <c r="AM64" i="4"/>
  <c r="Q138" i="8" s="1"/>
  <c r="AM45" i="6"/>
  <c r="AM40" i="6" s="1"/>
  <c r="N205" i="8"/>
  <c r="AM83" i="4"/>
  <c r="Q144" i="8" s="1"/>
  <c r="N115" i="8"/>
  <c r="AM71" i="3"/>
  <c r="AM68" i="3" s="1"/>
  <c r="Q111" i="8" s="1"/>
  <c r="AM129" i="2"/>
  <c r="N206" i="8"/>
  <c r="AM101" i="3"/>
  <c r="AM204" i="2"/>
  <c r="AM202" i="2"/>
  <c r="AM201" i="2"/>
  <c r="K145" i="2"/>
  <c r="E76" i="8" s="1"/>
  <c r="Q200" i="8"/>
  <c r="AM57" i="5"/>
  <c r="Q178" i="8" s="1"/>
  <c r="D74" i="15" s="1"/>
  <c r="Q167" i="8"/>
  <c r="N176" i="8"/>
  <c r="Q192" i="8"/>
  <c r="AM78" i="5"/>
  <c r="Q177" i="8"/>
  <c r="AI4" i="4"/>
  <c r="Q148" i="8"/>
  <c r="AM33" i="4"/>
  <c r="Q129" i="8" s="1"/>
  <c r="N154" i="8"/>
  <c r="AM136" i="4"/>
  <c r="AM91" i="4"/>
  <c r="N109" i="8"/>
  <c r="AG31" i="3"/>
  <c r="AG28" i="3" s="1"/>
  <c r="AM65" i="3"/>
  <c r="AM40" i="3"/>
  <c r="Q103" i="8" s="1"/>
  <c r="AM43" i="3"/>
  <c r="Q104" i="8" s="1"/>
  <c r="N97" i="8"/>
  <c r="AM96" i="3"/>
  <c r="Q115" i="8" s="1"/>
  <c r="N102" i="8"/>
  <c r="AM184" i="2"/>
  <c r="Q86" i="8" s="1"/>
  <c r="AM187" i="2"/>
  <c r="Q87" i="8" s="1"/>
  <c r="AM107" i="2"/>
  <c r="AM173" i="2"/>
  <c r="Q83" i="8" s="1"/>
  <c r="K3" i="6"/>
  <c r="E198" i="8" s="1"/>
  <c r="E9" i="7" s="1"/>
  <c r="AG4" i="5"/>
  <c r="H4" i="5" s="1"/>
  <c r="N152" i="8"/>
  <c r="K203" i="8"/>
  <c r="K162" i="8"/>
  <c r="K166" i="8"/>
  <c r="K191" i="8"/>
  <c r="AG4" i="4"/>
  <c r="K56" i="2"/>
  <c r="E58" i="8" s="1"/>
  <c r="K101" i="2"/>
  <c r="E66" i="8" s="1"/>
  <c r="AG57" i="2"/>
  <c r="K73" i="2"/>
  <c r="E61" i="8" s="1"/>
  <c r="K91" i="8"/>
  <c r="AD88" i="2"/>
  <c r="AG88" i="2" s="1"/>
  <c r="AD161" i="2"/>
  <c r="AG161" i="2" s="1"/>
  <c r="AG160" i="2" s="1"/>
  <c r="N145" i="2"/>
  <c r="J76" i="8" s="1"/>
  <c r="K140" i="2"/>
  <c r="E75" i="8" s="1"/>
  <c r="N91" i="8"/>
  <c r="AL4" i="4"/>
  <c r="AL100" i="4"/>
  <c r="AL97" i="4" s="1"/>
  <c r="K124" i="8"/>
  <c r="E147" i="8"/>
  <c r="AI82" i="4"/>
  <c r="AD184" i="2"/>
  <c r="K86" i="8" s="1"/>
  <c r="AG98" i="2"/>
  <c r="AG136" i="2"/>
  <c r="AD69" i="2"/>
  <c r="AG69" i="2" s="1"/>
  <c r="AD84" i="2"/>
  <c r="AG84" i="2" s="1"/>
  <c r="K126" i="2"/>
  <c r="E72" i="8" s="1"/>
  <c r="E68" i="8" s="1"/>
  <c r="AG135" i="2"/>
  <c r="AD158" i="2"/>
  <c r="AG158" i="2" s="1"/>
  <c r="AD193" i="2"/>
  <c r="K89" i="8" s="1"/>
  <c r="AD182" i="2"/>
  <c r="K85" i="8" s="1"/>
  <c r="AG96" i="3"/>
  <c r="K94" i="8"/>
  <c r="AG147" i="2"/>
  <c r="AD152" i="2"/>
  <c r="AG152" i="2" s="1"/>
  <c r="AM81" i="2"/>
  <c r="N43" i="2"/>
  <c r="J55" i="8" s="1"/>
  <c r="N56" i="8"/>
  <c r="AM50" i="2"/>
  <c r="AG53" i="2"/>
  <c r="AD138" i="2"/>
  <c r="AG138" i="2" s="1"/>
  <c r="AD82" i="4"/>
  <c r="K146" i="8"/>
  <c r="K143" i="8" s="1"/>
  <c r="AI135" i="4"/>
  <c r="AI97" i="4"/>
  <c r="AM194" i="2"/>
  <c r="AM193" i="2" s="1"/>
  <c r="K130" i="8"/>
  <c r="AD4" i="5"/>
  <c r="AD78" i="2"/>
  <c r="AG78" i="2" s="1"/>
  <c r="K127" i="8"/>
  <c r="AD34" i="3"/>
  <c r="K102" i="8" s="1"/>
  <c r="AM89" i="2"/>
  <c r="K136" i="8"/>
  <c r="AD30" i="6"/>
  <c r="K109" i="8"/>
  <c r="AD54" i="3"/>
  <c r="K107" i="8" s="1"/>
  <c r="AG57" i="5"/>
  <c r="H57" i="5" s="1"/>
  <c r="AD24" i="3"/>
  <c r="K99" i="8" s="1"/>
  <c r="AI26" i="4"/>
  <c r="AG135" i="4"/>
  <c r="H135" i="4" s="1"/>
  <c r="AM142" i="4"/>
  <c r="AM140" i="4" s="1"/>
  <c r="AL135" i="4"/>
  <c r="AG97" i="4"/>
  <c r="H97" i="4" s="1"/>
  <c r="AL82" i="4"/>
  <c r="E110" i="8"/>
  <c r="K77" i="2"/>
  <c r="E62" i="8" s="1"/>
  <c r="AD96" i="3"/>
  <c r="K115" i="8" s="1"/>
  <c r="N67" i="3"/>
  <c r="AG55" i="3"/>
  <c r="AG54" i="3" s="1"/>
  <c r="AG22" i="3"/>
  <c r="AG21" i="3" s="1"/>
  <c r="J96" i="8"/>
  <c r="AD107" i="3"/>
  <c r="K118" i="8" s="1"/>
  <c r="E96" i="8"/>
  <c r="K15" i="3"/>
  <c r="AG126" i="3"/>
  <c r="AG125" i="3" s="1"/>
  <c r="AD125" i="3"/>
  <c r="K121" i="8" s="1"/>
  <c r="J111" i="8"/>
  <c r="J110" i="8" s="1"/>
  <c r="J93" i="8"/>
  <c r="K124" i="3"/>
  <c r="AG64" i="3"/>
  <c r="J105" i="8"/>
  <c r="J116" i="8"/>
  <c r="AG101" i="3"/>
  <c r="AG24" i="3"/>
  <c r="AD187" i="2"/>
  <c r="K87" i="8" s="1"/>
  <c r="AG188" i="2"/>
  <c r="AG187" i="2" s="1"/>
  <c r="AG185" i="2"/>
  <c r="AG184" i="2" s="1"/>
  <c r="AG177" i="2"/>
  <c r="AG176" i="2" s="1"/>
  <c r="AD176" i="2"/>
  <c r="K84" i="8" s="1"/>
  <c r="AG174" i="2"/>
  <c r="AG173" i="2" s="1"/>
  <c r="AD173" i="2"/>
  <c r="K83" i="8" s="1"/>
  <c r="AG171" i="2"/>
  <c r="AG170" i="2" s="1"/>
  <c r="AD170" i="2"/>
  <c r="K82" i="8" s="1"/>
  <c r="AG167" i="2"/>
  <c r="AG165" i="2" s="1"/>
  <c r="N3" i="6"/>
  <c r="AG127" i="2"/>
  <c r="N71" i="8"/>
  <c r="AM125" i="2"/>
  <c r="AM121" i="2"/>
  <c r="AM120" i="2" s="1"/>
  <c r="AM161" i="2"/>
  <c r="E79" i="8"/>
  <c r="N160" i="2"/>
  <c r="J79" i="8" s="1"/>
  <c r="AD90" i="2"/>
  <c r="AG90" i="2" s="1"/>
  <c r="K85" i="2"/>
  <c r="E63" i="8" s="1"/>
  <c r="AD89" i="2"/>
  <c r="AG89" i="2" s="1"/>
  <c r="N85" i="2"/>
  <c r="J63" i="8" s="1"/>
  <c r="AG132" i="3"/>
  <c r="AG129" i="3" s="1"/>
  <c r="AD129" i="3"/>
  <c r="K122" i="8" s="1"/>
  <c r="N121" i="8"/>
  <c r="K106" i="2"/>
  <c r="E67" i="8" s="1"/>
  <c r="N106" i="2"/>
  <c r="J67" i="8" s="1"/>
  <c r="N101" i="2"/>
  <c r="J66" i="8" s="1"/>
  <c r="AD93" i="2"/>
  <c r="AG93" i="2" s="1"/>
  <c r="K67" i="3"/>
  <c r="AD73" i="3"/>
  <c r="K112" i="8" s="1"/>
  <c r="AG68" i="3"/>
  <c r="AD68" i="3"/>
  <c r="K111" i="8" s="1"/>
  <c r="AD157" i="2"/>
  <c r="AG157" i="2" s="1"/>
  <c r="N154" i="2"/>
  <c r="J78" i="8" s="1"/>
  <c r="AD156" i="2"/>
  <c r="AG156" i="2" s="1"/>
  <c r="K154" i="2"/>
  <c r="E78" i="8" s="1"/>
  <c r="AM155" i="2"/>
  <c r="AD153" i="2"/>
  <c r="AG153" i="2" s="1"/>
  <c r="N148" i="2"/>
  <c r="J77" i="8" s="1"/>
  <c r="K148" i="2"/>
  <c r="E77" i="8" s="1"/>
  <c r="AM149" i="2"/>
  <c r="N77" i="8"/>
  <c r="AG149" i="2"/>
  <c r="AD150" i="2"/>
  <c r="AG150" i="2" s="1"/>
  <c r="AG151" i="2"/>
  <c r="AG144" i="2"/>
  <c r="AG143" i="2"/>
  <c r="N140" i="2"/>
  <c r="J75" i="8" s="1"/>
  <c r="AM141" i="2"/>
  <c r="AG141" i="2"/>
  <c r="K131" i="2"/>
  <c r="N131" i="2"/>
  <c r="J74" i="8" s="1"/>
  <c r="AM132" i="2"/>
  <c r="AD91" i="3"/>
  <c r="K114" i="8" s="1"/>
  <c r="AG92" i="3"/>
  <c r="AG91" i="3" s="1"/>
  <c r="N117" i="8"/>
  <c r="H117" i="8" s="1"/>
  <c r="AG107" i="3"/>
  <c r="E94" i="8"/>
  <c r="E93" i="8" s="1"/>
  <c r="K4" i="3"/>
  <c r="AD86" i="3"/>
  <c r="K113" i="8" s="1"/>
  <c r="AG87" i="3"/>
  <c r="AG86" i="3" s="1"/>
  <c r="AG73" i="3"/>
  <c r="N95" i="8"/>
  <c r="AM14" i="3"/>
  <c r="AM6" i="3"/>
  <c r="AD43" i="3"/>
  <c r="AG41" i="3"/>
  <c r="AG40" i="3" s="1"/>
  <c r="AG118" i="3"/>
  <c r="AG117" i="3" s="1"/>
  <c r="AD117" i="3"/>
  <c r="K119" i="8" s="1"/>
  <c r="E116" i="8"/>
  <c r="AD101" i="3"/>
  <c r="K117" i="8" s="1"/>
  <c r="N100" i="3"/>
  <c r="K100" i="3"/>
  <c r="N45" i="3"/>
  <c r="AG60" i="3"/>
  <c r="AG59" i="3" s="1"/>
  <c r="AD59" i="3"/>
  <c r="K108" i="8" s="1"/>
  <c r="AD198" i="2"/>
  <c r="K90" i="8" s="1"/>
  <c r="AG30" i="6"/>
  <c r="H30" i="6" s="1"/>
  <c r="AG4" i="6"/>
  <c r="H4" i="6" s="1"/>
  <c r="N61" i="8"/>
  <c r="AD75" i="2"/>
  <c r="AG75" i="2" s="1"/>
  <c r="N73" i="2"/>
  <c r="J61" i="8" s="1"/>
  <c r="AD71" i="2"/>
  <c r="AG71" i="2" s="1"/>
  <c r="AD72" i="2"/>
  <c r="AG72" i="2" s="1"/>
  <c r="AG70" i="2"/>
  <c r="K68" i="2"/>
  <c r="E60" i="8" s="1"/>
  <c r="N68" i="2"/>
  <c r="J60" i="8" s="1"/>
  <c r="AD65" i="2"/>
  <c r="AG65" i="2" s="1"/>
  <c r="AG64" i="2"/>
  <c r="K60" i="2"/>
  <c r="E59" i="8" s="1"/>
  <c r="N60" i="2"/>
  <c r="J59" i="8" s="1"/>
  <c r="N56" i="2"/>
  <c r="J58" i="8" s="1"/>
  <c r="N52" i="2"/>
  <c r="J57" i="8" s="1"/>
  <c r="N49" i="2"/>
  <c r="J56" i="8" s="1"/>
  <c r="AD49" i="2"/>
  <c r="K56" i="8" s="1"/>
  <c r="AD45" i="2"/>
  <c r="AG45" i="2" s="1"/>
  <c r="AG26" i="4"/>
  <c r="H26" i="4" s="1"/>
  <c r="AD26" i="4"/>
  <c r="N126" i="2"/>
  <c r="J72" i="8" s="1"/>
  <c r="J68" i="8" s="1"/>
  <c r="K45" i="3"/>
  <c r="E105" i="8"/>
  <c r="AG47" i="3"/>
  <c r="AG46" i="3" s="1"/>
  <c r="AD46" i="3"/>
  <c r="K106" i="8" s="1"/>
  <c r="AG34" i="3"/>
  <c r="N33" i="3"/>
  <c r="E102" i="8"/>
  <c r="E101" i="8" s="1"/>
  <c r="N15" i="3"/>
  <c r="AG17" i="3"/>
  <c r="AG16" i="3" s="1"/>
  <c r="AD16" i="3"/>
  <c r="K97" i="8" s="1"/>
  <c r="N4" i="3"/>
  <c r="AG5" i="3"/>
  <c r="AD109" i="5"/>
  <c r="AG109" i="5"/>
  <c r="H109" i="5" s="1"/>
  <c r="AG48" i="5"/>
  <c r="H48" i="5" s="1"/>
  <c r="AD48" i="5"/>
  <c r="N144" i="8"/>
  <c r="H144" i="8" s="1"/>
  <c r="AD60" i="4"/>
  <c r="AG60" i="4"/>
  <c r="H60" i="4" s="1"/>
  <c r="AD37" i="4"/>
  <c r="AG37" i="4"/>
  <c r="H37" i="4" s="1"/>
  <c r="N124" i="3"/>
  <c r="AG82" i="4"/>
  <c r="H82" i="4" s="1"/>
  <c r="AG12" i="3"/>
  <c r="AG11" i="3" s="1"/>
  <c r="AD11" i="3"/>
  <c r="K95" i="8" s="1"/>
  <c r="AG99" i="2"/>
  <c r="AG58" i="2"/>
  <c r="AG46" i="2"/>
  <c r="AG123" i="2"/>
  <c r="AG122" i="2" s="1"/>
  <c r="K43" i="2"/>
  <c r="E55" i="8" s="1"/>
  <c r="AD47" i="2"/>
  <c r="AG47" i="2" s="1"/>
  <c r="K49" i="2"/>
  <c r="E56" i="8" s="1"/>
  <c r="K52" i="2"/>
  <c r="E57" i="8" s="1"/>
  <c r="AD66" i="2"/>
  <c r="AG66" i="2" s="1"/>
  <c r="AD74" i="2"/>
  <c r="AD54" i="2"/>
  <c r="AG54" i="2" s="1"/>
  <c r="AD94" i="2"/>
  <c r="AG94" i="2" s="1"/>
  <c r="N77" i="2"/>
  <c r="J62" i="8" s="1"/>
  <c r="AD86" i="2"/>
  <c r="AG114" i="2"/>
  <c r="AD129" i="2"/>
  <c r="AG129" i="2" s="1"/>
  <c r="AD125" i="2"/>
  <c r="AD67" i="2"/>
  <c r="AG67" i="2" s="1"/>
  <c r="AD76" i="2"/>
  <c r="AG76" i="2" s="1"/>
  <c r="AD81" i="2"/>
  <c r="AG81" i="2" s="1"/>
  <c r="AD87" i="2"/>
  <c r="AG87" i="2" s="1"/>
  <c r="AD97" i="2"/>
  <c r="AG97" i="2" s="1"/>
  <c r="AD118" i="2"/>
  <c r="AG118" i="2" s="1"/>
  <c r="AD128" i="2"/>
  <c r="AG128" i="2" s="1"/>
  <c r="AD115" i="2"/>
  <c r="AG115" i="2" s="1"/>
  <c r="AD104" i="2"/>
  <c r="AG104" i="2" s="1"/>
  <c r="AG61" i="2"/>
  <c r="AG63" i="2"/>
  <c r="N58" i="8"/>
  <c r="AG59" i="2"/>
  <c r="AG44" i="2"/>
  <c r="N54" i="8"/>
  <c r="AD41" i="2"/>
  <c r="AG41" i="2" s="1"/>
  <c r="AG50" i="2"/>
  <c r="AG49" i="2" s="1"/>
  <c r="AL49" i="2"/>
  <c r="AG38" i="2"/>
  <c r="AD37" i="2"/>
  <c r="AG37" i="2" s="1"/>
  <c r="AG36" i="2"/>
  <c r="AG20" i="2"/>
  <c r="AC13" i="2"/>
  <c r="J6" i="1"/>
  <c r="AC7" i="2"/>
  <c r="T8" i="7" l="1"/>
  <c r="R3" i="8"/>
  <c r="T3" i="7" s="1"/>
  <c r="H206" i="8"/>
  <c r="H205" i="8"/>
  <c r="H137" i="8"/>
  <c r="H150" i="8"/>
  <c r="H113" i="8"/>
  <c r="H109" i="8"/>
  <c r="H62" i="8"/>
  <c r="H102" i="8"/>
  <c r="N175" i="8"/>
  <c r="H176" i="8"/>
  <c r="H95" i="8"/>
  <c r="H107" i="8"/>
  <c r="H91" i="8"/>
  <c r="H97" i="8"/>
  <c r="H154" i="8"/>
  <c r="H115" i="8"/>
  <c r="H129" i="8"/>
  <c r="H54" i="8"/>
  <c r="H121" i="8"/>
  <c r="H114" i="8"/>
  <c r="H58" i="8"/>
  <c r="H71" i="8"/>
  <c r="H56" i="8"/>
  <c r="H82" i="8"/>
  <c r="H119" i="8"/>
  <c r="H77" i="8"/>
  <c r="H185" i="8"/>
  <c r="AE45" i="3"/>
  <c r="L106" i="8"/>
  <c r="L105" i="8" s="1"/>
  <c r="AG192" i="2"/>
  <c r="H192" i="2" s="1"/>
  <c r="AG43" i="2"/>
  <c r="AG77" i="2"/>
  <c r="AG92" i="2"/>
  <c r="AG52" i="2"/>
  <c r="AG68" i="2"/>
  <c r="AG56" i="2"/>
  <c r="AG145" i="2"/>
  <c r="AG106" i="2"/>
  <c r="K130" i="2"/>
  <c r="AG148" i="2"/>
  <c r="AG140" i="2"/>
  <c r="AD164" i="2"/>
  <c r="AG60" i="2"/>
  <c r="AG164" i="2"/>
  <c r="H164" i="2" s="1"/>
  <c r="AG126" i="2"/>
  <c r="AG119" i="2" s="1"/>
  <c r="H119" i="2" s="1"/>
  <c r="AG45" i="3"/>
  <c r="AM4" i="5"/>
  <c r="Q162" i="8" s="1"/>
  <c r="D46" i="15" s="1"/>
  <c r="Q117" i="8"/>
  <c r="AM100" i="3"/>
  <c r="Q116" i="8" s="1"/>
  <c r="D69" i="12" s="1"/>
  <c r="AM83" i="3"/>
  <c r="AM73" i="3" s="1"/>
  <c r="AM67" i="3" s="1"/>
  <c r="Q110" i="8" s="1"/>
  <c r="D61" i="12" s="1"/>
  <c r="AE15" i="3"/>
  <c r="N112" i="8"/>
  <c r="AM46" i="3"/>
  <c r="Q106" i="8" s="1"/>
  <c r="AM166" i="2"/>
  <c r="AM165" i="2" s="1"/>
  <c r="Q81" i="8" s="1"/>
  <c r="AD106" i="2"/>
  <c r="K67" i="8" s="1"/>
  <c r="N81" i="8"/>
  <c r="H81" i="8" s="1"/>
  <c r="AD3" i="4"/>
  <c r="K123" i="8" s="1"/>
  <c r="N155" i="8"/>
  <c r="AM97" i="4"/>
  <c r="Q147" i="8" s="1"/>
  <c r="D95" i="13" s="1"/>
  <c r="N106" i="8"/>
  <c r="AM17" i="5"/>
  <c r="Q166" i="8" s="1"/>
  <c r="D56" i="15" s="1"/>
  <c r="AM30" i="6"/>
  <c r="Q203" i="8" s="1"/>
  <c r="D52" i="17" s="1"/>
  <c r="AM203" i="2"/>
  <c r="Q91" i="8" s="1"/>
  <c r="D106" i="10" s="1"/>
  <c r="AM70" i="2"/>
  <c r="AM142" i="2"/>
  <c r="AM140" i="2" s="1"/>
  <c r="Q75" i="8" s="1"/>
  <c r="AM4" i="6"/>
  <c r="N60" i="8"/>
  <c r="AM69" i="2"/>
  <c r="AM97" i="2"/>
  <c r="AM137" i="2"/>
  <c r="N74" i="8"/>
  <c r="H74" i="8" s="1"/>
  <c r="AM139" i="2"/>
  <c r="AM146" i="2"/>
  <c r="AM134" i="2"/>
  <c r="N127" i="8"/>
  <c r="N125" i="8"/>
  <c r="AM64" i="3"/>
  <c r="Q109" i="8" s="1"/>
  <c r="AM28" i="3"/>
  <c r="Q100" i="8" s="1"/>
  <c r="AM39" i="2"/>
  <c r="Q54" i="8" s="1"/>
  <c r="AM159" i="2"/>
  <c r="AM154" i="2" s="1"/>
  <c r="AM56" i="2"/>
  <c r="Q58" i="8" s="1"/>
  <c r="AM73" i="2"/>
  <c r="Q61" i="8" s="1"/>
  <c r="AM32" i="2"/>
  <c r="AM24" i="2"/>
  <c r="AM28" i="2"/>
  <c r="AM23" i="2"/>
  <c r="AM22" i="2"/>
  <c r="AM31" i="2"/>
  <c r="AM5" i="3"/>
  <c r="Q94" i="8" s="1"/>
  <c r="AM77" i="5"/>
  <c r="Q184" i="8" s="1"/>
  <c r="D86" i="15" s="1"/>
  <c r="AM163" i="2"/>
  <c r="AM160" i="2" s="1"/>
  <c r="Q79" i="8" s="1"/>
  <c r="N98" i="8"/>
  <c r="AM85" i="2"/>
  <c r="Q63" i="8" s="1"/>
  <c r="N63" i="8"/>
  <c r="AM118" i="2"/>
  <c r="AM115" i="2"/>
  <c r="AM108" i="2"/>
  <c r="AM96" i="2"/>
  <c r="Q125" i="8"/>
  <c r="AM62" i="2"/>
  <c r="AM61" i="2"/>
  <c r="AM38" i="2"/>
  <c r="AM37" i="2"/>
  <c r="AM36" i="2"/>
  <c r="AM35" i="2"/>
  <c r="AM33" i="2"/>
  <c r="AM27" i="2"/>
  <c r="AM26" i="2"/>
  <c r="AM25" i="2"/>
  <c r="AM19" i="2"/>
  <c r="AM14" i="2"/>
  <c r="AM13" i="2"/>
  <c r="AM147" i="2"/>
  <c r="AM82" i="4"/>
  <c r="Q143" i="8" s="1"/>
  <c r="D83" i="13" s="1"/>
  <c r="Q205" i="8"/>
  <c r="N72" i="8"/>
  <c r="Q185" i="8"/>
  <c r="Q163" i="8"/>
  <c r="N162" i="8"/>
  <c r="N147" i="8"/>
  <c r="Q145" i="8"/>
  <c r="AM135" i="4"/>
  <c r="Q153" i="8" s="1"/>
  <c r="Q124" i="8"/>
  <c r="D47" i="13" s="1"/>
  <c r="AM26" i="4"/>
  <c r="Q127" i="8" s="1"/>
  <c r="D55" i="13" s="1"/>
  <c r="Q154" i="8"/>
  <c r="AM124" i="3"/>
  <c r="Q120" i="8" s="1"/>
  <c r="D78" i="12" s="1"/>
  <c r="Q119" i="8"/>
  <c r="Q121" i="8"/>
  <c r="AM11" i="3"/>
  <c r="N122" i="8"/>
  <c r="N101" i="8"/>
  <c r="N111" i="8"/>
  <c r="AM33" i="3"/>
  <c r="AM77" i="2"/>
  <c r="Q62" i="8" s="1"/>
  <c r="N119" i="2"/>
  <c r="AM93" i="2"/>
  <c r="N69" i="8"/>
  <c r="AM148" i="2"/>
  <c r="Q77" i="8" s="1"/>
  <c r="AM124" i="2"/>
  <c r="Q71" i="8" s="1"/>
  <c r="AM49" i="2"/>
  <c r="Q56" i="8" s="1"/>
  <c r="AD3" i="6"/>
  <c r="K198" i="8" s="1"/>
  <c r="L9" i="7" s="1"/>
  <c r="AD160" i="2"/>
  <c r="K79" i="8" s="1"/>
  <c r="K93" i="8"/>
  <c r="K119" i="2"/>
  <c r="N29" i="2"/>
  <c r="J52" i="8" s="1"/>
  <c r="K34" i="2"/>
  <c r="E53" i="8" s="1"/>
  <c r="AD34" i="2"/>
  <c r="K53" i="8" s="1"/>
  <c r="N76" i="8"/>
  <c r="K12" i="2"/>
  <c r="E49" i="8" s="1"/>
  <c r="AD56" i="2"/>
  <c r="K58" i="8" s="1"/>
  <c r="K88" i="8"/>
  <c r="N55" i="8"/>
  <c r="AM44" i="2"/>
  <c r="AG17" i="2"/>
  <c r="N143" i="8"/>
  <c r="H143" i="8" s="1"/>
  <c r="K96" i="8"/>
  <c r="K103" i="8"/>
  <c r="K104" i="8"/>
  <c r="K105" i="8"/>
  <c r="AG18" i="2"/>
  <c r="N52" i="8"/>
  <c r="AM30" i="2"/>
  <c r="AD39" i="2"/>
  <c r="K54" i="8" s="1"/>
  <c r="AD43" i="2"/>
  <c r="K55" i="8" s="1"/>
  <c r="K120" i="8"/>
  <c r="AM23" i="3"/>
  <c r="AM55" i="2"/>
  <c r="J73" i="8"/>
  <c r="E74" i="8"/>
  <c r="E73" i="8" s="1"/>
  <c r="J198" i="8"/>
  <c r="Q9" i="7" s="1"/>
  <c r="K81" i="8"/>
  <c r="K80" i="8" s="1"/>
  <c r="K116" i="8"/>
  <c r="K110" i="8"/>
  <c r="Q89" i="8"/>
  <c r="D104" i="10" s="1"/>
  <c r="AD3" i="5"/>
  <c r="K161" i="8" s="1"/>
  <c r="Q155" i="8"/>
  <c r="AD77" i="2"/>
  <c r="K62" i="8" s="1"/>
  <c r="AD124" i="3"/>
  <c r="AG124" i="3"/>
  <c r="H124" i="3" s="1"/>
  <c r="AG33" i="3"/>
  <c r="H33" i="3" s="1"/>
  <c r="AD126" i="2"/>
  <c r="K72" i="8" s="1"/>
  <c r="AM127" i="2"/>
  <c r="AM123" i="2"/>
  <c r="Q69" i="8"/>
  <c r="N3" i="3"/>
  <c r="J92" i="8" s="1"/>
  <c r="Q6" i="7" s="1"/>
  <c r="AM103" i="2"/>
  <c r="AD154" i="2"/>
  <c r="K78" i="8" s="1"/>
  <c r="AG155" i="2"/>
  <c r="AG154" i="2" s="1"/>
  <c r="AD148" i="2"/>
  <c r="AD140" i="2"/>
  <c r="K75" i="8" s="1"/>
  <c r="N130" i="2"/>
  <c r="AG132" i="2"/>
  <c r="AG131" i="2" s="1"/>
  <c r="AD131" i="2"/>
  <c r="K74" i="8" s="1"/>
  <c r="AD67" i="3"/>
  <c r="AG67" i="3"/>
  <c r="H67" i="3" s="1"/>
  <c r="N94" i="8"/>
  <c r="H94" i="8" s="1"/>
  <c r="AG100" i="3"/>
  <c r="H100" i="3" s="1"/>
  <c r="AD100" i="3"/>
  <c r="K3" i="3"/>
  <c r="E92" i="8" s="1"/>
  <c r="E6" i="7" s="1"/>
  <c r="AD192" i="2"/>
  <c r="AG3" i="6"/>
  <c r="AD68" i="2"/>
  <c r="K60" i="8" s="1"/>
  <c r="AD60" i="2"/>
  <c r="K59" i="8" s="1"/>
  <c r="AD52" i="2"/>
  <c r="K57" i="8" s="1"/>
  <c r="AG40" i="2"/>
  <c r="AG39" i="2" s="1"/>
  <c r="K29" i="2"/>
  <c r="E52" i="8" s="1"/>
  <c r="AG24" i="2"/>
  <c r="AD22" i="2"/>
  <c r="AG22" i="2" s="1"/>
  <c r="AG19" i="2"/>
  <c r="AG14" i="2"/>
  <c r="AD12" i="2"/>
  <c r="K49" i="8" s="1"/>
  <c r="E48" i="8"/>
  <c r="AG3" i="5"/>
  <c r="AG3" i="4"/>
  <c r="AD45" i="3"/>
  <c r="H45" i="3"/>
  <c r="AD15" i="3"/>
  <c r="AG15" i="3"/>
  <c r="H15" i="3" s="1"/>
  <c r="AD4" i="3"/>
  <c r="AG4" i="3"/>
  <c r="H4" i="3" s="1"/>
  <c r="K69" i="8"/>
  <c r="AG121" i="2"/>
  <c r="AG120" i="2" s="1"/>
  <c r="N39" i="2"/>
  <c r="J54" i="8" s="1"/>
  <c r="AG86" i="2"/>
  <c r="AG85" i="2" s="1"/>
  <c r="AD85" i="2"/>
  <c r="K63" i="8" s="1"/>
  <c r="AD30" i="2"/>
  <c r="N51" i="8"/>
  <c r="AG31" i="2"/>
  <c r="N53" i="8"/>
  <c r="AG74" i="2"/>
  <c r="AG73" i="2" s="1"/>
  <c r="AD73" i="2"/>
  <c r="K61" i="8" s="1"/>
  <c r="K21" i="2"/>
  <c r="E51" i="8" s="1"/>
  <c r="N21" i="2"/>
  <c r="J51" i="8" s="1"/>
  <c r="AG125" i="2"/>
  <c r="AG124" i="2" s="1"/>
  <c r="AD124" i="2"/>
  <c r="K71" i="8" s="1"/>
  <c r="AG25" i="2"/>
  <c r="K39" i="2"/>
  <c r="E54" i="8" s="1"/>
  <c r="N12" i="2"/>
  <c r="J49" i="8" s="1"/>
  <c r="AD92" i="2"/>
  <c r="K65" i="8" s="1"/>
  <c r="AG102" i="2"/>
  <c r="AG101" i="2" s="1"/>
  <c r="AD101" i="2"/>
  <c r="K66" i="8" s="1"/>
  <c r="AG16" i="2"/>
  <c r="AD23" i="2"/>
  <c r="AG23" i="2" s="1"/>
  <c r="M39" i="2"/>
  <c r="AF7" i="2"/>
  <c r="AG27" i="2"/>
  <c r="AG33" i="2"/>
  <c r="J48" i="8"/>
  <c r="AG26" i="2"/>
  <c r="AG32" i="2"/>
  <c r="AD28" i="2"/>
  <c r="AG28" i="2" s="1"/>
  <c r="N34" i="2"/>
  <c r="J53" i="8" s="1"/>
  <c r="AG35" i="2"/>
  <c r="AG34" i="2" s="1"/>
  <c r="N49" i="8"/>
  <c r="AD8" i="2"/>
  <c r="AG8" i="2" s="1"/>
  <c r="AG9" i="2"/>
  <c r="AG10" i="2"/>
  <c r="AD8" i="1"/>
  <c r="G100" i="2"/>
  <c r="AC175" i="1"/>
  <c r="AD197" i="1"/>
  <c r="AG197" i="1" s="1"/>
  <c r="AD193" i="1"/>
  <c r="AD191" i="1"/>
  <c r="AG191" i="1" s="1"/>
  <c r="AG189" i="1"/>
  <c r="AG183" i="1"/>
  <c r="AD181" i="1"/>
  <c r="AG181" i="1" s="1"/>
  <c r="AG177" i="1"/>
  <c r="J45" i="8"/>
  <c r="N208" i="1"/>
  <c r="N207" i="1"/>
  <c r="K207" i="1"/>
  <c r="N204" i="1"/>
  <c r="N205" i="1"/>
  <c r="K205" i="1"/>
  <c r="K204" i="1"/>
  <c r="N202" i="1"/>
  <c r="N201" i="1"/>
  <c r="N200" i="1"/>
  <c r="K202" i="1"/>
  <c r="K201" i="1"/>
  <c r="K200" i="1"/>
  <c r="N198" i="1"/>
  <c r="N197" i="1"/>
  <c r="N196" i="1"/>
  <c r="K198" i="1"/>
  <c r="K197" i="1"/>
  <c r="K196" i="1"/>
  <c r="K194" i="1"/>
  <c r="N194" i="1"/>
  <c r="N193" i="1"/>
  <c r="K193" i="1"/>
  <c r="N189" i="1"/>
  <c r="N191" i="1"/>
  <c r="N190" i="1"/>
  <c r="N188" i="1"/>
  <c r="N187" i="1"/>
  <c r="K191" i="1"/>
  <c r="K190" i="1"/>
  <c r="K189" i="1"/>
  <c r="K188" i="1"/>
  <c r="K187" i="1"/>
  <c r="N185" i="1"/>
  <c r="N184" i="1" s="1"/>
  <c r="J38" i="8" s="1"/>
  <c r="K185" i="1"/>
  <c r="K184" i="1" s="1"/>
  <c r="E38" i="8" s="1"/>
  <c r="N183" i="1"/>
  <c r="N182" i="1"/>
  <c r="N181" i="1"/>
  <c r="N180" i="1"/>
  <c r="K183" i="1"/>
  <c r="K182" i="1"/>
  <c r="K181" i="1"/>
  <c r="K180" i="1"/>
  <c r="N178" i="1"/>
  <c r="N177" i="1"/>
  <c r="N176" i="1"/>
  <c r="K178" i="1"/>
  <c r="K176" i="1"/>
  <c r="N174" i="1"/>
  <c r="N173" i="1"/>
  <c r="K177" i="1"/>
  <c r="K174" i="1"/>
  <c r="K173" i="1"/>
  <c r="AL166" i="1"/>
  <c r="N170" i="1"/>
  <c r="N169" i="1"/>
  <c r="N168" i="1"/>
  <c r="N167" i="1"/>
  <c r="M168" i="1"/>
  <c r="M169" i="1"/>
  <c r="M170" i="1"/>
  <c r="M167" i="1"/>
  <c r="K170" i="1"/>
  <c r="K169" i="1"/>
  <c r="K168" i="1"/>
  <c r="K167" i="1"/>
  <c r="N165" i="1"/>
  <c r="N164" i="1"/>
  <c r="N163" i="1"/>
  <c r="N162" i="1"/>
  <c r="N161" i="1"/>
  <c r="K164" i="1"/>
  <c r="K162" i="1"/>
  <c r="K163" i="1"/>
  <c r="K165" i="1"/>
  <c r="K161" i="1"/>
  <c r="N156" i="1"/>
  <c r="N154" i="1"/>
  <c r="N159" i="1"/>
  <c r="N157" i="1"/>
  <c r="N155" i="1"/>
  <c r="K159" i="1"/>
  <c r="K157" i="1"/>
  <c r="K156" i="1"/>
  <c r="K155" i="1"/>
  <c r="N152" i="1"/>
  <c r="N150" i="1"/>
  <c r="K152" i="1"/>
  <c r="K150" i="1"/>
  <c r="N147" i="1"/>
  <c r="N146" i="1"/>
  <c r="N145" i="1"/>
  <c r="N144" i="1"/>
  <c r="K147" i="1"/>
  <c r="K146" i="1"/>
  <c r="K145" i="1"/>
  <c r="K144" i="1"/>
  <c r="N142" i="1"/>
  <c r="N141" i="1"/>
  <c r="K142" i="1"/>
  <c r="K141" i="1"/>
  <c r="N139" i="1"/>
  <c r="N137" i="1"/>
  <c r="N135" i="1"/>
  <c r="N133" i="1"/>
  <c r="N132" i="1"/>
  <c r="K139" i="1"/>
  <c r="K137" i="1"/>
  <c r="K135" i="1"/>
  <c r="K133" i="1"/>
  <c r="K132" i="1"/>
  <c r="AD165" i="1"/>
  <c r="AG165" i="1" s="1"/>
  <c r="AM158" i="1"/>
  <c r="AD127" i="1"/>
  <c r="AF124" i="1"/>
  <c r="K127" i="1"/>
  <c r="AD104" i="1"/>
  <c r="AM103" i="1"/>
  <c r="N120" i="1"/>
  <c r="N124" i="1"/>
  <c r="N123" i="1"/>
  <c r="N122" i="1"/>
  <c r="N119" i="1"/>
  <c r="N118" i="1"/>
  <c r="N117" i="1"/>
  <c r="N116" i="1"/>
  <c r="N115" i="1"/>
  <c r="N114" i="1"/>
  <c r="N113" i="1"/>
  <c r="N106" i="1"/>
  <c r="K113" i="1"/>
  <c r="K114" i="1"/>
  <c r="K115" i="1"/>
  <c r="K116" i="1"/>
  <c r="K117" i="1"/>
  <c r="K118" i="1"/>
  <c r="K119" i="1"/>
  <c r="K120" i="1"/>
  <c r="K122" i="1"/>
  <c r="K123" i="1"/>
  <c r="K124" i="1"/>
  <c r="K106" i="1"/>
  <c r="N103" i="1"/>
  <c r="N104" i="1"/>
  <c r="K104" i="1"/>
  <c r="K103" i="1"/>
  <c r="N101" i="1"/>
  <c r="K101" i="1"/>
  <c r="N100" i="1"/>
  <c r="K100" i="1"/>
  <c r="AG96" i="1"/>
  <c r="AG97" i="1"/>
  <c r="AD98" i="1"/>
  <c r="AG98" i="1" s="1"/>
  <c r="N94" i="1"/>
  <c r="N95" i="1"/>
  <c r="N96" i="1"/>
  <c r="N97" i="1"/>
  <c r="N98" i="1"/>
  <c r="N93" i="1"/>
  <c r="K94" i="1"/>
  <c r="K95" i="1"/>
  <c r="K96" i="1"/>
  <c r="K97" i="1"/>
  <c r="K98" i="1"/>
  <c r="K93" i="1"/>
  <c r="AD89" i="1"/>
  <c r="AD90" i="1"/>
  <c r="AG90" i="1" s="1"/>
  <c r="N89" i="1"/>
  <c r="N90" i="1"/>
  <c r="K89" i="1"/>
  <c r="K90" i="1"/>
  <c r="N78" i="1"/>
  <c r="K81" i="1"/>
  <c r="K82" i="1"/>
  <c r="K83" i="1"/>
  <c r="K84" i="1"/>
  <c r="K85" i="1"/>
  <c r="K86" i="1"/>
  <c r="K78" i="1"/>
  <c r="K67" i="1"/>
  <c r="K68" i="1"/>
  <c r="K70" i="1"/>
  <c r="K73" i="1"/>
  <c r="K74" i="1"/>
  <c r="K59" i="1"/>
  <c r="K60" i="1"/>
  <c r="K61" i="1"/>
  <c r="K56" i="1"/>
  <c r="AD81" i="1"/>
  <c r="AG81" i="1" s="1"/>
  <c r="AD82" i="1"/>
  <c r="AG82" i="1" s="1"/>
  <c r="AD84" i="1"/>
  <c r="AG84" i="1" s="1"/>
  <c r="AD86" i="1"/>
  <c r="AG86" i="1" s="1"/>
  <c r="N81" i="1"/>
  <c r="N82" i="1"/>
  <c r="N83" i="1"/>
  <c r="N84" i="1"/>
  <c r="N85" i="1"/>
  <c r="N86" i="1"/>
  <c r="H122" i="8" l="1"/>
  <c r="H98" i="8"/>
  <c r="H106" i="8"/>
  <c r="H49" i="8"/>
  <c r="H76" i="8"/>
  <c r="H155" i="8"/>
  <c r="H112" i="8"/>
  <c r="H55" i="8"/>
  <c r="H69" i="8"/>
  <c r="H72" i="8"/>
  <c r="H63" i="8"/>
  <c r="H53" i="8"/>
  <c r="H111" i="8"/>
  <c r="H51" i="8"/>
  <c r="N124" i="8"/>
  <c r="H125" i="8"/>
  <c r="H60" i="8"/>
  <c r="H147" i="8"/>
  <c r="H124" i="8"/>
  <c r="H127" i="8"/>
  <c r="H162" i="8"/>
  <c r="H101" i="8"/>
  <c r="AE3" i="3"/>
  <c r="AG91" i="2"/>
  <c r="H91" i="2" s="1"/>
  <c r="AG15" i="2"/>
  <c r="AG21" i="2"/>
  <c r="AG130" i="2"/>
  <c r="H130" i="2" s="1"/>
  <c r="Q112" i="8"/>
  <c r="Q101" i="8"/>
  <c r="D45" i="12" s="1"/>
  <c r="N79" i="8"/>
  <c r="H79" i="8" s="1"/>
  <c r="AM85" i="1"/>
  <c r="AD119" i="1"/>
  <c r="AG119" i="1" s="1"/>
  <c r="N153" i="8"/>
  <c r="AG127" i="1"/>
  <c r="AG125" i="1" s="1"/>
  <c r="AD125" i="1"/>
  <c r="K25" i="8" s="1"/>
  <c r="AG121" i="1"/>
  <c r="N57" i="8"/>
  <c r="AM210" i="1"/>
  <c r="AM211" i="1"/>
  <c r="AD211" i="1"/>
  <c r="AM3" i="6"/>
  <c r="Q198" i="8" s="1"/>
  <c r="AM131" i="2"/>
  <c r="Q74" i="8" s="1"/>
  <c r="AM68" i="2"/>
  <c r="Q60" i="8" s="1"/>
  <c r="Q199" i="8"/>
  <c r="D42" i="17" s="1"/>
  <c r="AM188" i="1"/>
  <c r="AM178" i="1"/>
  <c r="AM202" i="1"/>
  <c r="AM154" i="1"/>
  <c r="AM159" i="1"/>
  <c r="AM78" i="1"/>
  <c r="AM145" i="2"/>
  <c r="Q76" i="8" s="1"/>
  <c r="AM45" i="3"/>
  <c r="Q105" i="8" s="1"/>
  <c r="D53" i="12" s="1"/>
  <c r="AM4" i="3"/>
  <c r="Q93" i="8" s="1"/>
  <c r="D33" i="12" s="1"/>
  <c r="AM60" i="2"/>
  <c r="Q59" i="8" s="1"/>
  <c r="N78" i="8"/>
  <c r="AM156" i="1"/>
  <c r="AM168" i="1"/>
  <c r="AD168" i="1"/>
  <c r="AG168" i="1" s="1"/>
  <c r="AG151" i="1"/>
  <c r="AM174" i="1"/>
  <c r="AD111" i="1"/>
  <c r="AG111" i="1" s="1"/>
  <c r="AD170" i="1"/>
  <c r="AG170" i="1" s="1"/>
  <c r="AM21" i="2"/>
  <c r="Q51" i="8" s="1"/>
  <c r="AM12" i="2"/>
  <c r="Q49" i="8" s="1"/>
  <c r="AM167" i="1"/>
  <c r="AM163" i="1"/>
  <c r="AM162" i="1"/>
  <c r="AG134" i="1"/>
  <c r="AM117" i="2"/>
  <c r="AM116" i="2"/>
  <c r="AM34" i="2"/>
  <c r="Q53" i="8" s="1"/>
  <c r="AM18" i="2"/>
  <c r="AM20" i="2"/>
  <c r="AM124" i="1"/>
  <c r="AM123" i="1"/>
  <c r="AM122" i="1"/>
  <c r="AM120" i="1"/>
  <c r="AM118" i="1"/>
  <c r="AM117" i="1"/>
  <c r="AM116" i="1"/>
  <c r="AM115" i="1"/>
  <c r="AM114" i="1"/>
  <c r="AM113" i="1"/>
  <c r="AM106" i="1"/>
  <c r="AM102" i="1"/>
  <c r="Q23" i="8" s="1"/>
  <c r="AM101" i="1"/>
  <c r="AM155" i="1"/>
  <c r="AM83" i="1"/>
  <c r="AM205" i="1"/>
  <c r="AM200" i="1"/>
  <c r="AM198" i="1"/>
  <c r="AM190" i="1"/>
  <c r="AM180" i="1"/>
  <c r="AM182" i="1"/>
  <c r="AM169" i="1"/>
  <c r="AM161" i="1"/>
  <c r="AM152" i="1"/>
  <c r="AM150" i="1"/>
  <c r="AM147" i="1"/>
  <c r="AM145" i="1"/>
  <c r="AM144" i="1"/>
  <c r="AM146" i="1"/>
  <c r="AM142" i="1"/>
  <c r="AM141" i="1"/>
  <c r="AM139" i="1"/>
  <c r="AM137" i="1"/>
  <c r="AM135" i="1"/>
  <c r="AM132" i="1"/>
  <c r="N110" i="8"/>
  <c r="H110" i="8" s="1"/>
  <c r="N120" i="8"/>
  <c r="AM21" i="3"/>
  <c r="AM15" i="3" s="1"/>
  <c r="Q96" i="8" s="1"/>
  <c r="D38" i="12" s="1"/>
  <c r="Q95" i="8"/>
  <c r="AM29" i="2"/>
  <c r="Q52" i="8" s="1"/>
  <c r="AM43" i="2"/>
  <c r="Q55" i="8" s="1"/>
  <c r="AM122" i="2"/>
  <c r="Q70" i="8" s="1"/>
  <c r="AM101" i="2"/>
  <c r="AM126" i="2"/>
  <c r="Q72" i="8" s="1"/>
  <c r="Q78" i="8"/>
  <c r="AM52" i="2"/>
  <c r="Q57" i="8" s="1"/>
  <c r="AD33" i="3"/>
  <c r="AD3" i="3" s="1"/>
  <c r="K92" i="8" s="1"/>
  <c r="K172" i="1"/>
  <c r="E35" i="8" s="1"/>
  <c r="K199" i="1"/>
  <c r="E42" i="8" s="1"/>
  <c r="N203" i="1"/>
  <c r="J43" i="8" s="1"/>
  <c r="K101" i="8"/>
  <c r="AG13" i="2"/>
  <c r="AG12" i="2" s="1"/>
  <c r="N93" i="8"/>
  <c r="H93" i="8" s="1"/>
  <c r="D104" i="13"/>
  <c r="N199" i="1"/>
  <c r="J42" i="8" s="1"/>
  <c r="L8" i="7"/>
  <c r="K68" i="8"/>
  <c r="L7" i="7"/>
  <c r="K77" i="8"/>
  <c r="AD145" i="2"/>
  <c r="K76" i="8" s="1"/>
  <c r="K64" i="8"/>
  <c r="AG103" i="1"/>
  <c r="K195" i="1"/>
  <c r="E41" i="8" s="1"/>
  <c r="K175" i="1"/>
  <c r="E36" i="8" s="1"/>
  <c r="AD149" i="1"/>
  <c r="AG149" i="1" s="1"/>
  <c r="AG169" i="1"/>
  <c r="N172" i="1"/>
  <c r="J35" i="8" s="1"/>
  <c r="AG208" i="1"/>
  <c r="N70" i="8"/>
  <c r="H70" i="8" s="1"/>
  <c r="K125" i="1"/>
  <c r="E25" i="8" s="1"/>
  <c r="AG207" i="1"/>
  <c r="AD205" i="1"/>
  <c r="AG205" i="1" s="1"/>
  <c r="K203" i="1"/>
  <c r="E43" i="8" s="1"/>
  <c r="N195" i="1"/>
  <c r="J41" i="8" s="1"/>
  <c r="N192" i="1"/>
  <c r="J40" i="8" s="1"/>
  <c r="K186" i="1"/>
  <c r="E39" i="8" s="1"/>
  <c r="N175" i="1"/>
  <c r="J36" i="8" s="1"/>
  <c r="AD173" i="1"/>
  <c r="AG173" i="1" s="1"/>
  <c r="K166" i="1"/>
  <c r="E33" i="8" s="1"/>
  <c r="AG159" i="1"/>
  <c r="N179" i="1"/>
  <c r="J37" i="8" s="1"/>
  <c r="AG78" i="1"/>
  <c r="N125" i="1"/>
  <c r="J25" i="8" s="1"/>
  <c r="AD162" i="1"/>
  <c r="AG162" i="1" s="1"/>
  <c r="K192" i="1"/>
  <c r="E40" i="8" s="1"/>
  <c r="N206" i="1"/>
  <c r="J44" i="8" s="1"/>
  <c r="K87" i="1"/>
  <c r="E19" i="8" s="1"/>
  <c r="AG120" i="1"/>
  <c r="AG150" i="1"/>
  <c r="K179" i="1"/>
  <c r="E37" i="8" s="1"/>
  <c r="AD185" i="1"/>
  <c r="AG185" i="1" s="1"/>
  <c r="AG184" i="1" s="1"/>
  <c r="AG123" i="1"/>
  <c r="AG152" i="1"/>
  <c r="AM207" i="1"/>
  <c r="AM201" i="1"/>
  <c r="AM196" i="1"/>
  <c r="AM185" i="1"/>
  <c r="N38" i="8"/>
  <c r="AM173" i="1"/>
  <c r="AG193" i="1"/>
  <c r="AM204" i="1"/>
  <c r="N43" i="8"/>
  <c r="AD110" i="1"/>
  <c r="AG110" i="1" s="1"/>
  <c r="AG108" i="1"/>
  <c r="K140" i="1"/>
  <c r="E28" i="8" s="1"/>
  <c r="AD161" i="1"/>
  <c r="AG161" i="1" s="1"/>
  <c r="N186" i="1"/>
  <c r="J39" i="8" s="1"/>
  <c r="K206" i="1"/>
  <c r="AG174" i="1"/>
  <c r="K102" i="1"/>
  <c r="E23" i="8" s="1"/>
  <c r="M166" i="1"/>
  <c r="K99" i="1"/>
  <c r="E22" i="8" s="1"/>
  <c r="AD182" i="1"/>
  <c r="AG182" i="1" s="1"/>
  <c r="AD190" i="1"/>
  <c r="AG190" i="1" s="1"/>
  <c r="AD194" i="1"/>
  <c r="AG194" i="1" s="1"/>
  <c r="AD107" i="1"/>
  <c r="AG107" i="1" s="1"/>
  <c r="E45" i="8"/>
  <c r="AD198" i="1"/>
  <c r="AG198" i="1" s="1"/>
  <c r="AD147" i="1"/>
  <c r="AG147" i="1" s="1"/>
  <c r="AG157" i="1"/>
  <c r="AD201" i="1"/>
  <c r="AG201" i="1" s="1"/>
  <c r="AD116" i="1"/>
  <c r="AG116" i="1" s="1"/>
  <c r="N140" i="1"/>
  <c r="J28" i="8" s="1"/>
  <c r="AD156" i="1"/>
  <c r="AG156" i="1" s="1"/>
  <c r="AD163" i="1"/>
  <c r="AG163" i="1" s="1"/>
  <c r="AD178" i="1"/>
  <c r="AG178" i="1" s="1"/>
  <c r="AD202" i="1"/>
  <c r="AG202" i="1" s="1"/>
  <c r="AG94" i="1"/>
  <c r="AG188" i="1"/>
  <c r="N160" i="1"/>
  <c r="J32" i="8" s="1"/>
  <c r="N166" i="1"/>
  <c r="J33" i="8" s="1"/>
  <c r="AD167" i="1"/>
  <c r="AG164" i="1"/>
  <c r="K160" i="1"/>
  <c r="E32" i="8" s="1"/>
  <c r="K153" i="1"/>
  <c r="E31" i="8" s="1"/>
  <c r="N153" i="1"/>
  <c r="J31" i="8" s="1"/>
  <c r="AD144" i="1"/>
  <c r="AG144" i="1" s="1"/>
  <c r="AD146" i="1"/>
  <c r="AG146" i="1" s="1"/>
  <c r="N29" i="8"/>
  <c r="AD145" i="1"/>
  <c r="AG145" i="1" s="1"/>
  <c r="K143" i="1"/>
  <c r="E29" i="8" s="1"/>
  <c r="N143" i="1"/>
  <c r="J29" i="8" s="1"/>
  <c r="N28" i="8"/>
  <c r="AG142" i="1"/>
  <c r="AG135" i="1"/>
  <c r="AG139" i="1"/>
  <c r="AG133" i="1"/>
  <c r="AD137" i="1"/>
  <c r="AG137" i="1" s="1"/>
  <c r="AD155" i="1"/>
  <c r="AG155" i="1" s="1"/>
  <c r="AD154" i="1"/>
  <c r="N87" i="1"/>
  <c r="J19" i="8" s="1"/>
  <c r="AG89" i="1"/>
  <c r="AG87" i="1" s="1"/>
  <c r="K19" i="8"/>
  <c r="AG85" i="1"/>
  <c r="AD83" i="1"/>
  <c r="AG83" i="1" s="1"/>
  <c r="AG79" i="1"/>
  <c r="AD29" i="2"/>
  <c r="K52" i="8" s="1"/>
  <c r="AD21" i="2"/>
  <c r="K51" i="8" s="1"/>
  <c r="AD15" i="2"/>
  <c r="K50" i="8" s="1"/>
  <c r="AG3" i="3"/>
  <c r="AD124" i="1"/>
  <c r="AG124" i="1" s="1"/>
  <c r="AG122" i="1"/>
  <c r="AD118" i="1"/>
  <c r="AG118" i="1" s="1"/>
  <c r="AD115" i="1"/>
  <c r="AG115" i="1" s="1"/>
  <c r="AD117" i="1"/>
  <c r="AG117" i="1" s="1"/>
  <c r="AG114" i="1"/>
  <c r="AD113" i="1"/>
  <c r="AG113" i="1" s="1"/>
  <c r="AD112" i="1"/>
  <c r="AG112" i="1" s="1"/>
  <c r="AG109" i="1"/>
  <c r="AD106" i="1"/>
  <c r="AG104" i="1"/>
  <c r="AG101" i="1"/>
  <c r="N102" i="1"/>
  <c r="J23" i="8" s="1"/>
  <c r="N99" i="1"/>
  <c r="J22" i="8" s="1"/>
  <c r="N92" i="1"/>
  <c r="J21" i="8" s="1"/>
  <c r="K92" i="1"/>
  <c r="AG30" i="2"/>
  <c r="AG29" i="2" s="1"/>
  <c r="AD119" i="2"/>
  <c r="AD91" i="2"/>
  <c r="AD11" i="2"/>
  <c r="AG11" i="2" s="1"/>
  <c r="AD7" i="2"/>
  <c r="AG100" i="1"/>
  <c r="AG73" i="1"/>
  <c r="AD66" i="1"/>
  <c r="AD67" i="1"/>
  <c r="AG67" i="1" s="1"/>
  <c r="AD68" i="1"/>
  <c r="AG68" i="1" s="1"/>
  <c r="AD59" i="1"/>
  <c r="AG59" i="1" s="1"/>
  <c r="AD60" i="1"/>
  <c r="AG60" i="1" s="1"/>
  <c r="AD61" i="1"/>
  <c r="AG61" i="1" s="1"/>
  <c r="AD62" i="1"/>
  <c r="AG62" i="1" s="1"/>
  <c r="AD54" i="1"/>
  <c r="AG54" i="1" s="1"/>
  <c r="AG55" i="1"/>
  <c r="AD56" i="1"/>
  <c r="AG56" i="1" s="1"/>
  <c r="AG49" i="1"/>
  <c r="AM50" i="1"/>
  <c r="AG51" i="1"/>
  <c r="AD46" i="1"/>
  <c r="AG46" i="1" s="1"/>
  <c r="AM47" i="1"/>
  <c r="N67" i="1"/>
  <c r="N68" i="1"/>
  <c r="N70" i="1"/>
  <c r="N72" i="1"/>
  <c r="N73" i="1"/>
  <c r="N74" i="1"/>
  <c r="N59" i="1"/>
  <c r="N60" i="1"/>
  <c r="N61" i="1"/>
  <c r="N53" i="1"/>
  <c r="N54" i="1"/>
  <c r="N55" i="1"/>
  <c r="N56" i="1"/>
  <c r="K54" i="1"/>
  <c r="K55" i="1"/>
  <c r="K53" i="1"/>
  <c r="N47" i="1"/>
  <c r="N46" i="1"/>
  <c r="N48" i="1"/>
  <c r="N49" i="1"/>
  <c r="N50" i="1"/>
  <c r="K46" i="1"/>
  <c r="K47" i="1"/>
  <c r="K48" i="1"/>
  <c r="K50" i="1"/>
  <c r="AD41" i="1"/>
  <c r="AG41" i="1" s="1"/>
  <c r="AG42" i="1"/>
  <c r="N41" i="1"/>
  <c r="N42" i="1"/>
  <c r="N43" i="1"/>
  <c r="N40" i="1"/>
  <c r="K41" i="1"/>
  <c r="K42" i="1"/>
  <c r="K43" i="1"/>
  <c r="K40" i="1"/>
  <c r="N38" i="1"/>
  <c r="N37" i="1"/>
  <c r="K38" i="1"/>
  <c r="K37" i="1"/>
  <c r="AD37" i="1"/>
  <c r="N34" i="1"/>
  <c r="N35" i="1"/>
  <c r="K34" i="1"/>
  <c r="K35" i="1"/>
  <c r="N33" i="1"/>
  <c r="K33" i="1"/>
  <c r="H43" i="8" l="1"/>
  <c r="H28" i="8"/>
  <c r="H78" i="8"/>
  <c r="H29" i="8"/>
  <c r="D127" i="11"/>
  <c r="H38" i="8"/>
  <c r="H153" i="8"/>
  <c r="H120" i="8"/>
  <c r="AM153" i="1"/>
  <c r="AM3" i="3"/>
  <c r="Q92" i="8" s="1"/>
  <c r="Q66" i="8"/>
  <c r="AM81" i="1"/>
  <c r="AM119" i="1"/>
  <c r="N45" i="8"/>
  <c r="AD209" i="1"/>
  <c r="E44" i="8"/>
  <c r="E34" i="8" s="1"/>
  <c r="K171" i="1"/>
  <c r="K3" i="1" s="1"/>
  <c r="AM130" i="2"/>
  <c r="Q73" i="8" s="1"/>
  <c r="D81" i="10" s="1"/>
  <c r="N73" i="8"/>
  <c r="AM203" i="1"/>
  <c r="Q43" i="8" s="1"/>
  <c r="AM48" i="1"/>
  <c r="AM140" i="1"/>
  <c r="Q28" i="8" s="1"/>
  <c r="AM209" i="1"/>
  <c r="Q45" i="8" s="1"/>
  <c r="AM53" i="1"/>
  <c r="Q31" i="8"/>
  <c r="AM106" i="2"/>
  <c r="Q67" i="8" s="1"/>
  <c r="AM172" i="1"/>
  <c r="Q35" i="8" s="1"/>
  <c r="AM208" i="1"/>
  <c r="N44" i="8"/>
  <c r="N33" i="8"/>
  <c r="H33" i="8" s="1"/>
  <c r="AM90" i="1"/>
  <c r="AD166" i="1"/>
  <c r="K33" i="8" s="1"/>
  <c r="AM170" i="1"/>
  <c r="AM166" i="1" s="1"/>
  <c r="Q33" i="8" s="1"/>
  <c r="AM187" i="1"/>
  <c r="AM40" i="1"/>
  <c r="AM199" i="1"/>
  <c r="Q42" i="8" s="1"/>
  <c r="AM143" i="1"/>
  <c r="Q29" i="8" s="1"/>
  <c r="AM8" i="2"/>
  <c r="AM176" i="1"/>
  <c r="S9" i="7"/>
  <c r="AM164" i="1"/>
  <c r="AM11" i="2"/>
  <c r="AM9" i="2"/>
  <c r="AM10" i="2"/>
  <c r="AM7" i="2"/>
  <c r="AM6" i="2"/>
  <c r="AM43" i="1"/>
  <c r="N23" i="8"/>
  <c r="AM97" i="1"/>
  <c r="AM96" i="1"/>
  <c r="AM94" i="1"/>
  <c r="N31" i="8"/>
  <c r="AM84" i="1"/>
  <c r="AM82" i="1"/>
  <c r="AM75" i="1"/>
  <c r="AM70" i="1"/>
  <c r="AM197" i="1"/>
  <c r="AM195" i="1" s="1"/>
  <c r="Q41" i="8" s="1"/>
  <c r="AM191" i="1"/>
  <c r="AM189" i="1"/>
  <c r="AM181" i="1"/>
  <c r="AM183" i="1"/>
  <c r="AM177" i="1"/>
  <c r="AM27" i="1"/>
  <c r="AM165" i="1"/>
  <c r="AM38" i="1"/>
  <c r="AM35" i="1"/>
  <c r="AM34" i="1"/>
  <c r="Q98" i="8"/>
  <c r="K73" i="8"/>
  <c r="AM119" i="2"/>
  <c r="Q68" i="8" s="1"/>
  <c r="D72" i="10" s="1"/>
  <c r="AM149" i="1"/>
  <c r="AM184" i="1"/>
  <c r="AM89" i="1"/>
  <c r="AD130" i="2"/>
  <c r="AD102" i="1"/>
  <c r="K23" i="8" s="1"/>
  <c r="AG102" i="1"/>
  <c r="L6" i="7"/>
  <c r="N68" i="8"/>
  <c r="H68" i="8" s="1"/>
  <c r="AD92" i="1"/>
  <c r="K21" i="8" s="1"/>
  <c r="AG148" i="1"/>
  <c r="N35" i="8"/>
  <c r="AG160" i="1"/>
  <c r="AD206" i="1"/>
  <c r="K44" i="8" s="1"/>
  <c r="AG206" i="1"/>
  <c r="AD192" i="1"/>
  <c r="K40" i="8" s="1"/>
  <c r="AD186" i="1"/>
  <c r="K39" i="8" s="1"/>
  <c r="AD184" i="1"/>
  <c r="K38" i="8" s="1"/>
  <c r="AD179" i="1"/>
  <c r="K37" i="8" s="1"/>
  <c r="J34" i="8"/>
  <c r="AD172" i="1"/>
  <c r="AG172" i="1"/>
  <c r="AG187" i="1"/>
  <c r="AG186" i="1" s="1"/>
  <c r="K32" i="1"/>
  <c r="E12" i="8" s="1"/>
  <c r="K39" i="1"/>
  <c r="E14" i="8" s="1"/>
  <c r="N32" i="8"/>
  <c r="AG180" i="1"/>
  <c r="AG143" i="1"/>
  <c r="AD148" i="1"/>
  <c r="K30" i="8" s="1"/>
  <c r="E21" i="8"/>
  <c r="AM193" i="1"/>
  <c r="N40" i="8"/>
  <c r="AG200" i="1"/>
  <c r="AG199" i="1" s="1"/>
  <c r="AD199" i="1"/>
  <c r="K42" i="8" s="1"/>
  <c r="AG192" i="1"/>
  <c r="N171" i="1"/>
  <c r="K36" i="1"/>
  <c r="E13" i="8" s="1"/>
  <c r="N22" i="8"/>
  <c r="AM100" i="1"/>
  <c r="AD160" i="1"/>
  <c r="K32" i="8" s="1"/>
  <c r="AD143" i="1"/>
  <c r="K29" i="8" s="1"/>
  <c r="N41" i="8"/>
  <c r="AD195" i="1"/>
  <c r="K41" i="8" s="1"/>
  <c r="AG196" i="1"/>
  <c r="AG195" i="1" s="1"/>
  <c r="AG204" i="1"/>
  <c r="AG203" i="1" s="1"/>
  <c r="AD203" i="1"/>
  <c r="K43" i="8" s="1"/>
  <c r="N37" i="8"/>
  <c r="AD175" i="1"/>
  <c r="K36" i="8" s="1"/>
  <c r="AG176" i="1"/>
  <c r="AG175" i="1" s="1"/>
  <c r="AM86" i="1"/>
  <c r="AG106" i="1"/>
  <c r="AG105" i="1" s="1"/>
  <c r="AD105" i="1"/>
  <c r="K24" i="8" s="1"/>
  <c r="AG167" i="1"/>
  <c r="AG166" i="1" s="1"/>
  <c r="AG141" i="1"/>
  <c r="AG140" i="1" s="1"/>
  <c r="AD140" i="1"/>
  <c r="K28" i="8" s="1"/>
  <c r="AD131" i="1"/>
  <c r="AG131" i="1"/>
  <c r="AG154" i="1"/>
  <c r="AG153" i="1" s="1"/>
  <c r="AD153" i="1"/>
  <c r="K31" i="8" s="1"/>
  <c r="K18" i="8"/>
  <c r="AD70" i="1"/>
  <c r="AG70" i="1" s="1"/>
  <c r="AD52" i="1"/>
  <c r="K16" i="8" s="1"/>
  <c r="N52" i="1"/>
  <c r="J16" i="8" s="1"/>
  <c r="AD47" i="1"/>
  <c r="AG47" i="1" s="1"/>
  <c r="N39" i="1"/>
  <c r="J14" i="8" s="1"/>
  <c r="AG7" i="2"/>
  <c r="AG5" i="2" s="1"/>
  <c r="AG4" i="2" s="1"/>
  <c r="H4" i="2" s="1"/>
  <c r="AG3" i="2" s="1"/>
  <c r="AD5" i="2"/>
  <c r="K48" i="8" s="1"/>
  <c r="K47" i="8" s="1"/>
  <c r="N32" i="1"/>
  <c r="J12" i="8" s="1"/>
  <c r="AD99" i="1"/>
  <c r="K22" i="8" s="1"/>
  <c r="AG99" i="1"/>
  <c r="AG37" i="1"/>
  <c r="AM66" i="1"/>
  <c r="N36" i="1"/>
  <c r="J13" i="8" s="1"/>
  <c r="AG34" i="1"/>
  <c r="AG33" i="1"/>
  <c r="AD45" i="1"/>
  <c r="AD40" i="1"/>
  <c r="AG48" i="1"/>
  <c r="AD38" i="1"/>
  <c r="AG38" i="1" s="1"/>
  <c r="AG43" i="1"/>
  <c r="K52" i="1"/>
  <c r="E16" i="8" s="1"/>
  <c r="AD50" i="1"/>
  <c r="AG50" i="1" s="1"/>
  <c r="AG35" i="1"/>
  <c r="AI27" i="1"/>
  <c r="AG27" i="1"/>
  <c r="AD28" i="1"/>
  <c r="AG28" i="1" s="1"/>
  <c r="N30" i="1"/>
  <c r="N28" i="1"/>
  <c r="N29" i="1"/>
  <c r="N27" i="1"/>
  <c r="N24" i="1"/>
  <c r="N22" i="1"/>
  <c r="N21" i="1"/>
  <c r="N18" i="1"/>
  <c r="N19" i="1"/>
  <c r="N20" i="1"/>
  <c r="N14" i="1"/>
  <c r="N12" i="1" s="1"/>
  <c r="J7" i="8" s="1"/>
  <c r="N11" i="1"/>
  <c r="M7" i="1"/>
  <c r="K28" i="1"/>
  <c r="K29" i="1"/>
  <c r="K30" i="1"/>
  <c r="K27" i="1"/>
  <c r="K24" i="1"/>
  <c r="AD22" i="1"/>
  <c r="AG22" i="1" s="1"/>
  <c r="AD18" i="1"/>
  <c r="AG18" i="1" s="1"/>
  <c r="K18" i="1"/>
  <c r="K19" i="1"/>
  <c r="K20" i="1"/>
  <c r="K21" i="1"/>
  <c r="K22" i="1"/>
  <c r="K14" i="1"/>
  <c r="AF6" i="1"/>
  <c r="AG8" i="1"/>
  <c r="AC9" i="1"/>
  <c r="AF9" i="1" s="1"/>
  <c r="AI6" i="1"/>
  <c r="M14" i="1"/>
  <c r="M12" i="1" s="1"/>
  <c r="M6" i="1"/>
  <c r="K8" i="1"/>
  <c r="K9" i="1"/>
  <c r="K11" i="1"/>
  <c r="H41" i="8" l="1"/>
  <c r="H32" i="8"/>
  <c r="H35" i="8"/>
  <c r="H31" i="8"/>
  <c r="H23" i="8"/>
  <c r="H22" i="8"/>
  <c r="H37" i="8"/>
  <c r="D128" i="11"/>
  <c r="H40" i="8"/>
  <c r="H44" i="8"/>
  <c r="H73" i="8"/>
  <c r="AM5" i="2"/>
  <c r="Q48" i="8" s="1"/>
  <c r="E6" i="8"/>
  <c r="AD171" i="1"/>
  <c r="K45" i="8"/>
  <c r="AM46" i="1"/>
  <c r="AM54" i="1"/>
  <c r="AM206" i="1"/>
  <c r="Q44" i="8" s="1"/>
  <c r="AM160" i="1"/>
  <c r="Q32" i="8" s="1"/>
  <c r="AM186" i="1"/>
  <c r="Q39" i="8" s="1"/>
  <c r="AM175" i="1"/>
  <c r="Q36" i="8" s="1"/>
  <c r="AM87" i="1"/>
  <c r="Q19" i="8" s="1"/>
  <c r="AM9" i="1"/>
  <c r="AM19" i="1"/>
  <c r="AM20" i="1"/>
  <c r="AM71" i="1"/>
  <c r="AM69" i="1"/>
  <c r="AM41" i="1"/>
  <c r="AM179" i="1"/>
  <c r="Q37" i="8" s="1"/>
  <c r="AM11" i="1"/>
  <c r="AM21" i="1"/>
  <c r="AM73" i="1"/>
  <c r="AM67" i="1"/>
  <c r="AM61" i="1"/>
  <c r="AM60" i="1"/>
  <c r="AM55" i="1"/>
  <c r="AM42" i="1"/>
  <c r="N39" i="8"/>
  <c r="AM30" i="1"/>
  <c r="AM29" i="1"/>
  <c r="S6" i="7"/>
  <c r="AM99" i="1"/>
  <c r="Q22" i="8" s="1"/>
  <c r="Q38" i="8"/>
  <c r="AM192" i="1"/>
  <c r="AM6" i="1"/>
  <c r="AM14" i="1"/>
  <c r="J6" i="8"/>
  <c r="AD91" i="1"/>
  <c r="K20" i="8"/>
  <c r="K35" i="8"/>
  <c r="K27" i="8"/>
  <c r="K26" i="8" s="1"/>
  <c r="AD130" i="1"/>
  <c r="AD3" i="1" s="1"/>
  <c r="AG17" i="1"/>
  <c r="AG20" i="1"/>
  <c r="AM127" i="1"/>
  <c r="N36" i="8"/>
  <c r="N13" i="8"/>
  <c r="AM37" i="1"/>
  <c r="AM56" i="1"/>
  <c r="AG53" i="1"/>
  <c r="AG52" i="1" s="1"/>
  <c r="AG171" i="1"/>
  <c r="H171" i="1" s="1"/>
  <c r="AG3" i="1" s="1"/>
  <c r="K16" i="1"/>
  <c r="H91" i="1"/>
  <c r="N23" i="1"/>
  <c r="J9" i="8" s="1"/>
  <c r="N12" i="8"/>
  <c r="AM33" i="1"/>
  <c r="AM32" i="1" s="1"/>
  <c r="N9" i="8"/>
  <c r="AM24" i="1"/>
  <c r="AM45" i="1"/>
  <c r="AD24" i="1"/>
  <c r="N14" i="8"/>
  <c r="AD36" i="1"/>
  <c r="K13" i="8" s="1"/>
  <c r="AG36" i="1"/>
  <c r="AG130" i="1"/>
  <c r="AD4" i="2"/>
  <c r="N48" i="8"/>
  <c r="K26" i="1"/>
  <c r="AD32" i="1"/>
  <c r="K12" i="8" s="1"/>
  <c r="K23" i="1"/>
  <c r="E9" i="8" s="1"/>
  <c r="K12" i="1"/>
  <c r="E7" i="8" s="1"/>
  <c r="AD21" i="1"/>
  <c r="AG21" i="1" s="1"/>
  <c r="N26" i="1"/>
  <c r="J10" i="8" s="1"/>
  <c r="AG45" i="1"/>
  <c r="AD44" i="1"/>
  <c r="K15" i="8" s="1"/>
  <c r="AD19" i="1"/>
  <c r="AG19" i="1" s="1"/>
  <c r="AG30" i="1"/>
  <c r="AG32" i="1"/>
  <c r="AG29" i="1"/>
  <c r="AD14" i="1"/>
  <c r="AG58" i="1"/>
  <c r="AG57" i="1" s="1"/>
  <c r="AD57" i="1"/>
  <c r="K17" i="8" s="1"/>
  <c r="AD39" i="1"/>
  <c r="K14" i="8" s="1"/>
  <c r="AG40" i="1"/>
  <c r="AG39" i="1" s="1"/>
  <c r="N16" i="1"/>
  <c r="J8" i="8" s="1"/>
  <c r="AD11" i="1"/>
  <c r="AG11" i="1" s="1"/>
  <c r="AD9" i="1"/>
  <c r="AG10" i="1"/>
  <c r="H48" i="8" l="1"/>
  <c r="H9" i="8"/>
  <c r="H39" i="8"/>
  <c r="H14" i="8"/>
  <c r="H13" i="8"/>
  <c r="K11" i="8"/>
  <c r="AD3" i="2"/>
  <c r="K46" i="8" s="1"/>
  <c r="AM12" i="1"/>
  <c r="K6" i="8"/>
  <c r="K34" i="8"/>
  <c r="AM52" i="1"/>
  <c r="Q16" i="8" s="1"/>
  <c r="AM171" i="1"/>
  <c r="Q34" i="8" s="1"/>
  <c r="D82" i="11" s="1"/>
  <c r="AM39" i="1"/>
  <c r="Q14" i="8" s="1"/>
  <c r="AM18" i="1"/>
  <c r="AM22" i="1"/>
  <c r="AM68" i="1"/>
  <c r="AM15" i="1"/>
  <c r="AM8" i="1"/>
  <c r="AM23" i="1"/>
  <c r="Q9" i="8" s="1"/>
  <c r="AM125" i="1"/>
  <c r="Q25" i="8" s="1"/>
  <c r="AM17" i="1"/>
  <c r="N8" i="8"/>
  <c r="AM36" i="1"/>
  <c r="Q13" i="8" s="1"/>
  <c r="Q40" i="8"/>
  <c r="N7" i="8"/>
  <c r="J5" i="8"/>
  <c r="AG9" i="1"/>
  <c r="E8" i="8"/>
  <c r="AG24" i="1"/>
  <c r="K9" i="8"/>
  <c r="AM7" i="1"/>
  <c r="AM5" i="1" s="1"/>
  <c r="AG14" i="1"/>
  <c r="K7" i="8"/>
  <c r="N10" i="8"/>
  <c r="AM28" i="1"/>
  <c r="AM26" i="1" s="1"/>
  <c r="Q12" i="8"/>
  <c r="AG26" i="1"/>
  <c r="E10" i="8"/>
  <c r="K10" i="8"/>
  <c r="AD31" i="1"/>
  <c r="AG31" i="1"/>
  <c r="H31" i="1" s="1"/>
  <c r="K8" i="8"/>
  <c r="H10" i="8" l="1"/>
  <c r="H7" i="8"/>
  <c r="H8" i="8"/>
  <c r="L5" i="7"/>
  <c r="Q7" i="8"/>
  <c r="AM16" i="1"/>
  <c r="Q6" i="8"/>
  <c r="N6" i="8"/>
  <c r="H6" i="8" s="1"/>
  <c r="K5" i="8"/>
  <c r="AG4" i="1"/>
  <c r="E5" i="8"/>
  <c r="AD4" i="1"/>
  <c r="K4" i="8" s="1"/>
  <c r="F100" i="2"/>
  <c r="AL97" i="2"/>
  <c r="AF97" i="2"/>
  <c r="AF96" i="2"/>
  <c r="N5" i="8" l="1"/>
  <c r="H5" i="8" s="1"/>
  <c r="AM4" i="1"/>
  <c r="Q10" i="8"/>
  <c r="K3" i="8"/>
  <c r="L3" i="7" s="1"/>
  <c r="L4" i="7"/>
  <c r="K92" i="2"/>
  <c r="N92" i="2"/>
  <c r="C63" i="13"/>
  <c r="AC52" i="4"/>
  <c r="AF52" i="4" s="1"/>
  <c r="AF50" i="4" s="1"/>
  <c r="M52" i="4"/>
  <c r="M50" i="4" s="1"/>
  <c r="J52" i="4"/>
  <c r="J50" i="4" s="1"/>
  <c r="Q5" i="8" l="1"/>
  <c r="E12" i="9"/>
  <c r="N91" i="2"/>
  <c r="J65" i="8"/>
  <c r="J64" i="8" s="1"/>
  <c r="K91" i="2"/>
  <c r="E65" i="8"/>
  <c r="E64" i="8" s="1"/>
  <c r="AC50" i="4"/>
  <c r="AC97" i="3"/>
  <c r="AF97" i="3" s="1"/>
  <c r="AF96" i="3" s="1"/>
  <c r="AC49" i="4" l="1"/>
  <c r="AF49" i="4" s="1"/>
  <c r="J142" i="4" l="1"/>
  <c r="M31" i="4"/>
  <c r="M27" i="4" s="1"/>
  <c r="J31" i="4"/>
  <c r="J27" i="4" s="1"/>
  <c r="AC171" i="2" l="1"/>
  <c r="F17" i="1" l="1"/>
  <c r="M17" i="1" l="1"/>
  <c r="AI103" i="1"/>
  <c r="AI102" i="1" s="1"/>
  <c r="AC103" i="1"/>
  <c r="J101" i="1"/>
  <c r="AI100" i="1"/>
  <c r="AL100" i="1" s="1"/>
  <c r="AL17" i="1" l="1"/>
  <c r="AC173" i="2"/>
  <c r="AI11" i="1" l="1"/>
  <c r="AL11" i="1" s="1"/>
  <c r="AC11" i="1"/>
  <c r="AF11" i="1" s="1"/>
  <c r="M11" i="1"/>
  <c r="J11" i="1"/>
  <c r="AI47" i="3" l="1"/>
  <c r="AL47" i="3" s="1"/>
  <c r="AF47" i="3"/>
  <c r="M47" i="3"/>
  <c r="J47" i="3"/>
  <c r="C35" i="12"/>
  <c r="M9" i="3"/>
  <c r="AI14" i="3"/>
  <c r="AL14" i="3" s="1"/>
  <c r="AC14" i="3"/>
  <c r="AF14" i="3" s="1"/>
  <c r="M14" i="3"/>
  <c r="J14" i="3"/>
  <c r="AI13" i="3"/>
  <c r="AL13" i="3" s="1"/>
  <c r="AC13" i="3"/>
  <c r="AF13" i="3" s="1"/>
  <c r="M13" i="3"/>
  <c r="J13" i="3"/>
  <c r="AI12" i="3"/>
  <c r="AC12" i="3"/>
  <c r="AF12" i="3" s="1"/>
  <c r="M12" i="3"/>
  <c r="J12" i="3"/>
  <c r="AC10" i="3"/>
  <c r="C101" i="15"/>
  <c r="AI141" i="5"/>
  <c r="AL141" i="5" s="1"/>
  <c r="AC141" i="5"/>
  <c r="AF141" i="5" s="1"/>
  <c r="M141" i="5"/>
  <c r="J141" i="5"/>
  <c r="AI140" i="5"/>
  <c r="AC140" i="5"/>
  <c r="AF140" i="5" s="1"/>
  <c r="M140" i="5"/>
  <c r="J140" i="5"/>
  <c r="M138" i="5"/>
  <c r="M50" i="5"/>
  <c r="M51" i="5"/>
  <c r="J11" i="3" l="1"/>
  <c r="M11" i="3"/>
  <c r="AF139" i="5"/>
  <c r="J139" i="5"/>
  <c r="AL140" i="5"/>
  <c r="AL139" i="5" s="1"/>
  <c r="AI139" i="5"/>
  <c r="AF11" i="3"/>
  <c r="AL12" i="3"/>
  <c r="AL11" i="3" s="1"/>
  <c r="AI11" i="3"/>
  <c r="M139" i="5"/>
  <c r="AC139" i="5"/>
  <c r="AC11" i="3"/>
  <c r="J176" i="1"/>
  <c r="AF132" i="2" l="1"/>
  <c r="M49" i="4" l="1"/>
  <c r="J49" i="4"/>
  <c r="AC130" i="3" l="1"/>
  <c r="AC35" i="2" l="1"/>
  <c r="AF95" i="5" l="1"/>
  <c r="AI87" i="5"/>
  <c r="AC87" i="5"/>
  <c r="AF87" i="5" s="1"/>
  <c r="M87" i="5"/>
  <c r="J87" i="5"/>
  <c r="AL87" i="5" l="1"/>
  <c r="AF63" i="2"/>
  <c r="AL63" i="2"/>
  <c r="AF54" i="2"/>
  <c r="AL54" i="2"/>
  <c r="AL55" i="2"/>
  <c r="AF53" i="2"/>
  <c r="AL42" i="2"/>
  <c r="AC42" i="2"/>
  <c r="AF42" i="2" s="1"/>
  <c r="AL38" i="2"/>
  <c r="AC38" i="2"/>
  <c r="AF38" i="2" s="1"/>
  <c r="AL37" i="2"/>
  <c r="AC37" i="2"/>
  <c r="AF37" i="2" s="1"/>
  <c r="AI52" i="2" l="1"/>
  <c r="AL53" i="2"/>
  <c r="AC23" i="6"/>
  <c r="AC22" i="6" s="1"/>
  <c r="AI23" i="6"/>
  <c r="M23" i="6"/>
  <c r="M22" i="6" s="1"/>
  <c r="J23" i="6"/>
  <c r="J22" i="6" s="1"/>
  <c r="AL23" i="6" l="1"/>
  <c r="AL22" i="6" s="1"/>
  <c r="AI22" i="6"/>
  <c r="AF23" i="6"/>
  <c r="AF22" i="6" s="1"/>
  <c r="N202" i="8" l="1"/>
  <c r="AC111" i="1"/>
  <c r="AF111" i="1" s="1"/>
  <c r="AF101" i="1"/>
  <c r="AF100" i="1"/>
  <c r="AI93" i="1"/>
  <c r="H202" i="8" l="1"/>
  <c r="AF99" i="1"/>
  <c r="AL93" i="1"/>
  <c r="C66" i="12"/>
  <c r="AM93" i="1" l="1"/>
  <c r="M90" i="3"/>
  <c r="M87" i="3"/>
  <c r="AI97" i="3"/>
  <c r="AI96" i="3" s="1"/>
  <c r="M97" i="3"/>
  <c r="M96" i="3" s="1"/>
  <c r="J97" i="3"/>
  <c r="J96" i="3" s="1"/>
  <c r="AL97" i="3" l="1"/>
  <c r="AL96" i="3" s="1"/>
  <c r="AC96" i="3"/>
  <c r="AC79" i="5" l="1"/>
  <c r="AC111" i="4" l="1"/>
  <c r="AF111" i="4" s="1"/>
  <c r="AC120" i="4"/>
  <c r="AF120" i="4" s="1"/>
  <c r="AI114" i="5" l="1"/>
  <c r="AL114" i="5" s="1"/>
  <c r="AF114" i="5"/>
  <c r="AC6" i="4"/>
  <c r="AF6" i="4" s="1"/>
  <c r="AF210" i="1" l="1"/>
  <c r="AC136" i="2" l="1"/>
  <c r="AF136" i="2" s="1"/>
  <c r="AC135" i="2"/>
  <c r="AF135" i="2" s="1"/>
  <c r="AL135" i="2"/>
  <c r="AL136" i="2"/>
  <c r="AF74" i="2" l="1"/>
  <c r="AC72" i="2"/>
  <c r="AL59" i="2"/>
  <c r="AC59" i="2"/>
  <c r="AF59" i="2" s="1"/>
  <c r="AL30" i="2"/>
  <c r="AF30" i="2"/>
  <c r="AL33" i="2"/>
  <c r="AC33" i="2"/>
  <c r="AF33" i="2" s="1"/>
  <c r="AL32" i="2"/>
  <c r="AF32" i="2"/>
  <c r="AI51" i="3" l="1"/>
  <c r="AL51" i="3" s="1"/>
  <c r="AF51" i="3"/>
  <c r="M51" i="3"/>
  <c r="J51" i="3"/>
  <c r="AI49" i="3"/>
  <c r="AL49" i="3" s="1"/>
  <c r="AF49" i="3"/>
  <c r="J49" i="3"/>
  <c r="M49" i="3"/>
  <c r="AI48" i="3"/>
  <c r="AL48" i="3" s="1"/>
  <c r="AF48" i="3"/>
  <c r="M48" i="3"/>
  <c r="J48" i="3"/>
  <c r="AC31" i="3"/>
  <c r="M31" i="3"/>
  <c r="M28" i="3" s="1"/>
  <c r="J31" i="3"/>
  <c r="J28" i="3" s="1"/>
  <c r="AL19" i="3"/>
  <c r="AF19" i="3"/>
  <c r="M19" i="3"/>
  <c r="J19" i="3"/>
  <c r="AI10" i="3"/>
  <c r="AL10" i="3" s="1"/>
  <c r="AF10" i="3"/>
  <c r="M10" i="3"/>
  <c r="J10" i="3"/>
  <c r="AI8" i="3"/>
  <c r="AL8" i="3" s="1"/>
  <c r="AC8" i="3"/>
  <c r="AF8" i="3" s="1"/>
  <c r="M8" i="3"/>
  <c r="J8" i="3"/>
  <c r="AF31" i="3" l="1"/>
  <c r="AF28" i="3" s="1"/>
  <c r="AC28" i="3"/>
  <c r="AC72" i="4"/>
  <c r="AF72" i="4" s="1"/>
  <c r="AF69" i="4" s="1"/>
  <c r="M72" i="4"/>
  <c r="J72" i="4"/>
  <c r="G70" i="4"/>
  <c r="AC153" i="4" l="1"/>
  <c r="AF153" i="4" s="1"/>
  <c r="M153" i="4"/>
  <c r="J153" i="4"/>
  <c r="AI21" i="5"/>
  <c r="AL21" i="5" s="1"/>
  <c r="AC21" i="5"/>
  <c r="AF21" i="5" s="1"/>
  <c r="M21" i="5"/>
  <c r="J21" i="5"/>
  <c r="AC56" i="4"/>
  <c r="AF56" i="4" s="1"/>
  <c r="M56" i="4"/>
  <c r="J56" i="4"/>
  <c r="J55" i="4"/>
  <c r="M55" i="4"/>
  <c r="AI46" i="5" l="1"/>
  <c r="J116" i="4"/>
  <c r="J113" i="4"/>
  <c r="J114" i="4"/>
  <c r="J115" i="4"/>
  <c r="J118" i="4"/>
  <c r="AL64" i="2" l="1"/>
  <c r="AC64" i="2"/>
  <c r="AF64" i="2" s="1"/>
  <c r="AL48" i="2"/>
  <c r="AF48" i="2"/>
  <c r="AC108" i="1" l="1"/>
  <c r="AI89" i="3" l="1"/>
  <c r="AI43" i="1" l="1"/>
  <c r="F62" i="1" l="1"/>
  <c r="M62" i="1" l="1"/>
  <c r="K62" i="1"/>
  <c r="K57" i="1" s="1"/>
  <c r="E17" i="8" s="1"/>
  <c r="N62" i="1"/>
  <c r="N57" i="1" s="1"/>
  <c r="J17" i="8" s="1"/>
  <c r="AF123" i="2"/>
  <c r="N17" i="8" l="1"/>
  <c r="AM62" i="1"/>
  <c r="C57" i="13"/>
  <c r="H17" i="8" l="1"/>
  <c r="AM57" i="1"/>
  <c r="Q17" i="8" s="1"/>
  <c r="F76" i="4"/>
  <c r="K76" i="4" l="1"/>
  <c r="K73" i="4" s="1"/>
  <c r="N76" i="4"/>
  <c r="N73" i="4" s="1"/>
  <c r="AI76" i="4"/>
  <c r="J104" i="4"/>
  <c r="J140" i="8" l="1"/>
  <c r="J136" i="8" s="1"/>
  <c r="N60" i="4"/>
  <c r="AL76" i="4"/>
  <c r="AL73" i="4" s="1"/>
  <c r="AL60" i="4" s="1"/>
  <c r="AI73" i="4"/>
  <c r="AI60" i="4" s="1"/>
  <c r="AM76" i="4"/>
  <c r="AM73" i="4" s="1"/>
  <c r="AM60" i="4" s="1"/>
  <c r="Q136" i="8" s="1"/>
  <c r="E140" i="8"/>
  <c r="E136" i="8" s="1"/>
  <c r="C53" i="17"/>
  <c r="C54" i="17"/>
  <c r="C55" i="17"/>
  <c r="C43" i="17"/>
  <c r="C45" i="17"/>
  <c r="P171" i="8"/>
  <c r="C100" i="15"/>
  <c r="C96" i="15"/>
  <c r="C97" i="15"/>
  <c r="C98" i="15"/>
  <c r="C99" i="15"/>
  <c r="C91" i="15"/>
  <c r="C88" i="15"/>
  <c r="C89" i="15"/>
  <c r="C90" i="15"/>
  <c r="C75" i="15"/>
  <c r="C76" i="15"/>
  <c r="C77" i="15"/>
  <c r="C78" i="15"/>
  <c r="C79" i="15"/>
  <c r="C87" i="15"/>
  <c r="C69" i="15"/>
  <c r="C64" i="15"/>
  <c r="C57" i="15"/>
  <c r="C58" i="15"/>
  <c r="C59" i="15"/>
  <c r="C60" i="15"/>
  <c r="C62" i="15"/>
  <c r="C47" i="15"/>
  <c r="C49" i="15"/>
  <c r="C105" i="13"/>
  <c r="C106" i="13"/>
  <c r="C107" i="13"/>
  <c r="C108" i="13"/>
  <c r="C98" i="13"/>
  <c r="C99" i="13"/>
  <c r="C96" i="13"/>
  <c r="C97" i="13"/>
  <c r="C84" i="13"/>
  <c r="C85" i="13"/>
  <c r="C86" i="13"/>
  <c r="C72" i="13"/>
  <c r="C73" i="13"/>
  <c r="C74" i="13"/>
  <c r="C75" i="13"/>
  <c r="C76" i="13"/>
  <c r="C77" i="13"/>
  <c r="C61" i="13"/>
  <c r="C62" i="13"/>
  <c r="C64" i="13"/>
  <c r="C65" i="13"/>
  <c r="C56" i="13"/>
  <c r="C48" i="13"/>
  <c r="C49" i="13"/>
  <c r="C79" i="12"/>
  <c r="C80" i="12"/>
  <c r="C70" i="12"/>
  <c r="C71" i="12"/>
  <c r="C72" i="12"/>
  <c r="C62" i="12"/>
  <c r="C54" i="12"/>
  <c r="C55" i="12"/>
  <c r="C57" i="12"/>
  <c r="C46" i="12"/>
  <c r="C47" i="12"/>
  <c r="C48" i="12"/>
  <c r="C40" i="12"/>
  <c r="C41" i="12"/>
  <c r="C42" i="12"/>
  <c r="C39" i="12"/>
  <c r="C34" i="12"/>
  <c r="C104" i="10"/>
  <c r="C105" i="10"/>
  <c r="C106" i="10"/>
  <c r="C93" i="10"/>
  <c r="C94" i="10"/>
  <c r="C95" i="10"/>
  <c r="C96" i="10"/>
  <c r="C97" i="10"/>
  <c r="C98" i="10"/>
  <c r="C99" i="10"/>
  <c r="C82" i="10"/>
  <c r="C83" i="10"/>
  <c r="C84" i="10"/>
  <c r="C85" i="10"/>
  <c r="C86" i="10"/>
  <c r="C73" i="10"/>
  <c r="C74" i="10"/>
  <c r="C75" i="10"/>
  <c r="C76" i="10"/>
  <c r="C58" i="10"/>
  <c r="C59" i="10"/>
  <c r="C60" i="10"/>
  <c r="C39" i="10"/>
  <c r="C40" i="10"/>
  <c r="C41" i="10"/>
  <c r="C42" i="10"/>
  <c r="C43" i="10"/>
  <c r="C44" i="10"/>
  <c r="C45" i="10"/>
  <c r="C47" i="10"/>
  <c r="C48" i="10"/>
  <c r="C49" i="10"/>
  <c r="C50" i="10"/>
  <c r="C51" i="10"/>
  <c r="C52" i="10"/>
  <c r="C53" i="10"/>
  <c r="C38" i="10"/>
  <c r="C93" i="11"/>
  <c r="C92" i="11"/>
  <c r="C91" i="11"/>
  <c r="C90" i="11"/>
  <c r="C89" i="11"/>
  <c r="C88" i="11"/>
  <c r="C87" i="11"/>
  <c r="C86" i="11"/>
  <c r="C85" i="11"/>
  <c r="C84" i="11"/>
  <c r="C83" i="11"/>
  <c r="C76" i="11"/>
  <c r="C75" i="11"/>
  <c r="C74" i="11"/>
  <c r="C73" i="11"/>
  <c r="C72" i="11"/>
  <c r="C71" i="11"/>
  <c r="C65" i="11"/>
  <c r="C64" i="11"/>
  <c r="C63" i="11"/>
  <c r="C62" i="11"/>
  <c r="N140" i="8" l="1"/>
  <c r="H140" i="8" s="1"/>
  <c r="Q140" i="8"/>
  <c r="AF169" i="2"/>
  <c r="AL169" i="2"/>
  <c r="D71" i="13" l="1"/>
  <c r="N136" i="8"/>
  <c r="H136" i="8" s="1"/>
  <c r="J90" i="1"/>
  <c r="M90" i="1"/>
  <c r="AC90" i="1"/>
  <c r="AF90" i="1" s="1"/>
  <c r="AI90" i="1"/>
  <c r="AL90" i="1" s="1"/>
  <c r="F51" i="1"/>
  <c r="K51" i="1" l="1"/>
  <c r="N51" i="1"/>
  <c r="N44" i="1" s="1"/>
  <c r="J15" i="8" s="1"/>
  <c r="AI8" i="1"/>
  <c r="AC8" i="1"/>
  <c r="AF8" i="1" s="1"/>
  <c r="AC10" i="5"/>
  <c r="AC11" i="5"/>
  <c r="M13" i="5"/>
  <c r="AC131" i="4"/>
  <c r="AF131" i="4" s="1"/>
  <c r="G143" i="4"/>
  <c r="E15" i="8" l="1"/>
  <c r="AL6" i="1"/>
  <c r="AC87" i="3"/>
  <c r="AF87" i="3" s="1"/>
  <c r="AI87" i="3"/>
  <c r="AL87" i="3" l="1"/>
  <c r="F39" i="4"/>
  <c r="F200" i="2"/>
  <c r="N198" i="2" l="1"/>
  <c r="K198" i="2"/>
  <c r="K192" i="2" s="1"/>
  <c r="N39" i="4"/>
  <c r="N38" i="4" s="1"/>
  <c r="K39" i="4"/>
  <c r="K38" i="4" s="1"/>
  <c r="AI39" i="4"/>
  <c r="AI7" i="1"/>
  <c r="AC147" i="1"/>
  <c r="AF147" i="1" s="1"/>
  <c r="AI147" i="1"/>
  <c r="AL147" i="1" s="1"/>
  <c r="J147" i="1"/>
  <c r="M147" i="1"/>
  <c r="AC132" i="1"/>
  <c r="F134" i="1"/>
  <c r="AI173" i="1"/>
  <c r="AI172" i="1" s="1"/>
  <c r="M173" i="1"/>
  <c r="J173" i="1"/>
  <c r="M180" i="1"/>
  <c r="J183" i="1"/>
  <c r="E131" i="8" l="1"/>
  <c r="E130" i="8" s="1"/>
  <c r="K37" i="4"/>
  <c r="K3" i="4" s="1"/>
  <c r="E123" i="8" s="1"/>
  <c r="AL39" i="4"/>
  <c r="AL38" i="4" s="1"/>
  <c r="AL37" i="4" s="1"/>
  <c r="AL3" i="4" s="1"/>
  <c r="AI38" i="4"/>
  <c r="K134" i="1"/>
  <c r="K131" i="1" s="1"/>
  <c r="N134" i="1"/>
  <c r="N131" i="1" s="1"/>
  <c r="J131" i="8"/>
  <c r="J130" i="8" s="1"/>
  <c r="N37" i="4"/>
  <c r="N3" i="4" s="1"/>
  <c r="J123" i="8" s="1"/>
  <c r="E90" i="8"/>
  <c r="E88" i="8" s="1"/>
  <c r="AM39" i="4"/>
  <c r="AM38" i="4" s="1"/>
  <c r="AM37" i="4" s="1"/>
  <c r="AM3" i="4" s="1"/>
  <c r="AM200" i="2"/>
  <c r="AM198" i="2" s="1"/>
  <c r="AM192" i="2" s="1"/>
  <c r="Q88" i="8" s="1"/>
  <c r="J90" i="8"/>
  <c r="J88" i="8" s="1"/>
  <c r="N192" i="2"/>
  <c r="G61" i="1"/>
  <c r="G60" i="1"/>
  <c r="F79" i="1"/>
  <c r="AI79" i="1"/>
  <c r="AC79" i="1"/>
  <c r="AF79" i="1" s="1"/>
  <c r="AC68" i="1"/>
  <c r="AF68" i="1" s="1"/>
  <c r="AI68" i="1"/>
  <c r="AL68" i="1" s="1"/>
  <c r="AC67" i="1"/>
  <c r="AF67" i="1" s="1"/>
  <c r="AI67" i="1"/>
  <c r="AL67" i="1" s="1"/>
  <c r="AI66" i="1"/>
  <c r="AL66" i="1" s="1"/>
  <c r="AC66" i="1"/>
  <c r="AF66" i="1" s="1"/>
  <c r="Q130" i="8" l="1"/>
  <c r="Q123" i="8"/>
  <c r="AI37" i="4"/>
  <c r="AI3" i="4" s="1"/>
  <c r="N90" i="8"/>
  <c r="H90" i="8" s="1"/>
  <c r="Q90" i="8"/>
  <c r="E27" i="8"/>
  <c r="J27" i="8"/>
  <c r="N79" i="1"/>
  <c r="N77" i="1" s="1"/>
  <c r="J18" i="8" s="1"/>
  <c r="J11" i="8" s="1"/>
  <c r="K79" i="1"/>
  <c r="K77" i="1" s="1"/>
  <c r="Q131" i="8"/>
  <c r="E7" i="7"/>
  <c r="N131" i="8"/>
  <c r="H131" i="8" s="1"/>
  <c r="Q7" i="7"/>
  <c r="AL79" i="1"/>
  <c r="AF39" i="3"/>
  <c r="AI31" i="3"/>
  <c r="AI28" i="3" s="1"/>
  <c r="N123" i="8" l="1"/>
  <c r="H123" i="8" s="1"/>
  <c r="S7" i="7"/>
  <c r="AM79" i="1"/>
  <c r="AM77" i="1" s="1"/>
  <c r="D103" i="10"/>
  <c r="D105" i="10"/>
  <c r="D60" i="13"/>
  <c r="E18" i="8"/>
  <c r="E11" i="8" s="1"/>
  <c r="N130" i="8"/>
  <c r="H130" i="8" s="1"/>
  <c r="AL31" i="3"/>
  <c r="F178" i="2"/>
  <c r="AC178" i="2"/>
  <c r="AF188" i="2"/>
  <c r="I7" i="7" l="1"/>
  <c r="AL188" i="2"/>
  <c r="N18" i="8"/>
  <c r="H18" i="8" s="1"/>
  <c r="Q18" i="8"/>
  <c r="N176" i="2"/>
  <c r="K176" i="2"/>
  <c r="AL171" i="2"/>
  <c r="AF95" i="2"/>
  <c r="H7" i="7" l="1"/>
  <c r="N7" i="7" s="1"/>
  <c r="G7" i="7"/>
  <c r="J84" i="8"/>
  <c r="J80" i="8" s="1"/>
  <c r="N164" i="2"/>
  <c r="AL95" i="2"/>
  <c r="E84" i="8"/>
  <c r="E80" i="8" s="1"/>
  <c r="K164" i="2"/>
  <c r="AM178" i="2"/>
  <c r="AM176" i="2" s="1"/>
  <c r="AM164" i="2" s="1"/>
  <c r="Q80" i="8" s="1"/>
  <c r="F17" i="2"/>
  <c r="N84" i="8" l="1"/>
  <c r="H84" i="8" s="1"/>
  <c r="Q84" i="8"/>
  <c r="N15" i="2"/>
  <c r="J50" i="8" s="1"/>
  <c r="J47" i="8" s="1"/>
  <c r="K15" i="2"/>
  <c r="AC7" i="6"/>
  <c r="AA4" i="7"/>
  <c r="J137" i="5"/>
  <c r="M137" i="5"/>
  <c r="J138" i="5"/>
  <c r="AI126" i="5"/>
  <c r="AL126" i="5" s="1"/>
  <c r="AF126" i="5"/>
  <c r="P158" i="8"/>
  <c r="P128" i="8"/>
  <c r="D92" i="10" l="1"/>
  <c r="N80" i="8"/>
  <c r="H80" i="8" s="1"/>
  <c r="K4" i="2"/>
  <c r="K3" i="2" s="1"/>
  <c r="E46" i="8" s="1"/>
  <c r="E50" i="8"/>
  <c r="E47" i="8" s="1"/>
  <c r="N4" i="2"/>
  <c r="N3" i="2" s="1"/>
  <c r="J46" i="8" s="1"/>
  <c r="AI17" i="3"/>
  <c r="AL17" i="3" s="1"/>
  <c r="Q5" i="7" l="1"/>
  <c r="E5" i="7"/>
  <c r="P79" i="8"/>
  <c r="P56" i="8"/>
  <c r="AL96" i="2" l="1"/>
  <c r="AL27" i="1"/>
  <c r="AI24" i="1"/>
  <c r="AL24" i="1" s="1"/>
  <c r="J27" i="1"/>
  <c r="M27" i="1" l="1"/>
  <c r="J34" i="4" l="1"/>
  <c r="M6" i="4"/>
  <c r="F121" i="1" l="1"/>
  <c r="AI120" i="1"/>
  <c r="AL120" i="1" s="1"/>
  <c r="AC119" i="1"/>
  <c r="F107" i="1"/>
  <c r="M106" i="1"/>
  <c r="M95" i="1"/>
  <c r="N107" i="1" l="1"/>
  <c r="K107" i="1"/>
  <c r="N121" i="1"/>
  <c r="K121" i="1"/>
  <c r="AC7" i="1"/>
  <c r="J7" i="1"/>
  <c r="AM121" i="1" l="1"/>
  <c r="AM107" i="1"/>
  <c r="AF7" i="1"/>
  <c r="AF5" i="1" s="1"/>
  <c r="AC5" i="1"/>
  <c r="AL7" i="1"/>
  <c r="C97" i="11" l="1"/>
  <c r="Q5" i="11"/>
  <c r="AI132" i="3"/>
  <c r="AL132" i="3" s="1"/>
  <c r="AC132" i="3"/>
  <c r="AF132" i="3" s="1"/>
  <c r="M132" i="3"/>
  <c r="J132" i="3"/>
  <c r="AI131" i="3"/>
  <c r="AL131" i="3" s="1"/>
  <c r="AC131" i="3"/>
  <c r="AF131" i="3" s="1"/>
  <c r="J131" i="3"/>
  <c r="AI130" i="3"/>
  <c r="J130" i="3"/>
  <c r="AI126" i="3"/>
  <c r="AC126" i="3"/>
  <c r="AC125" i="3" s="1"/>
  <c r="M126" i="3"/>
  <c r="J126" i="3"/>
  <c r="J125" i="3" s="1"/>
  <c r="AI119" i="3"/>
  <c r="AL119" i="3" s="1"/>
  <c r="AC119" i="3"/>
  <c r="AF119" i="3" s="1"/>
  <c r="M119" i="3"/>
  <c r="J119" i="3"/>
  <c r="AI114" i="3"/>
  <c r="AL114" i="3" s="1"/>
  <c r="AC114" i="3"/>
  <c r="AF114" i="3" s="1"/>
  <c r="M114" i="3"/>
  <c r="J114" i="3"/>
  <c r="AI111" i="3"/>
  <c r="AL111" i="3" s="1"/>
  <c r="AC111" i="3"/>
  <c r="AF111" i="3" s="1"/>
  <c r="M111" i="3"/>
  <c r="J111" i="3"/>
  <c r="AI109" i="3"/>
  <c r="AF109" i="3"/>
  <c r="M109" i="3"/>
  <c r="J109" i="3"/>
  <c r="AI106" i="3"/>
  <c r="AL106" i="3" s="1"/>
  <c r="AC106" i="3"/>
  <c r="AF106" i="3" s="1"/>
  <c r="M106" i="3"/>
  <c r="J106" i="3"/>
  <c r="AI105" i="3"/>
  <c r="AL105" i="3" s="1"/>
  <c r="AC105" i="3"/>
  <c r="AF105" i="3" s="1"/>
  <c r="M105" i="3"/>
  <c r="J105" i="3"/>
  <c r="AI104" i="3"/>
  <c r="AL104" i="3" s="1"/>
  <c r="AC104" i="3"/>
  <c r="AF104" i="3" s="1"/>
  <c r="M104" i="3"/>
  <c r="J104" i="3"/>
  <c r="AI103" i="3"/>
  <c r="AL103" i="3" s="1"/>
  <c r="M103" i="3"/>
  <c r="J103" i="3"/>
  <c r="AI102" i="3"/>
  <c r="AL102" i="3" s="1"/>
  <c r="AC102" i="3"/>
  <c r="M102" i="3"/>
  <c r="J102" i="3"/>
  <c r="AI90" i="3"/>
  <c r="AL90" i="3" s="1"/>
  <c r="J90" i="3"/>
  <c r="AL89" i="3"/>
  <c r="M89" i="3"/>
  <c r="J89" i="3"/>
  <c r="AI88" i="3"/>
  <c r="AC88" i="3"/>
  <c r="AF88" i="3" s="1"/>
  <c r="AF86" i="3" s="1"/>
  <c r="AF67" i="3" s="1"/>
  <c r="M88" i="3"/>
  <c r="J88" i="3"/>
  <c r="J87" i="3"/>
  <c r="AI62" i="3"/>
  <c r="AL62" i="3" s="1"/>
  <c r="AF62" i="3"/>
  <c r="M62" i="3"/>
  <c r="J62" i="3"/>
  <c r="AI60" i="3"/>
  <c r="AL60" i="3" s="1"/>
  <c r="AF60" i="3"/>
  <c r="M60" i="3"/>
  <c r="J60" i="3"/>
  <c r="AI56" i="3"/>
  <c r="M56" i="3"/>
  <c r="J56" i="3"/>
  <c r="AI52" i="3"/>
  <c r="AL52" i="3" s="1"/>
  <c r="AC52" i="3"/>
  <c r="M52" i="3"/>
  <c r="J52" i="3"/>
  <c r="J46" i="3" s="1"/>
  <c r="AI44" i="3"/>
  <c r="AC43" i="3"/>
  <c r="M44" i="3"/>
  <c r="M43" i="3" s="1"/>
  <c r="I104" i="8" s="1"/>
  <c r="J44" i="3"/>
  <c r="J43" i="3" s="1"/>
  <c r="D104" i="8" s="1"/>
  <c r="AI41" i="3"/>
  <c r="AI40" i="3" s="1"/>
  <c r="AF41" i="3"/>
  <c r="M41" i="3"/>
  <c r="J41" i="3"/>
  <c r="J40" i="3" s="1"/>
  <c r="AI39" i="3"/>
  <c r="AL39" i="3" s="1"/>
  <c r="M39" i="3"/>
  <c r="J39" i="3"/>
  <c r="AI38" i="3"/>
  <c r="AL38" i="3" s="1"/>
  <c r="AC38" i="3"/>
  <c r="AF38" i="3" s="1"/>
  <c r="M38" i="3"/>
  <c r="J38" i="3"/>
  <c r="AI37" i="3"/>
  <c r="AL37" i="3" s="1"/>
  <c r="AC37" i="3"/>
  <c r="AF37" i="3" s="1"/>
  <c r="M37" i="3"/>
  <c r="J37" i="3"/>
  <c r="AI25" i="3"/>
  <c r="AI24" i="3" s="1"/>
  <c r="M25" i="3"/>
  <c r="J25" i="3"/>
  <c r="AI23" i="3"/>
  <c r="AL23" i="3" s="1"/>
  <c r="AF23" i="3"/>
  <c r="M23" i="3"/>
  <c r="J23" i="3"/>
  <c r="AI22" i="3"/>
  <c r="M22" i="3"/>
  <c r="J22" i="3"/>
  <c r="AI20" i="3"/>
  <c r="AL20" i="3" s="1"/>
  <c r="AC20" i="3"/>
  <c r="AF20" i="3" s="1"/>
  <c r="M20" i="3"/>
  <c r="J20" i="3"/>
  <c r="AI18" i="3"/>
  <c r="AL18" i="3" s="1"/>
  <c r="AC18" i="3"/>
  <c r="AF18" i="3" s="1"/>
  <c r="M18" i="3"/>
  <c r="J18" i="3"/>
  <c r="AC17" i="3"/>
  <c r="M17" i="3"/>
  <c r="J17" i="3"/>
  <c r="AI9" i="3"/>
  <c r="AL9" i="3" s="1"/>
  <c r="AC9" i="3"/>
  <c r="AF9" i="3" s="1"/>
  <c r="J9" i="3"/>
  <c r="AI7" i="3"/>
  <c r="AL7" i="3" s="1"/>
  <c r="AC7" i="3"/>
  <c r="AF7" i="3" s="1"/>
  <c r="M7" i="3"/>
  <c r="J7" i="3"/>
  <c r="AI6" i="3"/>
  <c r="AL6" i="3" s="1"/>
  <c r="M6" i="3"/>
  <c r="AC157" i="4"/>
  <c r="AF157" i="4" s="1"/>
  <c r="M157" i="4"/>
  <c r="J157" i="4"/>
  <c r="AC156" i="4"/>
  <c r="AF156" i="4" s="1"/>
  <c r="M156" i="4"/>
  <c r="J156" i="4"/>
  <c r="AC154" i="4"/>
  <c r="AF154" i="4" s="1"/>
  <c r="M154" i="4"/>
  <c r="J154" i="4"/>
  <c r="AC152" i="4"/>
  <c r="AF152" i="4" s="1"/>
  <c r="M152" i="4"/>
  <c r="J152" i="4"/>
  <c r="AC151" i="4"/>
  <c r="AF151" i="4" s="1"/>
  <c r="M151" i="4"/>
  <c r="J151" i="4"/>
  <c r="AC148" i="4"/>
  <c r="AF148" i="4" s="1"/>
  <c r="M148" i="4"/>
  <c r="J148" i="4"/>
  <c r="AC147" i="4"/>
  <c r="AF147" i="4" s="1"/>
  <c r="M147" i="4"/>
  <c r="J147" i="4"/>
  <c r="AC146" i="4"/>
  <c r="AF146" i="4" s="1"/>
  <c r="M146" i="4"/>
  <c r="J146" i="4"/>
  <c r="AC143" i="4"/>
  <c r="AF143" i="4" s="1"/>
  <c r="M143" i="4"/>
  <c r="J143" i="4"/>
  <c r="M142" i="4"/>
  <c r="AC141" i="4"/>
  <c r="AF141" i="4" s="1"/>
  <c r="M141" i="4"/>
  <c r="J141" i="4"/>
  <c r="M137" i="4"/>
  <c r="J137" i="4"/>
  <c r="AC134" i="4"/>
  <c r="AF134" i="4" s="1"/>
  <c r="M134" i="4"/>
  <c r="J134" i="4"/>
  <c r="AC133" i="4"/>
  <c r="AF133" i="4" s="1"/>
  <c r="M133" i="4"/>
  <c r="J133" i="4"/>
  <c r="M131" i="4"/>
  <c r="J131" i="4"/>
  <c r="M128" i="4"/>
  <c r="J128" i="4"/>
  <c r="M127" i="4"/>
  <c r="J127" i="4"/>
  <c r="AC125" i="4"/>
  <c r="AF125" i="4" s="1"/>
  <c r="M125" i="4"/>
  <c r="AC122" i="4"/>
  <c r="AF122" i="4" s="1"/>
  <c r="M122" i="4"/>
  <c r="J122" i="4"/>
  <c r="M120" i="4"/>
  <c r="J120" i="4"/>
  <c r="AC118" i="4"/>
  <c r="AF118" i="4" s="1"/>
  <c r="M118" i="4"/>
  <c r="AC116" i="4"/>
  <c r="AF116" i="4" s="1"/>
  <c r="M116" i="4"/>
  <c r="M115" i="4"/>
  <c r="AC114" i="4"/>
  <c r="AF114" i="4" s="1"/>
  <c r="M114" i="4"/>
  <c r="AC113" i="4"/>
  <c r="AF113" i="4" s="1"/>
  <c r="M113" i="4"/>
  <c r="M111" i="4"/>
  <c r="J111" i="4"/>
  <c r="M110" i="4"/>
  <c r="J110" i="4"/>
  <c r="AC108" i="4"/>
  <c r="AF108" i="4" s="1"/>
  <c r="M108" i="4"/>
  <c r="J108" i="4"/>
  <c r="AC107" i="4"/>
  <c r="AF107" i="4" s="1"/>
  <c r="M107" i="4"/>
  <c r="J107" i="4"/>
  <c r="AC106" i="4"/>
  <c r="J106" i="4"/>
  <c r="M104" i="4"/>
  <c r="M102" i="4"/>
  <c r="J102" i="4"/>
  <c r="M101" i="4"/>
  <c r="J101" i="4"/>
  <c r="I148" i="8"/>
  <c r="D148" i="8"/>
  <c r="M96" i="4"/>
  <c r="M95" i="4" s="1"/>
  <c r="I146" i="8" s="1"/>
  <c r="J96" i="4"/>
  <c r="J95" i="4" s="1"/>
  <c r="D146" i="8" s="1"/>
  <c r="AC94" i="4"/>
  <c r="AF94" i="4" s="1"/>
  <c r="M94" i="4"/>
  <c r="J94" i="4"/>
  <c r="AC92" i="4"/>
  <c r="AF92" i="4" s="1"/>
  <c r="M92" i="4"/>
  <c r="J92" i="4"/>
  <c r="AC90" i="4"/>
  <c r="AF90" i="4" s="1"/>
  <c r="M90" i="4"/>
  <c r="J90" i="4"/>
  <c r="AC86" i="4"/>
  <c r="AF86" i="4" s="1"/>
  <c r="M86" i="4"/>
  <c r="J86" i="4"/>
  <c r="AC85" i="4"/>
  <c r="AF85" i="4" s="1"/>
  <c r="M85" i="4"/>
  <c r="J85" i="4"/>
  <c r="M81" i="4"/>
  <c r="J81" i="4"/>
  <c r="AC80" i="4"/>
  <c r="AF80" i="4" s="1"/>
  <c r="AF79" i="4" s="1"/>
  <c r="M80" i="4"/>
  <c r="J80" i="4"/>
  <c r="AC78" i="4"/>
  <c r="M78" i="4"/>
  <c r="M77" i="4" s="1"/>
  <c r="I141" i="8" s="1"/>
  <c r="J78" i="4"/>
  <c r="J77" i="4" s="1"/>
  <c r="D141" i="8" s="1"/>
  <c r="AC76" i="4"/>
  <c r="AF76" i="4" s="1"/>
  <c r="M76" i="4"/>
  <c r="J76" i="4"/>
  <c r="AC75" i="4"/>
  <c r="AF75" i="4" s="1"/>
  <c r="M75" i="4"/>
  <c r="J75" i="4"/>
  <c r="M74" i="4"/>
  <c r="J74" i="4"/>
  <c r="M71" i="4"/>
  <c r="J71" i="4"/>
  <c r="AC69" i="4"/>
  <c r="M70" i="4"/>
  <c r="J70" i="4"/>
  <c r="M68" i="4"/>
  <c r="J68" i="4"/>
  <c r="AC67" i="4"/>
  <c r="AF67" i="4" s="1"/>
  <c r="M67" i="4"/>
  <c r="J67" i="4"/>
  <c r="AC66" i="4"/>
  <c r="AF66" i="4" s="1"/>
  <c r="M66" i="4"/>
  <c r="J66" i="4"/>
  <c r="M65" i="4"/>
  <c r="J65" i="4"/>
  <c r="AC62" i="4"/>
  <c r="M62" i="4"/>
  <c r="M61" i="4" s="1"/>
  <c r="J62" i="4"/>
  <c r="J61" i="4" s="1"/>
  <c r="AC59" i="4"/>
  <c r="M59" i="4"/>
  <c r="J59" i="4"/>
  <c r="P134" i="8"/>
  <c r="AC54" i="4"/>
  <c r="AF54" i="4" s="1"/>
  <c r="AF53" i="4" s="1"/>
  <c r="M54" i="4"/>
  <c r="J54" i="4"/>
  <c r="AC48" i="4"/>
  <c r="AF48" i="4" s="1"/>
  <c r="M48" i="4"/>
  <c r="J48" i="4"/>
  <c r="AC47" i="4"/>
  <c r="AF47" i="4" s="1"/>
  <c r="M47" i="4"/>
  <c r="J47" i="4"/>
  <c r="AC45" i="4"/>
  <c r="AF45" i="4" s="1"/>
  <c r="M45" i="4"/>
  <c r="J45" i="4"/>
  <c r="AC40" i="4"/>
  <c r="AF40" i="4" s="1"/>
  <c r="M40" i="4"/>
  <c r="J40" i="4"/>
  <c r="AC39" i="4"/>
  <c r="AF39" i="4" s="1"/>
  <c r="M39" i="4"/>
  <c r="J39" i="4"/>
  <c r="M36" i="4"/>
  <c r="J36" i="4"/>
  <c r="J33" i="4" s="1"/>
  <c r="J26" i="4" s="1"/>
  <c r="M34" i="4"/>
  <c r="M25" i="4"/>
  <c r="J25" i="4"/>
  <c r="M23" i="4"/>
  <c r="J23" i="4"/>
  <c r="AC18" i="4"/>
  <c r="AF18" i="4" s="1"/>
  <c r="M18" i="4"/>
  <c r="J18" i="4"/>
  <c r="AC17" i="4"/>
  <c r="AF17" i="4" s="1"/>
  <c r="M17" i="4"/>
  <c r="J17" i="4"/>
  <c r="AC16" i="4"/>
  <c r="AF16" i="4" s="1"/>
  <c r="M16" i="4"/>
  <c r="J16" i="4"/>
  <c r="AC15" i="4"/>
  <c r="AF15" i="4" s="1"/>
  <c r="M15" i="4"/>
  <c r="J15" i="4"/>
  <c r="AC14" i="4"/>
  <c r="AF14" i="4" s="1"/>
  <c r="M14" i="4"/>
  <c r="J14" i="4"/>
  <c r="AC13" i="4"/>
  <c r="AF13" i="4" s="1"/>
  <c r="M13" i="4"/>
  <c r="J13" i="4"/>
  <c r="AC7" i="4"/>
  <c r="AF7" i="4" s="1"/>
  <c r="M7" i="4"/>
  <c r="J7" i="4"/>
  <c r="J6" i="4"/>
  <c r="AI138" i="5"/>
  <c r="AL138" i="5" s="1"/>
  <c r="AC138" i="5"/>
  <c r="AF138" i="5" s="1"/>
  <c r="AI137" i="5"/>
  <c r="AC137" i="5"/>
  <c r="AF137" i="5" s="1"/>
  <c r="AI133" i="5"/>
  <c r="AL133" i="5" s="1"/>
  <c r="AF133" i="5"/>
  <c r="M133" i="5"/>
  <c r="J133" i="5"/>
  <c r="AI132" i="5"/>
  <c r="AL132" i="5" s="1"/>
  <c r="AC132" i="5"/>
  <c r="M132" i="5"/>
  <c r="J132" i="5"/>
  <c r="AC129" i="5"/>
  <c r="AF129" i="5" s="1"/>
  <c r="F129" i="5"/>
  <c r="AI127" i="5"/>
  <c r="AL127" i="5" s="1"/>
  <c r="AC127" i="5"/>
  <c r="AF127" i="5" s="1"/>
  <c r="M127" i="5"/>
  <c r="J127" i="5"/>
  <c r="M126" i="5"/>
  <c r="J126" i="5"/>
  <c r="AI125" i="5"/>
  <c r="AC125" i="5"/>
  <c r="AF125" i="5" s="1"/>
  <c r="M125" i="5"/>
  <c r="J125" i="5"/>
  <c r="AI124" i="5"/>
  <c r="AL124" i="5" s="1"/>
  <c r="M124" i="5"/>
  <c r="J124" i="5"/>
  <c r="AI122" i="5"/>
  <c r="AL122" i="5" s="1"/>
  <c r="AC122" i="5"/>
  <c r="AF122" i="5" s="1"/>
  <c r="M122" i="5"/>
  <c r="J122" i="5"/>
  <c r="AI121" i="5"/>
  <c r="AL121" i="5" s="1"/>
  <c r="AC121" i="5"/>
  <c r="AF121" i="5" s="1"/>
  <c r="M121" i="5"/>
  <c r="J121" i="5"/>
  <c r="AI120" i="5"/>
  <c r="AL120" i="5" s="1"/>
  <c r="AC120" i="5"/>
  <c r="AF120" i="5" s="1"/>
  <c r="M120" i="5"/>
  <c r="J120" i="5"/>
  <c r="AI119" i="5"/>
  <c r="AL119" i="5" s="1"/>
  <c r="AC119" i="5"/>
  <c r="AF119" i="5" s="1"/>
  <c r="M119" i="5"/>
  <c r="AI118" i="5"/>
  <c r="AL118" i="5" s="1"/>
  <c r="AC118" i="5"/>
  <c r="AF118" i="5" s="1"/>
  <c r="M118" i="5"/>
  <c r="J118" i="5"/>
  <c r="AI117" i="5"/>
  <c r="AL117" i="5" s="1"/>
  <c r="AC117" i="5"/>
  <c r="M117" i="5"/>
  <c r="J117" i="5"/>
  <c r="M114" i="5"/>
  <c r="J114" i="5"/>
  <c r="AI113" i="5"/>
  <c r="AF113" i="5"/>
  <c r="AF110" i="5" s="1"/>
  <c r="M113" i="5"/>
  <c r="J113" i="5"/>
  <c r="AI108" i="5"/>
  <c r="AL108" i="5" s="1"/>
  <c r="AC108" i="5"/>
  <c r="AF108" i="5" s="1"/>
  <c r="M108" i="5"/>
  <c r="J108" i="5"/>
  <c r="AI107" i="5"/>
  <c r="AL107" i="5" s="1"/>
  <c r="AC107" i="5"/>
  <c r="AF107" i="5" s="1"/>
  <c r="M107" i="5"/>
  <c r="J107" i="5"/>
  <c r="AI106" i="5"/>
  <c r="AC106" i="5"/>
  <c r="AF106" i="5" s="1"/>
  <c r="M106" i="5"/>
  <c r="J106" i="5"/>
  <c r="AI104" i="5"/>
  <c r="AL104" i="5" s="1"/>
  <c r="AC104" i="5"/>
  <c r="AF104" i="5" s="1"/>
  <c r="M104" i="5"/>
  <c r="J104" i="5"/>
  <c r="AI103" i="5"/>
  <c r="AL103" i="5" s="1"/>
  <c r="AC103" i="5"/>
  <c r="AF103" i="5" s="1"/>
  <c r="M103" i="5"/>
  <c r="J103" i="5"/>
  <c r="AI102" i="5"/>
  <c r="AL102" i="5" s="1"/>
  <c r="AF102" i="5"/>
  <c r="M102" i="5"/>
  <c r="J102" i="5"/>
  <c r="AI97" i="5"/>
  <c r="AL97" i="5" s="1"/>
  <c r="AC97" i="5"/>
  <c r="AF97" i="5" s="1"/>
  <c r="M97" i="5"/>
  <c r="J97" i="5"/>
  <c r="AI96" i="5"/>
  <c r="AL96" i="5" s="1"/>
  <c r="AC96" i="5"/>
  <c r="AF96" i="5" s="1"/>
  <c r="M96" i="5"/>
  <c r="J96" i="5"/>
  <c r="AI95" i="5"/>
  <c r="AL95" i="5" s="1"/>
  <c r="M95" i="5"/>
  <c r="J95" i="5"/>
  <c r="I187" i="8"/>
  <c r="D187" i="8"/>
  <c r="AI90" i="5"/>
  <c r="AI85" i="5" s="1"/>
  <c r="AF90" i="5"/>
  <c r="AF85" i="5" s="1"/>
  <c r="M90" i="5"/>
  <c r="M85" i="5" s="1"/>
  <c r="J90" i="5"/>
  <c r="J85" i="5" s="1"/>
  <c r="AI84" i="5"/>
  <c r="AL84" i="5" s="1"/>
  <c r="AC84" i="5"/>
  <c r="AF84" i="5" s="1"/>
  <c r="M84" i="5"/>
  <c r="J84" i="5"/>
  <c r="AI83" i="5"/>
  <c r="AL83" i="5" s="1"/>
  <c r="AC83" i="5"/>
  <c r="M83" i="5"/>
  <c r="J83" i="5"/>
  <c r="AI82" i="5"/>
  <c r="AL82" i="5" s="1"/>
  <c r="AF82" i="5"/>
  <c r="M82" i="5"/>
  <c r="J82" i="5"/>
  <c r="AI81" i="5"/>
  <c r="AL81" i="5" s="1"/>
  <c r="AC81" i="5"/>
  <c r="M81" i="5"/>
  <c r="J81" i="5"/>
  <c r="AI80" i="5"/>
  <c r="AL80" i="5" s="1"/>
  <c r="AF80" i="5"/>
  <c r="M80" i="5"/>
  <c r="J80" i="5"/>
  <c r="AI79" i="5"/>
  <c r="AF79" i="5"/>
  <c r="M79" i="5"/>
  <c r="J79" i="5"/>
  <c r="AI76" i="5"/>
  <c r="AL76" i="5" s="1"/>
  <c r="AC76" i="5"/>
  <c r="AF76" i="5" s="1"/>
  <c r="M76" i="5"/>
  <c r="J76" i="5"/>
  <c r="AI75" i="5"/>
  <c r="AL75" i="5" s="1"/>
  <c r="AC75" i="5"/>
  <c r="M75" i="5"/>
  <c r="J75" i="5"/>
  <c r="AI73" i="5"/>
  <c r="AL73" i="5" s="1"/>
  <c r="AC73" i="5"/>
  <c r="AF73" i="5" s="1"/>
  <c r="M73" i="5"/>
  <c r="J73" i="5"/>
  <c r="AI70" i="5"/>
  <c r="AL70" i="5" s="1"/>
  <c r="AC70" i="5"/>
  <c r="AF70" i="5" s="1"/>
  <c r="M70" i="5"/>
  <c r="J70" i="5"/>
  <c r="AI69" i="5"/>
  <c r="AC69" i="5"/>
  <c r="AF69" i="5" s="1"/>
  <c r="M69" i="5"/>
  <c r="J69" i="5"/>
  <c r="AI67" i="5"/>
  <c r="AC67" i="5"/>
  <c r="AC66" i="5" s="1"/>
  <c r="M67" i="5"/>
  <c r="M66" i="5" s="1"/>
  <c r="I181" i="8" s="1"/>
  <c r="J67" i="5"/>
  <c r="J66" i="5" s="1"/>
  <c r="D181" i="8" s="1"/>
  <c r="AI65" i="5"/>
  <c r="AL65" i="5" s="1"/>
  <c r="AC65" i="5"/>
  <c r="AF65" i="5" s="1"/>
  <c r="M65" i="5"/>
  <c r="J65" i="5"/>
  <c r="AI64" i="5"/>
  <c r="AL64" i="5" s="1"/>
  <c r="AC64" i="5"/>
  <c r="AF64" i="5" s="1"/>
  <c r="M64" i="5"/>
  <c r="J64" i="5"/>
  <c r="AI63" i="5"/>
  <c r="AL63" i="5" s="1"/>
  <c r="AF63" i="5"/>
  <c r="M63" i="5"/>
  <c r="J63" i="5"/>
  <c r="AI62" i="5"/>
  <c r="AL62" i="5" s="1"/>
  <c r="M62" i="5"/>
  <c r="J62" i="5"/>
  <c r="AI60" i="5"/>
  <c r="AL60" i="5" s="1"/>
  <c r="AC60" i="5"/>
  <c r="AF60" i="5" s="1"/>
  <c r="M60" i="5"/>
  <c r="J60" i="5"/>
  <c r="AI59" i="5"/>
  <c r="AL59" i="5" s="1"/>
  <c r="M59" i="5"/>
  <c r="J59" i="5"/>
  <c r="I177" i="8"/>
  <c r="D177" i="8"/>
  <c r="AI54" i="5"/>
  <c r="AL54" i="5" s="1"/>
  <c r="AC54" i="5"/>
  <c r="AF54" i="5" s="1"/>
  <c r="M54" i="5"/>
  <c r="J54" i="5"/>
  <c r="AI53" i="5"/>
  <c r="AL53" i="5" s="1"/>
  <c r="AF53" i="5"/>
  <c r="M53" i="5"/>
  <c r="J53" i="5"/>
  <c r="AI52" i="5"/>
  <c r="AL52" i="5" s="1"/>
  <c r="AF52" i="5"/>
  <c r="M52" i="5"/>
  <c r="J52" i="5"/>
  <c r="AI51" i="5"/>
  <c r="AL51" i="5" s="1"/>
  <c r="AC51" i="5"/>
  <c r="AF51" i="5" s="1"/>
  <c r="J51" i="5"/>
  <c r="AI50" i="5"/>
  <c r="AF50" i="5"/>
  <c r="J50" i="5"/>
  <c r="AL46" i="5"/>
  <c r="AF46" i="5"/>
  <c r="M46" i="5"/>
  <c r="J46" i="5"/>
  <c r="AI45" i="5"/>
  <c r="AL45" i="5" s="1"/>
  <c r="AC45" i="5"/>
  <c r="AF45" i="5" s="1"/>
  <c r="M45" i="5"/>
  <c r="J45" i="5"/>
  <c r="AI38" i="5"/>
  <c r="AL38" i="5" s="1"/>
  <c r="AC38" i="5"/>
  <c r="AF38" i="5" s="1"/>
  <c r="M38" i="5"/>
  <c r="J38" i="5"/>
  <c r="AI37" i="5"/>
  <c r="AL37" i="5" s="1"/>
  <c r="AF37" i="5"/>
  <c r="M37" i="5"/>
  <c r="J37" i="5"/>
  <c r="AI31" i="5"/>
  <c r="AC30" i="5"/>
  <c r="M31" i="5"/>
  <c r="M30" i="5" s="1"/>
  <c r="I170" i="8" s="1"/>
  <c r="J31" i="5"/>
  <c r="J30" i="5" s="1"/>
  <c r="D170" i="8" s="1"/>
  <c r="AI28" i="5"/>
  <c r="AL28" i="5" s="1"/>
  <c r="AF28" i="5"/>
  <c r="M28" i="5"/>
  <c r="J28" i="5"/>
  <c r="AI27" i="5"/>
  <c r="AC27" i="5"/>
  <c r="AF27" i="5" s="1"/>
  <c r="M27" i="5"/>
  <c r="J27" i="5"/>
  <c r="AI25" i="5"/>
  <c r="AL25" i="5" s="1"/>
  <c r="AC25" i="5"/>
  <c r="AF25" i="5" s="1"/>
  <c r="M25" i="5"/>
  <c r="J25" i="5"/>
  <c r="AI24" i="5"/>
  <c r="AL24" i="5" s="1"/>
  <c r="AC24" i="5"/>
  <c r="M24" i="5"/>
  <c r="J24" i="5"/>
  <c r="AI22" i="5"/>
  <c r="AL22" i="5" s="1"/>
  <c r="AC22" i="5"/>
  <c r="AF22" i="5" s="1"/>
  <c r="M22" i="5"/>
  <c r="J22" i="5"/>
  <c r="AI19" i="5"/>
  <c r="AF19" i="5"/>
  <c r="M19" i="5"/>
  <c r="J19" i="5"/>
  <c r="AI16" i="5"/>
  <c r="AL16" i="5" s="1"/>
  <c r="AC16" i="5"/>
  <c r="AF16" i="5" s="1"/>
  <c r="M16" i="5"/>
  <c r="J16" i="5"/>
  <c r="AI15" i="5"/>
  <c r="AL15" i="5" s="1"/>
  <c r="AC15" i="5"/>
  <c r="AF15" i="5" s="1"/>
  <c r="M15" i="5"/>
  <c r="J15" i="5"/>
  <c r="AL14" i="5"/>
  <c r="AC14" i="5"/>
  <c r="AF14" i="5" s="1"/>
  <c r="M14" i="5"/>
  <c r="J14" i="5"/>
  <c r="AI13" i="5"/>
  <c r="AL13" i="5" s="1"/>
  <c r="AC13" i="5"/>
  <c r="J13" i="5"/>
  <c r="AI11" i="5"/>
  <c r="AL11" i="5" s="1"/>
  <c r="AF11" i="5"/>
  <c r="M11" i="5"/>
  <c r="J11" i="5"/>
  <c r="AI10" i="5"/>
  <c r="AC9" i="5"/>
  <c r="M10" i="5"/>
  <c r="J10" i="5"/>
  <c r="AL27" i="5" l="1"/>
  <c r="AI26" i="5"/>
  <c r="M169" i="8" s="1"/>
  <c r="G169" i="8" s="1"/>
  <c r="AF106" i="4"/>
  <c r="AF105" i="4" s="1"/>
  <c r="AC105" i="4"/>
  <c r="N186" i="8"/>
  <c r="H186" i="8" s="1"/>
  <c r="M58" i="5"/>
  <c r="J36" i="5"/>
  <c r="D172" i="8" s="1"/>
  <c r="AF46" i="4"/>
  <c r="AF91" i="4"/>
  <c r="AF121" i="4"/>
  <c r="M5" i="3"/>
  <c r="M4" i="3" s="1"/>
  <c r="AL113" i="5"/>
  <c r="AL110" i="5" s="1"/>
  <c r="P192" i="8" s="1"/>
  <c r="AI110" i="5"/>
  <c r="J129" i="5"/>
  <c r="J123" i="5" s="1"/>
  <c r="N129" i="5"/>
  <c r="N123" i="5" s="1"/>
  <c r="K129" i="5"/>
  <c r="K123" i="5" s="1"/>
  <c r="AF64" i="4"/>
  <c r="AL137" i="5"/>
  <c r="AL134" i="5" s="1"/>
  <c r="P196" i="8" s="1"/>
  <c r="AI134" i="5"/>
  <c r="AL50" i="5"/>
  <c r="AL49" i="5" s="1"/>
  <c r="AL48" i="5" s="1"/>
  <c r="AI49" i="5"/>
  <c r="AI48" i="5" s="1"/>
  <c r="AF83" i="4"/>
  <c r="AL19" i="5"/>
  <c r="AL18" i="5" s="1"/>
  <c r="P167" i="8" s="1"/>
  <c r="AI18" i="5"/>
  <c r="AL26" i="5"/>
  <c r="P169" i="8" s="1"/>
  <c r="AL125" i="5"/>
  <c r="AF38" i="4"/>
  <c r="AL10" i="5"/>
  <c r="AL9" i="5" s="1"/>
  <c r="P164" i="8" s="1"/>
  <c r="AI9" i="5"/>
  <c r="AF134" i="5"/>
  <c r="J5" i="4"/>
  <c r="AF73" i="4"/>
  <c r="AF144" i="4"/>
  <c r="AC77" i="4"/>
  <c r="AF78" i="4"/>
  <c r="AF77" i="4" s="1"/>
  <c r="AF5" i="4"/>
  <c r="AF4" i="4" s="1"/>
  <c r="D137" i="8"/>
  <c r="AC57" i="4"/>
  <c r="AF59" i="4"/>
  <c r="AF57" i="4" s="1"/>
  <c r="AF109" i="4"/>
  <c r="AF140" i="4"/>
  <c r="AF150" i="4"/>
  <c r="AC61" i="4"/>
  <c r="AF62" i="4"/>
  <c r="AF61" i="4" s="1"/>
  <c r="AL130" i="3"/>
  <c r="AL129" i="3" s="1"/>
  <c r="P122" i="8" s="1"/>
  <c r="AI129" i="3"/>
  <c r="M122" i="8" s="1"/>
  <c r="G122" i="8" s="1"/>
  <c r="AF59" i="3"/>
  <c r="N99" i="8"/>
  <c r="AC16" i="3"/>
  <c r="AL109" i="3"/>
  <c r="AL107" i="3" s="1"/>
  <c r="P118" i="8" s="1"/>
  <c r="AI107" i="3"/>
  <c r="AL22" i="3"/>
  <c r="AL21" i="3" s="1"/>
  <c r="AI21" i="3"/>
  <c r="M34" i="3"/>
  <c r="M43" i="5"/>
  <c r="I174" i="8" s="1"/>
  <c r="AL79" i="5"/>
  <c r="AL78" i="5" s="1"/>
  <c r="AI78" i="5"/>
  <c r="AC78" i="5"/>
  <c r="J110" i="5"/>
  <c r="AL126" i="3"/>
  <c r="AL125" i="3" s="1"/>
  <c r="P121" i="8" s="1"/>
  <c r="AI125" i="3"/>
  <c r="M121" i="8" s="1"/>
  <c r="G121" i="8" s="1"/>
  <c r="AF52" i="3"/>
  <c r="AF46" i="3" s="1"/>
  <c r="AC46" i="3"/>
  <c r="AL41" i="3"/>
  <c r="AL40" i="3" s="1"/>
  <c r="P103" i="8" s="1"/>
  <c r="M103" i="8"/>
  <c r="G103" i="8" s="1"/>
  <c r="AL25" i="3"/>
  <c r="AL24" i="3" s="1"/>
  <c r="P99" i="8" s="1"/>
  <c r="AL56" i="3"/>
  <c r="AL54" i="3" s="1"/>
  <c r="P107" i="8" s="1"/>
  <c r="AI54" i="3"/>
  <c r="M125" i="8"/>
  <c r="G125" i="8" s="1"/>
  <c r="J121" i="4"/>
  <c r="D152" i="8" s="1"/>
  <c r="P156" i="8"/>
  <c r="M156" i="8"/>
  <c r="G156" i="8" s="1"/>
  <c r="J144" i="4"/>
  <c r="D156" i="8" s="1"/>
  <c r="AC79" i="4"/>
  <c r="P142" i="8"/>
  <c r="J18" i="5"/>
  <c r="AL90" i="5"/>
  <c r="AL85" i="5" s="1"/>
  <c r="M186" i="8"/>
  <c r="G186" i="8" s="1"/>
  <c r="P151" i="8"/>
  <c r="M151" i="8"/>
  <c r="G151" i="8" s="1"/>
  <c r="AL88" i="3"/>
  <c r="AL86" i="3" s="1"/>
  <c r="AL67" i="3" s="1"/>
  <c r="AI86" i="3"/>
  <c r="AI67" i="3" s="1"/>
  <c r="AF83" i="5"/>
  <c r="AF102" i="3"/>
  <c r="AC101" i="3"/>
  <c r="AC109" i="4"/>
  <c r="AF17" i="3"/>
  <c r="AF16" i="3" s="1"/>
  <c r="J69" i="4"/>
  <c r="D139" i="8" s="1"/>
  <c r="AL23" i="5"/>
  <c r="P168" i="8" s="1"/>
  <c r="D129" i="8"/>
  <c r="AC136" i="4"/>
  <c r="AF49" i="5"/>
  <c r="J9" i="5"/>
  <c r="D160" i="8"/>
  <c r="P154" i="8"/>
  <c r="AF6" i="3"/>
  <c r="AF5" i="3" s="1"/>
  <c r="AF4" i="3" s="1"/>
  <c r="AC5" i="3"/>
  <c r="AC4" i="3" s="1"/>
  <c r="P157" i="8"/>
  <c r="P150" i="8"/>
  <c r="P149" i="8"/>
  <c r="P133" i="8"/>
  <c r="P152" i="8"/>
  <c r="M148" i="8"/>
  <c r="G148" i="8" s="1"/>
  <c r="P148" i="8"/>
  <c r="P132" i="8"/>
  <c r="M137" i="8"/>
  <c r="G137" i="8" s="1"/>
  <c r="P145" i="8"/>
  <c r="M141" i="8"/>
  <c r="G141" i="8" s="1"/>
  <c r="P141" i="8"/>
  <c r="P129" i="8"/>
  <c r="P140" i="8"/>
  <c r="P138" i="8"/>
  <c r="AL12" i="5"/>
  <c r="M146" i="8"/>
  <c r="G146" i="8" s="1"/>
  <c r="P146" i="8"/>
  <c r="J12" i="5"/>
  <c r="AL58" i="5"/>
  <c r="AL94" i="5"/>
  <c r="P188" i="8" s="1"/>
  <c r="AL99" i="5"/>
  <c r="P189" i="8" s="1"/>
  <c r="P197" i="8"/>
  <c r="M26" i="5"/>
  <c r="AI30" i="5"/>
  <c r="M170" i="8" s="1"/>
  <c r="G170" i="8" s="1"/>
  <c r="AL31" i="5"/>
  <c r="AL30" i="5" s="1"/>
  <c r="P170" i="8" s="1"/>
  <c r="AL74" i="5"/>
  <c r="P183" i="8" s="1"/>
  <c r="M187" i="8"/>
  <c r="G187" i="8" s="1"/>
  <c r="P187" i="8"/>
  <c r="AI105" i="5"/>
  <c r="M190" i="8" s="1"/>
  <c r="G190" i="8" s="1"/>
  <c r="AL106" i="5"/>
  <c r="AL105" i="5" s="1"/>
  <c r="P190" i="8" s="1"/>
  <c r="AL131" i="5"/>
  <c r="P195" i="8" s="1"/>
  <c r="P173" i="8"/>
  <c r="AL43" i="5"/>
  <c r="P174" i="8" s="1"/>
  <c r="M177" i="8"/>
  <c r="G177" i="8" s="1"/>
  <c r="P177" i="8"/>
  <c r="J94" i="5"/>
  <c r="D188" i="8" s="1"/>
  <c r="J86" i="3"/>
  <c r="J67" i="3" s="1"/>
  <c r="D114" i="8"/>
  <c r="I111" i="8"/>
  <c r="AL117" i="3"/>
  <c r="P119" i="8" s="1"/>
  <c r="AL5" i="3"/>
  <c r="AL4" i="3" s="1"/>
  <c r="AL28" i="3"/>
  <c r="P100" i="8" s="1"/>
  <c r="AL34" i="3"/>
  <c r="P102" i="8" s="1"/>
  <c r="P111" i="8"/>
  <c r="P112" i="8"/>
  <c r="AL101" i="3"/>
  <c r="P117" i="8" s="1"/>
  <c r="P114" i="8"/>
  <c r="P115" i="8"/>
  <c r="AL16" i="3"/>
  <c r="M46" i="3"/>
  <c r="AI43" i="3"/>
  <c r="M104" i="8" s="1"/>
  <c r="G104" i="8" s="1"/>
  <c r="AL44" i="3"/>
  <c r="AL43" i="3" s="1"/>
  <c r="P104" i="8" s="1"/>
  <c r="AL46" i="3"/>
  <c r="P106" i="8" s="1"/>
  <c r="AL59" i="3"/>
  <c r="P108" i="8" s="1"/>
  <c r="AL36" i="5"/>
  <c r="P172" i="8" s="1"/>
  <c r="AI68" i="5"/>
  <c r="M182" i="8" s="1"/>
  <c r="G182" i="8" s="1"/>
  <c r="AL69" i="5"/>
  <c r="AL68" i="5" s="1"/>
  <c r="P182" i="8" s="1"/>
  <c r="AI66" i="5"/>
  <c r="M181" i="8" s="1"/>
  <c r="G181" i="8" s="1"/>
  <c r="AL67" i="5"/>
  <c r="AL66" i="5" s="1"/>
  <c r="P181" i="8" s="1"/>
  <c r="AL61" i="5"/>
  <c r="P180" i="8" s="1"/>
  <c r="AI58" i="5"/>
  <c r="AF124" i="5"/>
  <c r="AF123" i="5" s="1"/>
  <c r="AC123" i="5"/>
  <c r="P144" i="8"/>
  <c r="P135" i="8"/>
  <c r="P126" i="8"/>
  <c r="P109" i="8"/>
  <c r="AL116" i="5"/>
  <c r="P193" i="8" s="1"/>
  <c r="AC94" i="5"/>
  <c r="M18" i="5"/>
  <c r="M23" i="5"/>
  <c r="I168" i="8" s="1"/>
  <c r="D173" i="8"/>
  <c r="AI61" i="5"/>
  <c r="M180" i="8" s="1"/>
  <c r="G180" i="8" s="1"/>
  <c r="M9" i="5"/>
  <c r="J23" i="5"/>
  <c r="D168" i="8" s="1"/>
  <c r="AC26" i="5"/>
  <c r="AC23" i="5"/>
  <c r="AI74" i="5"/>
  <c r="M183" i="8" s="1"/>
  <c r="G183" i="8" s="1"/>
  <c r="M105" i="5"/>
  <c r="I190" i="8" s="1"/>
  <c r="M78" i="5"/>
  <c r="AF94" i="5"/>
  <c r="D163" i="8"/>
  <c r="I173" i="8"/>
  <c r="J58" i="5"/>
  <c r="D197" i="8"/>
  <c r="M12" i="5"/>
  <c r="M171" i="8"/>
  <c r="G171" i="8" s="1"/>
  <c r="M173" i="8"/>
  <c r="G173" i="8" s="1"/>
  <c r="AI43" i="5"/>
  <c r="M61" i="5"/>
  <c r="I180" i="8" s="1"/>
  <c r="M94" i="5"/>
  <c r="I188" i="8" s="1"/>
  <c r="I197" i="8"/>
  <c r="D186" i="8"/>
  <c r="J105" i="5"/>
  <c r="D190" i="8" s="1"/>
  <c r="J140" i="4"/>
  <c r="D155" i="8" s="1"/>
  <c r="M5" i="4"/>
  <c r="AC22" i="4"/>
  <c r="AC38" i="4"/>
  <c r="AC5" i="4"/>
  <c r="AC134" i="5"/>
  <c r="M134" i="5"/>
  <c r="I196" i="8" s="1"/>
  <c r="J134" i="5"/>
  <c r="D196" i="8" s="1"/>
  <c r="M131" i="5"/>
  <c r="I195" i="8" s="1"/>
  <c r="J131" i="5"/>
  <c r="D195" i="8" s="1"/>
  <c r="AI116" i="5"/>
  <c r="AC33" i="4"/>
  <c r="AC26" i="4" s="1"/>
  <c r="AC36" i="5"/>
  <c r="AC49" i="5"/>
  <c r="AC48" i="5" s="1"/>
  <c r="AF24" i="5"/>
  <c r="AF23" i="5" s="1"/>
  <c r="J49" i="5"/>
  <c r="J48" i="5" s="1"/>
  <c r="AF68" i="5"/>
  <c r="J99" i="5"/>
  <c r="D189" i="8" s="1"/>
  <c r="M129" i="5"/>
  <c r="M123" i="5" s="1"/>
  <c r="AI23" i="5"/>
  <c r="M168" i="8" s="1"/>
  <c r="G168" i="8" s="1"/>
  <c r="M36" i="5"/>
  <c r="I172" i="8" s="1"/>
  <c r="M49" i="5"/>
  <c r="M48" i="5" s="1"/>
  <c r="M99" i="5"/>
  <c r="I189" i="8" s="1"/>
  <c r="AF105" i="5"/>
  <c r="J116" i="5"/>
  <c r="D193" i="8" s="1"/>
  <c r="M110" i="5"/>
  <c r="AF26" i="5"/>
  <c r="D171" i="8"/>
  <c r="AF36" i="5"/>
  <c r="AC99" i="5"/>
  <c r="M116" i="5"/>
  <c r="I193" i="8" s="1"/>
  <c r="AI129" i="5"/>
  <c r="M197" i="8"/>
  <c r="G197" i="8" s="1"/>
  <c r="M163" i="8"/>
  <c r="G163" i="8" s="1"/>
  <c r="I171" i="8"/>
  <c r="AI36" i="5"/>
  <c r="M172" i="8" s="1"/>
  <c r="G172" i="8" s="1"/>
  <c r="M68" i="5"/>
  <c r="I182" i="8" s="1"/>
  <c r="J74" i="5"/>
  <c r="D183" i="8" s="1"/>
  <c r="AC110" i="5"/>
  <c r="AC116" i="5"/>
  <c r="AC131" i="5"/>
  <c r="AC18" i="5"/>
  <c r="AC68" i="5"/>
  <c r="J78" i="5"/>
  <c r="AI131" i="5"/>
  <c r="M195" i="8" s="1"/>
  <c r="G195" i="8" s="1"/>
  <c r="M135" i="8"/>
  <c r="G135" i="8" s="1"/>
  <c r="M22" i="4"/>
  <c r="J105" i="4"/>
  <c r="D150" i="8" s="1"/>
  <c r="M38" i="4"/>
  <c r="AC95" i="4"/>
  <c r="I133" i="8"/>
  <c r="I137" i="8"/>
  <c r="AC91" i="4"/>
  <c r="J64" i="4"/>
  <c r="J79" i="4"/>
  <c r="M46" i="4"/>
  <c r="I132" i="8" s="1"/>
  <c r="J136" i="4"/>
  <c r="M33" i="4"/>
  <c r="M26" i="4" s="1"/>
  <c r="AC53" i="4"/>
  <c r="J73" i="4"/>
  <c r="D140" i="8" s="1"/>
  <c r="M133" i="8"/>
  <c r="G133" i="8" s="1"/>
  <c r="M69" i="4"/>
  <c r="I139" i="8" s="1"/>
  <c r="M145" i="8"/>
  <c r="G145" i="8" s="1"/>
  <c r="M100" i="4"/>
  <c r="D133" i="8"/>
  <c r="AC100" i="4"/>
  <c r="M64" i="4"/>
  <c r="I138" i="8" s="1"/>
  <c r="M109" i="4"/>
  <c r="AC140" i="4"/>
  <c r="M128" i="8"/>
  <c r="G128" i="8" s="1"/>
  <c r="AC46" i="4"/>
  <c r="J57" i="4"/>
  <c r="M140" i="8"/>
  <c r="G140" i="8" s="1"/>
  <c r="J91" i="4"/>
  <c r="D145" i="8" s="1"/>
  <c r="J46" i="4"/>
  <c r="M79" i="4"/>
  <c r="AC150" i="4"/>
  <c r="J150" i="4"/>
  <c r="D157" i="8" s="1"/>
  <c r="M105" i="4"/>
  <c r="I150" i="8" s="1"/>
  <c r="J100" i="4"/>
  <c r="M132" i="8"/>
  <c r="G132" i="8" s="1"/>
  <c r="M138" i="8"/>
  <c r="G138" i="8" s="1"/>
  <c r="M140" i="4"/>
  <c r="I155" i="8" s="1"/>
  <c r="J22" i="4"/>
  <c r="M53" i="4"/>
  <c r="I134" i="8" s="1"/>
  <c r="J53" i="4"/>
  <c r="D134" i="8" s="1"/>
  <c r="M139" i="8"/>
  <c r="G139" i="8" s="1"/>
  <c r="M150" i="8"/>
  <c r="G150" i="8" s="1"/>
  <c r="M157" i="8"/>
  <c r="G157" i="8" s="1"/>
  <c r="D103" i="8"/>
  <c r="AC34" i="3"/>
  <c r="J54" i="3"/>
  <c r="D107" i="8" s="1"/>
  <c r="J21" i="3"/>
  <c r="D98" i="8" s="1"/>
  <c r="M54" i="3"/>
  <c r="I107" i="8" s="1"/>
  <c r="AC40" i="3"/>
  <c r="AC24" i="3"/>
  <c r="I114" i="8"/>
  <c r="AI59" i="3"/>
  <c r="M109" i="8"/>
  <c r="G109" i="8" s="1"/>
  <c r="AI16" i="3"/>
  <c r="I112" i="8"/>
  <c r="M21" i="3"/>
  <c r="I98" i="8" s="1"/>
  <c r="D100" i="8"/>
  <c r="AF40" i="3"/>
  <c r="M112" i="8"/>
  <c r="G112" i="8" s="1"/>
  <c r="D115" i="8"/>
  <c r="M115" i="8"/>
  <c r="M125" i="3"/>
  <c r="M129" i="3"/>
  <c r="I122" i="8" s="1"/>
  <c r="M86" i="3"/>
  <c r="M67" i="3" s="1"/>
  <c r="AC117" i="3"/>
  <c r="AC129" i="3"/>
  <c r="M101" i="3"/>
  <c r="AF103" i="3"/>
  <c r="J107" i="3"/>
  <c r="D118" i="8" s="1"/>
  <c r="J16" i="3"/>
  <c r="M16" i="3"/>
  <c r="AI34" i="3"/>
  <c r="M59" i="3"/>
  <c r="I108" i="8" s="1"/>
  <c r="I115" i="8"/>
  <c r="J129" i="3"/>
  <c r="D122" i="8" s="1"/>
  <c r="AC59" i="3"/>
  <c r="M40" i="3"/>
  <c r="I103" i="8" s="1"/>
  <c r="D95" i="8"/>
  <c r="J34" i="3"/>
  <c r="J33" i="3" s="1"/>
  <c r="M114" i="8"/>
  <c r="G114" i="8" s="1"/>
  <c r="AI117" i="3"/>
  <c r="M119" i="8" s="1"/>
  <c r="G119" i="8" s="1"/>
  <c r="J5" i="3"/>
  <c r="J4" i="3" s="1"/>
  <c r="J24" i="3"/>
  <c r="D99" i="8" s="1"/>
  <c r="AI46" i="3"/>
  <c r="M111" i="8"/>
  <c r="G111" i="8" s="1"/>
  <c r="J101" i="3"/>
  <c r="M107" i="3"/>
  <c r="I118" i="8" s="1"/>
  <c r="J117" i="3"/>
  <c r="D119" i="8" s="1"/>
  <c r="AI5" i="3"/>
  <c r="AI4" i="3" s="1"/>
  <c r="M24" i="3"/>
  <c r="I99" i="8" s="1"/>
  <c r="J59" i="3"/>
  <c r="D108" i="8" s="1"/>
  <c r="D112" i="8"/>
  <c r="AI101" i="3"/>
  <c r="M117" i="3"/>
  <c r="I119" i="8" s="1"/>
  <c r="AF126" i="3"/>
  <c r="AF125" i="3" s="1"/>
  <c r="AF107" i="3"/>
  <c r="AF117" i="3"/>
  <c r="AC86" i="3"/>
  <c r="AC67" i="3" s="1"/>
  <c r="AC107" i="3"/>
  <c r="AF44" i="3"/>
  <c r="AF43" i="3" s="1"/>
  <c r="AC54" i="3"/>
  <c r="AF130" i="3"/>
  <c r="AF129" i="3" s="1"/>
  <c r="AF22" i="3"/>
  <c r="AF21" i="3" s="1"/>
  <c r="AF34" i="3"/>
  <c r="AF25" i="3"/>
  <c r="AF24" i="3" s="1"/>
  <c r="M57" i="4"/>
  <c r="AC83" i="4"/>
  <c r="M91" i="4"/>
  <c r="I145" i="8" s="1"/>
  <c r="M121" i="4"/>
  <c r="I152" i="8" s="1"/>
  <c r="M134" i="8"/>
  <c r="G134" i="8" s="1"/>
  <c r="AC121" i="4"/>
  <c r="J38" i="4"/>
  <c r="M136" i="4"/>
  <c r="M73" i="4"/>
  <c r="I140" i="8" s="1"/>
  <c r="J83" i="4"/>
  <c r="J109" i="4"/>
  <c r="M152" i="8"/>
  <c r="M144" i="4"/>
  <c r="I156" i="8" s="1"/>
  <c r="M150" i="4"/>
  <c r="I157" i="8" s="1"/>
  <c r="AC73" i="4"/>
  <c r="M83" i="4"/>
  <c r="AC144" i="4"/>
  <c r="AF10" i="5"/>
  <c r="AF9" i="5" s="1"/>
  <c r="AF62" i="5"/>
  <c r="AF61" i="5" s="1"/>
  <c r="AC61" i="5"/>
  <c r="AF99" i="5"/>
  <c r="AF132" i="5"/>
  <c r="AF131" i="5" s="1"/>
  <c r="J26" i="5"/>
  <c r="J43" i="5"/>
  <c r="D174" i="8" s="1"/>
  <c r="J68" i="5"/>
  <c r="D182" i="8" s="1"/>
  <c r="AI99" i="5"/>
  <c r="M189" i="8" s="1"/>
  <c r="G189" i="8" s="1"/>
  <c r="AC12" i="5"/>
  <c r="AC4" i="5" s="1"/>
  <c r="AF18" i="5"/>
  <c r="M74" i="5"/>
  <c r="I183" i="8" s="1"/>
  <c r="AF81" i="5"/>
  <c r="AF13" i="5"/>
  <c r="AF12" i="5" s="1"/>
  <c r="AF31" i="5"/>
  <c r="AF30" i="5" s="1"/>
  <c r="AC43" i="5"/>
  <c r="AF43" i="5"/>
  <c r="AC74" i="5"/>
  <c r="I186" i="8"/>
  <c r="AI12" i="5"/>
  <c r="AC85" i="5"/>
  <c r="AI94" i="5"/>
  <c r="AC58" i="5"/>
  <c r="J61" i="5"/>
  <c r="D180" i="8" s="1"/>
  <c r="AC105" i="5"/>
  <c r="AF59" i="5"/>
  <c r="AF58" i="5" s="1"/>
  <c r="AF75" i="5"/>
  <c r="AF74" i="5" s="1"/>
  <c r="AF117" i="5"/>
  <c r="AF116" i="5" s="1"/>
  <c r="AF67" i="5"/>
  <c r="AF66" i="5" s="1"/>
  <c r="AI45" i="3" l="1"/>
  <c r="AI15" i="3"/>
  <c r="M108" i="8"/>
  <c r="G108" i="8" s="1"/>
  <c r="N108" i="8"/>
  <c r="H108" i="8" s="1"/>
  <c r="M118" i="8"/>
  <c r="G118" i="8" s="1"/>
  <c r="M174" i="8"/>
  <c r="G174" i="8" s="1"/>
  <c r="M196" i="8"/>
  <c r="G196" i="8" s="1"/>
  <c r="N196" i="8"/>
  <c r="M188" i="8"/>
  <c r="G188" i="8" s="1"/>
  <c r="AI17" i="5"/>
  <c r="M164" i="8"/>
  <c r="G164" i="8" s="1"/>
  <c r="AI4" i="5"/>
  <c r="AL4" i="5"/>
  <c r="J17" i="5"/>
  <c r="AF37" i="4"/>
  <c r="F37" i="4" s="1"/>
  <c r="AF82" i="4"/>
  <c r="F82" i="4" s="1"/>
  <c r="AF97" i="4"/>
  <c r="F97" i="4" s="1"/>
  <c r="J97" i="4"/>
  <c r="D159" i="8"/>
  <c r="N96" i="8"/>
  <c r="H96" i="8" s="1"/>
  <c r="AF48" i="5"/>
  <c r="F48" i="5" s="1"/>
  <c r="J60" i="4"/>
  <c r="AL129" i="5"/>
  <c r="AL123" i="5" s="1"/>
  <c r="P194" i="8" s="1"/>
  <c r="P191" i="8" s="1"/>
  <c r="AM129" i="5"/>
  <c r="E194" i="8"/>
  <c r="E191" i="8" s="1"/>
  <c r="K109" i="5"/>
  <c r="K3" i="5" s="1"/>
  <c r="E161" i="8" s="1"/>
  <c r="J109" i="5"/>
  <c r="J194" i="8"/>
  <c r="J191" i="8" s="1"/>
  <c r="N109" i="5"/>
  <c r="N3" i="5" s="1"/>
  <c r="J161" i="8" s="1"/>
  <c r="Q8" i="7" s="1"/>
  <c r="J77" i="5"/>
  <c r="AI77" i="5"/>
  <c r="AF57" i="5"/>
  <c r="F57" i="5" s="1"/>
  <c r="AC109" i="5"/>
  <c r="J57" i="5"/>
  <c r="AC17" i="5"/>
  <c r="AM125" i="5"/>
  <c r="AC97" i="4"/>
  <c r="AF135" i="4"/>
  <c r="F135" i="4" s="1"/>
  <c r="J135" i="4"/>
  <c r="AF60" i="4"/>
  <c r="J124" i="3"/>
  <c r="AF101" i="3"/>
  <c r="AF100" i="3" s="1"/>
  <c r="F100" i="3" s="1"/>
  <c r="M45" i="3"/>
  <c r="J100" i="3"/>
  <c r="I165" i="8"/>
  <c r="M4" i="5"/>
  <c r="D165" i="8"/>
  <c r="J4" i="5"/>
  <c r="I169" i="8"/>
  <c r="M17" i="5"/>
  <c r="AF45" i="3"/>
  <c r="F45" i="3" s="1"/>
  <c r="AI33" i="3"/>
  <c r="M124" i="3"/>
  <c r="J15" i="3"/>
  <c r="AC45" i="3"/>
  <c r="M100" i="3"/>
  <c r="AF4" i="5"/>
  <c r="F4" i="5" s="1"/>
  <c r="M109" i="5"/>
  <c r="P176" i="8"/>
  <c r="AF109" i="5"/>
  <c r="F109" i="5" s="1"/>
  <c r="AL57" i="5"/>
  <c r="AC37" i="4"/>
  <c r="P131" i="8"/>
  <c r="M37" i="4"/>
  <c r="J37" i="4"/>
  <c r="M117" i="8"/>
  <c r="G117" i="8" s="1"/>
  <c r="AI100" i="3"/>
  <c r="M102" i="8"/>
  <c r="G102" i="8" s="1"/>
  <c r="AF15" i="3"/>
  <c r="F15" i="3" s="1"/>
  <c r="J45" i="3"/>
  <c r="P186" i="8"/>
  <c r="AL77" i="5"/>
  <c r="J82" i="4"/>
  <c r="D125" i="8"/>
  <c r="J4" i="4"/>
  <c r="M106" i="8"/>
  <c r="G106" i="8" s="1"/>
  <c r="D132" i="8"/>
  <c r="P113" i="8"/>
  <c r="D138" i="8"/>
  <c r="D164" i="8"/>
  <c r="AC77" i="5"/>
  <c r="AF78" i="5"/>
  <c r="AF77" i="5" s="1"/>
  <c r="F77" i="5" s="1"/>
  <c r="M33" i="3"/>
  <c r="M15" i="3"/>
  <c r="P94" i="8"/>
  <c r="M94" i="8"/>
  <c r="G94" i="8" s="1"/>
  <c r="M144" i="8"/>
  <c r="G144" i="8" s="1"/>
  <c r="M165" i="8"/>
  <c r="G165" i="8" s="1"/>
  <c r="P165" i="8"/>
  <c r="P98" i="8"/>
  <c r="AL15" i="3"/>
  <c r="AC64" i="4"/>
  <c r="I97" i="8"/>
  <c r="D97" i="8"/>
  <c r="D106" i="8"/>
  <c r="I106" i="8"/>
  <c r="M97" i="8"/>
  <c r="G97" i="8" s="1"/>
  <c r="I94" i="8"/>
  <c r="M107" i="8"/>
  <c r="G107" i="8" s="1"/>
  <c r="I113" i="8"/>
  <c r="I110" i="8" s="1"/>
  <c r="N10" i="12" s="1"/>
  <c r="D113" i="8"/>
  <c r="M113" i="8"/>
  <c r="I167" i="8"/>
  <c r="D167" i="8"/>
  <c r="I192" i="8"/>
  <c r="M77" i="5"/>
  <c r="D192" i="8"/>
  <c r="M192" i="8"/>
  <c r="G192" i="8" s="1"/>
  <c r="M167" i="8"/>
  <c r="G167" i="8" s="1"/>
  <c r="D149" i="8"/>
  <c r="AC135" i="4"/>
  <c r="I125" i="8"/>
  <c r="M4" i="4"/>
  <c r="I129" i="8"/>
  <c r="I131" i="8"/>
  <c r="M154" i="8"/>
  <c r="G154" i="8" s="1"/>
  <c r="M135" i="4"/>
  <c r="I149" i="8"/>
  <c r="M97" i="4"/>
  <c r="D131" i="8"/>
  <c r="M131" i="8"/>
  <c r="P127" i="8"/>
  <c r="M149" i="8"/>
  <c r="G149" i="8" s="1"/>
  <c r="D158" i="8"/>
  <c r="I163" i="8"/>
  <c r="M160" i="8"/>
  <c r="G160" i="8" s="1"/>
  <c r="P137" i="8"/>
  <c r="AF33" i="3"/>
  <c r="F33" i="3" s="1"/>
  <c r="P179" i="8"/>
  <c r="P163" i="8"/>
  <c r="P139" i="8"/>
  <c r="F4" i="4"/>
  <c r="AL124" i="3"/>
  <c r="I128" i="8"/>
  <c r="D128" i="8"/>
  <c r="P155" i="8"/>
  <c r="P153" i="8" s="1"/>
  <c r="P125" i="8"/>
  <c r="P160" i="8"/>
  <c r="P159" i="8" s="1"/>
  <c r="P147" i="8"/>
  <c r="I160" i="8"/>
  <c r="I158" i="8"/>
  <c r="M155" i="8"/>
  <c r="G155" i="8" s="1"/>
  <c r="D154" i="8"/>
  <c r="I154" i="8"/>
  <c r="P95" i="8"/>
  <c r="P143" i="8"/>
  <c r="AI123" i="5"/>
  <c r="P166" i="8"/>
  <c r="I185" i="8"/>
  <c r="I184" i="8" s="1"/>
  <c r="N10" i="15" s="1"/>
  <c r="D185" i="8"/>
  <c r="D176" i="8"/>
  <c r="I176" i="8"/>
  <c r="I175" i="8" s="1"/>
  <c r="N8" i="15" s="1"/>
  <c r="AL17" i="5"/>
  <c r="P185" i="8"/>
  <c r="P101" i="8"/>
  <c r="F67" i="3"/>
  <c r="D111" i="8"/>
  <c r="I109" i="8"/>
  <c r="I117" i="8"/>
  <c r="I102" i="8"/>
  <c r="P97" i="8"/>
  <c r="F4" i="3"/>
  <c r="AL45" i="3"/>
  <c r="I95" i="8"/>
  <c r="D102" i="8"/>
  <c r="P105" i="8"/>
  <c r="AL100" i="3"/>
  <c r="D94" i="8"/>
  <c r="P116" i="8"/>
  <c r="D117" i="8"/>
  <c r="AL33" i="3"/>
  <c r="I164" i="8"/>
  <c r="P120" i="8"/>
  <c r="M99" i="8"/>
  <c r="G99" i="8" s="1"/>
  <c r="D169" i="8"/>
  <c r="AC57" i="5"/>
  <c r="AI57" i="5"/>
  <c r="M179" i="8"/>
  <c r="G179" i="8" s="1"/>
  <c r="D179" i="8"/>
  <c r="I179" i="8"/>
  <c r="M57" i="5"/>
  <c r="D194" i="8"/>
  <c r="I194" i="8"/>
  <c r="I151" i="8"/>
  <c r="D151" i="8"/>
  <c r="D144" i="8"/>
  <c r="I144" i="8"/>
  <c r="M82" i="4"/>
  <c r="M142" i="8"/>
  <c r="G142" i="8" s="1"/>
  <c r="I142" i="8"/>
  <c r="M60" i="4"/>
  <c r="D142" i="8"/>
  <c r="D135" i="8"/>
  <c r="I135" i="8"/>
  <c r="D126" i="8"/>
  <c r="AC4" i="4"/>
  <c r="I126" i="8"/>
  <c r="D121" i="8"/>
  <c r="I121" i="8"/>
  <c r="D109" i="8"/>
  <c r="M120" i="8"/>
  <c r="G120" i="8" s="1"/>
  <c r="M193" i="8"/>
  <c r="G193" i="8" s="1"/>
  <c r="M176" i="8"/>
  <c r="G176" i="8" s="1"/>
  <c r="M185" i="8"/>
  <c r="G185" i="8" s="1"/>
  <c r="I100" i="8"/>
  <c r="M129" i="8"/>
  <c r="F26" i="4"/>
  <c r="AC33" i="3"/>
  <c r="AC15" i="3"/>
  <c r="F167" i="4"/>
  <c r="AC82" i="4"/>
  <c r="M126" i="8"/>
  <c r="G126" i="8" s="1"/>
  <c r="AC124" i="3"/>
  <c r="M100" i="8"/>
  <c r="G100" i="8" s="1"/>
  <c r="AC100" i="3"/>
  <c r="AI124" i="3"/>
  <c r="M98" i="8"/>
  <c r="G98" i="8" s="1"/>
  <c r="AF124" i="3"/>
  <c r="F124" i="3" s="1"/>
  <c r="AF17" i="5"/>
  <c r="F17" i="5" s="1"/>
  <c r="B203" i="8"/>
  <c r="B199" i="8"/>
  <c r="B198" i="8"/>
  <c r="C5" i="17" s="1"/>
  <c r="K5" i="17" s="1"/>
  <c r="C62" i="17" s="1"/>
  <c r="B191" i="8"/>
  <c r="B184" i="8"/>
  <c r="B178" i="8"/>
  <c r="B175" i="8"/>
  <c r="B166" i="8"/>
  <c r="B162" i="8"/>
  <c r="B161" i="8"/>
  <c r="C5" i="15" s="1"/>
  <c r="M5" i="15" s="1"/>
  <c r="C109" i="15" s="1"/>
  <c r="B159" i="8"/>
  <c r="C13" i="13" s="1"/>
  <c r="B153" i="8"/>
  <c r="B147" i="8"/>
  <c r="B143" i="8"/>
  <c r="B136" i="8"/>
  <c r="B130" i="8"/>
  <c r="B127" i="8"/>
  <c r="B124" i="8"/>
  <c r="B123" i="8"/>
  <c r="C5" i="13" s="1"/>
  <c r="N6" i="13" s="1"/>
  <c r="C120" i="13" s="1"/>
  <c r="B120" i="8"/>
  <c r="B116" i="8"/>
  <c r="B110" i="8"/>
  <c r="B105" i="8"/>
  <c r="B101" i="8"/>
  <c r="B96" i="8"/>
  <c r="B93" i="8"/>
  <c r="B92" i="8"/>
  <c r="C5" i="12" s="1"/>
  <c r="M5" i="12" s="1"/>
  <c r="C88" i="12" s="1"/>
  <c r="B88" i="8"/>
  <c r="B80" i="8"/>
  <c r="B73" i="8"/>
  <c r="B68" i="8"/>
  <c r="B64" i="8"/>
  <c r="B47" i="8"/>
  <c r="C6" i="10" s="1"/>
  <c r="B46" i="8"/>
  <c r="C5" i="10" s="1"/>
  <c r="B34" i="8"/>
  <c r="B26" i="8"/>
  <c r="C9" i="11" s="1"/>
  <c r="B21" i="8"/>
  <c r="C61" i="11" s="1"/>
  <c r="B20" i="8"/>
  <c r="C8" i="11" s="1"/>
  <c r="B19" i="8"/>
  <c r="C56" i="11" s="1"/>
  <c r="B18" i="8"/>
  <c r="C55" i="11" s="1"/>
  <c r="B17" i="8"/>
  <c r="C54" i="11" s="1"/>
  <c r="B16" i="8"/>
  <c r="C53" i="11" s="1"/>
  <c r="B15" i="8"/>
  <c r="C52" i="11" s="1"/>
  <c r="B14" i="8"/>
  <c r="C51" i="11" s="1"/>
  <c r="B13" i="8"/>
  <c r="C50" i="11" s="1"/>
  <c r="B12" i="8"/>
  <c r="C49" i="11" s="1"/>
  <c r="B11" i="8"/>
  <c r="C7" i="11" s="1"/>
  <c r="B10" i="8"/>
  <c r="C37" i="11" s="1"/>
  <c r="B9" i="8"/>
  <c r="C36" i="11" s="1"/>
  <c r="B8" i="8"/>
  <c r="C35" i="11" s="1"/>
  <c r="B7" i="8"/>
  <c r="C34" i="11" s="1"/>
  <c r="B6" i="8"/>
  <c r="C33" i="11" s="1"/>
  <c r="B5" i="8"/>
  <c r="H196" i="8" l="1"/>
  <c r="N105" i="8"/>
  <c r="H105" i="8" s="1"/>
  <c r="N118" i="8"/>
  <c r="H118" i="8" s="1"/>
  <c r="N174" i="8"/>
  <c r="H174" i="8" s="1"/>
  <c r="N188" i="8"/>
  <c r="H188" i="8" s="1"/>
  <c r="N182" i="8"/>
  <c r="H182" i="8" s="1"/>
  <c r="AM123" i="5"/>
  <c r="AM109" i="5" s="1"/>
  <c r="J3" i="5"/>
  <c r="D161" i="8" s="1"/>
  <c r="AI3" i="3"/>
  <c r="M92" i="8" s="1"/>
  <c r="G92" i="8" s="1"/>
  <c r="E8" i="7"/>
  <c r="M130" i="8"/>
  <c r="G130" i="8" s="1"/>
  <c r="G131" i="8"/>
  <c r="M127" i="8"/>
  <c r="G127" i="8" s="1"/>
  <c r="G129" i="8"/>
  <c r="G113" i="8"/>
  <c r="D101" i="8"/>
  <c r="D184" i="8"/>
  <c r="AC3" i="5"/>
  <c r="D120" i="8"/>
  <c r="D178" i="8"/>
  <c r="D143" i="8"/>
  <c r="D116" i="8"/>
  <c r="D127" i="8"/>
  <c r="AL109" i="5"/>
  <c r="AL3" i="5" s="1"/>
  <c r="P161" i="8" s="1"/>
  <c r="I166" i="8"/>
  <c r="N7" i="15" s="1"/>
  <c r="J3" i="4"/>
  <c r="D123" i="8" s="1"/>
  <c r="D162" i="8"/>
  <c r="M3" i="5"/>
  <c r="I161" i="8" s="1"/>
  <c r="P110" i="8"/>
  <c r="M153" i="8"/>
  <c r="G153" i="8" s="1"/>
  <c r="D175" i="8"/>
  <c r="M3" i="4"/>
  <c r="I123" i="8" s="1"/>
  <c r="AF3" i="3"/>
  <c r="I191" i="8"/>
  <c r="N11" i="15" s="1"/>
  <c r="AF3" i="5"/>
  <c r="P175" i="8"/>
  <c r="D191" i="8"/>
  <c r="D130" i="8"/>
  <c r="D124" i="8"/>
  <c r="P130" i="8"/>
  <c r="I127" i="8"/>
  <c r="O8" i="13" s="1"/>
  <c r="D136" i="8"/>
  <c r="I130" i="8"/>
  <c r="O9" i="13" s="1"/>
  <c r="M101" i="8"/>
  <c r="G101" i="8" s="1"/>
  <c r="D93" i="8"/>
  <c r="I93" i="8"/>
  <c r="N6" i="12" s="1"/>
  <c r="M194" i="8"/>
  <c r="AI109" i="5"/>
  <c r="AI3" i="5" s="1"/>
  <c r="I162" i="8"/>
  <c r="N6" i="15" s="1"/>
  <c r="M123" i="8"/>
  <c r="G123" i="8" s="1"/>
  <c r="P96" i="8"/>
  <c r="I96" i="8"/>
  <c r="N7" i="12" s="1"/>
  <c r="M110" i="8"/>
  <c r="M96" i="8"/>
  <c r="G96" i="8" s="1"/>
  <c r="D96" i="8"/>
  <c r="D110" i="8"/>
  <c r="C7" i="17"/>
  <c r="K7" i="17" s="1"/>
  <c r="C64" i="17" s="1"/>
  <c r="C52" i="17"/>
  <c r="C42" i="17"/>
  <c r="C6" i="17"/>
  <c r="K6" i="17" s="1"/>
  <c r="C63" i="17" s="1"/>
  <c r="P162" i="8"/>
  <c r="M162" i="8"/>
  <c r="G162" i="8" s="1"/>
  <c r="C7" i="10"/>
  <c r="M8" i="10" s="1"/>
  <c r="C116" i="10" s="1"/>
  <c r="C57" i="10"/>
  <c r="C9" i="10"/>
  <c r="M10" i="10" s="1"/>
  <c r="C118" i="10" s="1"/>
  <c r="C81" i="10"/>
  <c r="C92" i="10"/>
  <c r="C10" i="10"/>
  <c r="M11" i="10" s="1"/>
  <c r="C120" i="10" s="1"/>
  <c r="M6" i="10"/>
  <c r="C114" i="10"/>
  <c r="C8" i="10"/>
  <c r="M9" i="10" s="1"/>
  <c r="C117" i="10" s="1"/>
  <c r="C72" i="10"/>
  <c r="C11" i="10"/>
  <c r="C103" i="10"/>
  <c r="D105" i="8"/>
  <c r="C12" i="12"/>
  <c r="M12" i="12" s="1"/>
  <c r="C95" i="12" s="1"/>
  <c r="C78" i="12"/>
  <c r="C6" i="12"/>
  <c r="M6" i="12" s="1"/>
  <c r="C89" i="12" s="1"/>
  <c r="C33" i="12"/>
  <c r="C7" i="12"/>
  <c r="M7" i="12" s="1"/>
  <c r="C90" i="12" s="1"/>
  <c r="C38" i="12"/>
  <c r="C9" i="12"/>
  <c r="M9" i="12" s="1"/>
  <c r="C92" i="12" s="1"/>
  <c r="C53" i="12"/>
  <c r="C11" i="12"/>
  <c r="M11" i="12" s="1"/>
  <c r="C94" i="12" s="1"/>
  <c r="C69" i="12"/>
  <c r="C8" i="12"/>
  <c r="M8" i="12" s="1"/>
  <c r="C91" i="12" s="1"/>
  <c r="C45" i="12"/>
  <c r="C10" i="12"/>
  <c r="M10" i="12" s="1"/>
  <c r="C93" i="12" s="1"/>
  <c r="C61" i="12"/>
  <c r="I105" i="8"/>
  <c r="N9" i="12" s="1"/>
  <c r="M105" i="8"/>
  <c r="G105" i="8" s="1"/>
  <c r="C9" i="15"/>
  <c r="M9" i="15" s="1"/>
  <c r="C113" i="15" s="1"/>
  <c r="C74" i="15"/>
  <c r="C11" i="15"/>
  <c r="M11" i="15" s="1"/>
  <c r="C115" i="15" s="1"/>
  <c r="C95" i="15"/>
  <c r="D166" i="8"/>
  <c r="P184" i="8"/>
  <c r="C7" i="15"/>
  <c r="M7" i="15" s="1"/>
  <c r="C111" i="15" s="1"/>
  <c r="C56" i="15"/>
  <c r="P178" i="8"/>
  <c r="M166" i="8"/>
  <c r="G166" i="8" s="1"/>
  <c r="C8" i="15"/>
  <c r="M8" i="15" s="1"/>
  <c r="C112" i="15" s="1"/>
  <c r="C68" i="15"/>
  <c r="M175" i="8"/>
  <c r="G175" i="8" s="1"/>
  <c r="C10" i="15"/>
  <c r="M10" i="15" s="1"/>
  <c r="C114" i="15" s="1"/>
  <c r="C86" i="15"/>
  <c r="M6" i="15"/>
  <c r="C110" i="15" s="1"/>
  <c r="C46" i="15"/>
  <c r="C99" i="11"/>
  <c r="Q7" i="11"/>
  <c r="C48" i="11" s="1"/>
  <c r="C100" i="11"/>
  <c r="Q8" i="11"/>
  <c r="C60" i="11" s="1"/>
  <c r="C6" i="11"/>
  <c r="C32" i="11"/>
  <c r="C101" i="11"/>
  <c r="Q9" i="11"/>
  <c r="C70" i="11" s="1"/>
  <c r="C82" i="11"/>
  <c r="C10" i="11"/>
  <c r="M147" i="8"/>
  <c r="G147" i="8" s="1"/>
  <c r="I153" i="8"/>
  <c r="O13" i="13" s="1"/>
  <c r="D153" i="8"/>
  <c r="C8" i="13"/>
  <c r="N9" i="13" s="1"/>
  <c r="C123" i="13" s="1"/>
  <c r="C60" i="13"/>
  <c r="P123" i="8"/>
  <c r="C9" i="13"/>
  <c r="N10" i="13" s="1"/>
  <c r="C124" i="13" s="1"/>
  <c r="C71" i="13"/>
  <c r="C83" i="13"/>
  <c r="C10" i="13"/>
  <c r="N11" i="13" s="1"/>
  <c r="C125" i="13" s="1"/>
  <c r="C95" i="13"/>
  <c r="C11" i="13"/>
  <c r="N12" i="13" s="1"/>
  <c r="C126" i="13" s="1"/>
  <c r="C104" i="13"/>
  <c r="C12" i="13"/>
  <c r="N13" i="13" s="1"/>
  <c r="C127" i="13" s="1"/>
  <c r="P124" i="8"/>
  <c r="I147" i="8"/>
  <c r="O12" i="13" s="1"/>
  <c r="D147" i="8"/>
  <c r="C6" i="13"/>
  <c r="N7" i="13" s="1"/>
  <c r="C121" i="13" s="1"/>
  <c r="C47" i="13"/>
  <c r="C55" i="13"/>
  <c r="C7" i="13"/>
  <c r="N8" i="13" s="1"/>
  <c r="C122" i="13" s="1"/>
  <c r="P136" i="8"/>
  <c r="P93" i="8"/>
  <c r="AL3" i="3"/>
  <c r="P92" i="8" s="1"/>
  <c r="AC3" i="3"/>
  <c r="F60" i="4"/>
  <c r="AF3" i="4" s="1"/>
  <c r="M95" i="8"/>
  <c r="G95" i="8" s="1"/>
  <c r="M3" i="3"/>
  <c r="I92" i="8" s="1"/>
  <c r="J3" i="3"/>
  <c r="B9" i="7"/>
  <c r="C10" i="19" s="1"/>
  <c r="B8" i="7"/>
  <c r="C9" i="19" s="1"/>
  <c r="B7" i="7"/>
  <c r="C8" i="19" s="1"/>
  <c r="B6" i="7"/>
  <c r="C7" i="19" s="1"/>
  <c r="B5" i="7"/>
  <c r="C6" i="19" s="1"/>
  <c r="B4" i="7"/>
  <c r="C5" i="19" s="1"/>
  <c r="AI49" i="6"/>
  <c r="AL49" i="6" s="1"/>
  <c r="AC49" i="6"/>
  <c r="AF49" i="6" s="1"/>
  <c r="M49" i="6"/>
  <c r="J49" i="6"/>
  <c r="AI44" i="6"/>
  <c r="AL44" i="6" s="1"/>
  <c r="AC44" i="6"/>
  <c r="AF44" i="6" s="1"/>
  <c r="M44" i="6"/>
  <c r="J44" i="6"/>
  <c r="AI39" i="6"/>
  <c r="AL39" i="6" s="1"/>
  <c r="AC39" i="6"/>
  <c r="AF39" i="6" s="1"/>
  <c r="M39" i="6"/>
  <c r="J39" i="6"/>
  <c r="AI35" i="6"/>
  <c r="AL35" i="6" s="1"/>
  <c r="AC35" i="6"/>
  <c r="AF35" i="6" s="1"/>
  <c r="M35" i="6"/>
  <c r="J35" i="6"/>
  <c r="AI33" i="6"/>
  <c r="AC33" i="6"/>
  <c r="AF33" i="6" s="1"/>
  <c r="M33" i="6"/>
  <c r="J33" i="6"/>
  <c r="AI18" i="6"/>
  <c r="AL18" i="6" s="1"/>
  <c r="AC18" i="6"/>
  <c r="M18" i="6"/>
  <c r="J18" i="6"/>
  <c r="AI17" i="6"/>
  <c r="AL17" i="6" s="1"/>
  <c r="AC17" i="6"/>
  <c r="AF17" i="6" s="1"/>
  <c r="M17" i="6"/>
  <c r="J17" i="6"/>
  <c r="AI13" i="6"/>
  <c r="AL13" i="6" s="1"/>
  <c r="AC13" i="6"/>
  <c r="AF13" i="6" s="1"/>
  <c r="M13" i="6"/>
  <c r="J13" i="6"/>
  <c r="AI11" i="6"/>
  <c r="AL11" i="6" s="1"/>
  <c r="AC11" i="6"/>
  <c r="AF11" i="6" s="1"/>
  <c r="M11" i="6"/>
  <c r="J11" i="6"/>
  <c r="AI8" i="6"/>
  <c r="AL8" i="6" s="1"/>
  <c r="AC8" i="6"/>
  <c r="AF8" i="6" s="1"/>
  <c r="M8" i="6"/>
  <c r="J8" i="6"/>
  <c r="AI7" i="6"/>
  <c r="AF7" i="6"/>
  <c r="M7" i="6"/>
  <c r="J7" i="6"/>
  <c r="AL205" i="2"/>
  <c r="AF205" i="2"/>
  <c r="AL204" i="2"/>
  <c r="AF204" i="2"/>
  <c r="AL202" i="2"/>
  <c r="AF202" i="2"/>
  <c r="AC201" i="2"/>
  <c r="AF201" i="2" s="1"/>
  <c r="AL200" i="2"/>
  <c r="AC200" i="2"/>
  <c r="AF200" i="2" s="1"/>
  <c r="AL199" i="2"/>
  <c r="AF199" i="2"/>
  <c r="AL197" i="2"/>
  <c r="AC197" i="2"/>
  <c r="AF197" i="2" s="1"/>
  <c r="AL195" i="2"/>
  <c r="AF195" i="2"/>
  <c r="AL191" i="2"/>
  <c r="AF191" i="2"/>
  <c r="AL190" i="2"/>
  <c r="AF190" i="2"/>
  <c r="AF189" i="2"/>
  <c r="AL186" i="2"/>
  <c r="AF185" i="2"/>
  <c r="AI182" i="2"/>
  <c r="M182" i="2"/>
  <c r="I85" i="8" s="1"/>
  <c r="J182" i="2"/>
  <c r="D85" i="8" s="1"/>
  <c r="AL181" i="2"/>
  <c r="AC181" i="2"/>
  <c r="AF181" i="2" s="1"/>
  <c r="AL180" i="2"/>
  <c r="AF180" i="2"/>
  <c r="AL178" i="2"/>
  <c r="AF178" i="2"/>
  <c r="AL177" i="2"/>
  <c r="AF177" i="2"/>
  <c r="AL175" i="2"/>
  <c r="AF175" i="2"/>
  <c r="AF174" i="2"/>
  <c r="AI170" i="2"/>
  <c r="AF172" i="2"/>
  <c r="AL168" i="2"/>
  <c r="AC168" i="2"/>
  <c r="AF168" i="2" s="1"/>
  <c r="AL167" i="2"/>
  <c r="AC167" i="2"/>
  <c r="AF167" i="2" s="1"/>
  <c r="AC166" i="2"/>
  <c r="AL158" i="2"/>
  <c r="AC158" i="2"/>
  <c r="AF158" i="2" s="1"/>
  <c r="AL157" i="2"/>
  <c r="AC157" i="2"/>
  <c r="AF157" i="2" s="1"/>
  <c r="AL156" i="2"/>
  <c r="AC156" i="2"/>
  <c r="AF156" i="2" s="1"/>
  <c r="AF155" i="2"/>
  <c r="AL151" i="2"/>
  <c r="AC151" i="2"/>
  <c r="AF151" i="2" s="1"/>
  <c r="AL150" i="2"/>
  <c r="AC150" i="2"/>
  <c r="AF150" i="2" s="1"/>
  <c r="AL149" i="2"/>
  <c r="AF149" i="2"/>
  <c r="AL147" i="2"/>
  <c r="AF147" i="2"/>
  <c r="AL146" i="2"/>
  <c r="AF146" i="2"/>
  <c r="AL144" i="2"/>
  <c r="AC144" i="2"/>
  <c r="AF144" i="2" s="1"/>
  <c r="AL143" i="2"/>
  <c r="AF143" i="2"/>
  <c r="AL142" i="2"/>
  <c r="AF142" i="2"/>
  <c r="AF141" i="2"/>
  <c r="AL139" i="2"/>
  <c r="AF139" i="2"/>
  <c r="AL137" i="2"/>
  <c r="AC137" i="2"/>
  <c r="AF137" i="2" s="1"/>
  <c r="AL134" i="2"/>
  <c r="AF134" i="2"/>
  <c r="AL133" i="2"/>
  <c r="AC133" i="2"/>
  <c r="AF133" i="2" s="1"/>
  <c r="AL132" i="2"/>
  <c r="AL129" i="2"/>
  <c r="AC129" i="2"/>
  <c r="AF129" i="2" s="1"/>
  <c r="AL127" i="2"/>
  <c r="AC127" i="2"/>
  <c r="AL125" i="2"/>
  <c r="AL124" i="2" s="1"/>
  <c r="P71" i="8" s="1"/>
  <c r="AC125" i="2"/>
  <c r="AC124" i="2" s="1"/>
  <c r="M124" i="2"/>
  <c r="I71" i="8" s="1"/>
  <c r="J124" i="2"/>
  <c r="D71" i="8" s="1"/>
  <c r="M122" i="2"/>
  <c r="I70" i="8" s="1"/>
  <c r="J122" i="2"/>
  <c r="D70" i="8" s="1"/>
  <c r="AI120" i="2"/>
  <c r="AC121" i="2"/>
  <c r="AC120" i="2" s="1"/>
  <c r="M120" i="2"/>
  <c r="J120" i="2"/>
  <c r="AL108" i="2"/>
  <c r="AC108" i="2"/>
  <c r="AF108" i="2" s="1"/>
  <c r="AC107" i="2"/>
  <c r="AL104" i="2"/>
  <c r="AC104" i="2"/>
  <c r="AF104" i="2" s="1"/>
  <c r="AL103" i="2"/>
  <c r="AL101" i="2" s="1"/>
  <c r="AC103" i="2"/>
  <c r="AF103" i="2" s="1"/>
  <c r="AF102" i="2"/>
  <c r="P100" i="2"/>
  <c r="AL93" i="2"/>
  <c r="AL90" i="2"/>
  <c r="AC90" i="2"/>
  <c r="AF90" i="2" s="1"/>
  <c r="AL89" i="2"/>
  <c r="AF89" i="2"/>
  <c r="AL88" i="2"/>
  <c r="AF88" i="2"/>
  <c r="AL87" i="2"/>
  <c r="AC87" i="2"/>
  <c r="AF87" i="2" s="1"/>
  <c r="AL86" i="2"/>
  <c r="AF86" i="2"/>
  <c r="AL81" i="2"/>
  <c r="AC81" i="2"/>
  <c r="AF81" i="2" s="1"/>
  <c r="AL79" i="2"/>
  <c r="AC79" i="2"/>
  <c r="AF79" i="2" s="1"/>
  <c r="AL76" i="2"/>
  <c r="AC76" i="2"/>
  <c r="AF76" i="2" s="1"/>
  <c r="AL75" i="2"/>
  <c r="AC75" i="2"/>
  <c r="AF75" i="2" s="1"/>
  <c r="AL72" i="2"/>
  <c r="AF72" i="2"/>
  <c r="AL71" i="2"/>
  <c r="AF71" i="2"/>
  <c r="AL70" i="2"/>
  <c r="AC70" i="2"/>
  <c r="AF70" i="2" s="1"/>
  <c r="AL69" i="2"/>
  <c r="AC69" i="2"/>
  <c r="AF69" i="2" s="1"/>
  <c r="AL66" i="2"/>
  <c r="AC66" i="2"/>
  <c r="AF66" i="2" s="1"/>
  <c r="AL62" i="2"/>
  <c r="AC62" i="2"/>
  <c r="AF62" i="2" s="1"/>
  <c r="AL61" i="2"/>
  <c r="AC61" i="2"/>
  <c r="AF61" i="2" s="1"/>
  <c r="AL58" i="2"/>
  <c r="AC58" i="2"/>
  <c r="AF58" i="2" s="1"/>
  <c r="AC57" i="2"/>
  <c r="AC55" i="2"/>
  <c r="AF55" i="2" s="1"/>
  <c r="AF52" i="2" s="1"/>
  <c r="M56" i="8"/>
  <c r="G56" i="8" s="1"/>
  <c r="AL47" i="2"/>
  <c r="AC47" i="2"/>
  <c r="AF47" i="2" s="1"/>
  <c r="AL46" i="2"/>
  <c r="AC46" i="2"/>
  <c r="AF46" i="2" s="1"/>
  <c r="AL45" i="2"/>
  <c r="AC45" i="2"/>
  <c r="AF45" i="2" s="1"/>
  <c r="AL44" i="2"/>
  <c r="AL41" i="2"/>
  <c r="AC41" i="2"/>
  <c r="AF41" i="2" s="1"/>
  <c r="AF40" i="2"/>
  <c r="AL36" i="2"/>
  <c r="AC36" i="2"/>
  <c r="AF36" i="2" s="1"/>
  <c r="AF35" i="2"/>
  <c r="AF31" i="2"/>
  <c r="AL28" i="2"/>
  <c r="AF28" i="2"/>
  <c r="AL27" i="2"/>
  <c r="AF27" i="2"/>
  <c r="AL26" i="2"/>
  <c r="AF26" i="2"/>
  <c r="AL25" i="2"/>
  <c r="AC25" i="2"/>
  <c r="AF25" i="2" s="1"/>
  <c r="AL24" i="2"/>
  <c r="AF24" i="2"/>
  <c r="AL23" i="2"/>
  <c r="AF23" i="2"/>
  <c r="AL22" i="2"/>
  <c r="AF22" i="2"/>
  <c r="AL20" i="2"/>
  <c r="AF20" i="2"/>
  <c r="AL19" i="2"/>
  <c r="AF19" i="2"/>
  <c r="AL18" i="2"/>
  <c r="AC18" i="2"/>
  <c r="AF18" i="2" s="1"/>
  <c r="AC17" i="2"/>
  <c r="AL14" i="2"/>
  <c r="AC14" i="2"/>
  <c r="M12" i="2"/>
  <c r="AF13" i="2"/>
  <c r="AL11" i="2"/>
  <c r="AC11" i="2"/>
  <c r="AF11" i="2" s="1"/>
  <c r="AL10" i="2"/>
  <c r="AF10" i="2"/>
  <c r="AL9" i="2"/>
  <c r="AC9" i="2"/>
  <c r="AF9" i="2" s="1"/>
  <c r="AL8" i="2"/>
  <c r="AC8" i="2"/>
  <c r="AI211" i="1"/>
  <c r="AL211" i="1" s="1"/>
  <c r="AF211" i="1"/>
  <c r="AF209" i="1" s="1"/>
  <c r="M211" i="1"/>
  <c r="J211" i="1"/>
  <c r="AI210" i="1"/>
  <c r="M210" i="1"/>
  <c r="J210" i="1"/>
  <c r="AI208" i="1"/>
  <c r="AL208" i="1" s="1"/>
  <c r="AC208" i="1"/>
  <c r="M208" i="1"/>
  <c r="J208" i="1"/>
  <c r="AI207" i="1"/>
  <c r="AC207" i="1"/>
  <c r="AF207" i="1" s="1"/>
  <c r="M207" i="1"/>
  <c r="J207" i="1"/>
  <c r="AI205" i="1"/>
  <c r="AL205" i="1" s="1"/>
  <c r="AC205" i="1"/>
  <c r="AF205" i="1" s="1"/>
  <c r="M205" i="1"/>
  <c r="J205" i="1"/>
  <c r="AI204" i="1"/>
  <c r="AC204" i="1"/>
  <c r="AF204" i="1" s="1"/>
  <c r="M204" i="1"/>
  <c r="J204" i="1"/>
  <c r="AI201" i="1"/>
  <c r="AL201" i="1" s="1"/>
  <c r="AC201" i="1"/>
  <c r="AF201" i="1" s="1"/>
  <c r="M201" i="1"/>
  <c r="J201" i="1"/>
  <c r="AI200" i="1"/>
  <c r="AL200" i="1" s="1"/>
  <c r="M200" i="1"/>
  <c r="J200" i="1"/>
  <c r="AI198" i="1"/>
  <c r="AL198" i="1" s="1"/>
  <c r="M198" i="1"/>
  <c r="J198" i="1"/>
  <c r="AI197" i="1"/>
  <c r="AL197" i="1" s="1"/>
  <c r="AC197" i="1"/>
  <c r="AF197" i="1" s="1"/>
  <c r="M197" i="1"/>
  <c r="J197" i="1"/>
  <c r="AI196" i="1"/>
  <c r="AL196" i="1" s="1"/>
  <c r="AC196" i="1"/>
  <c r="AF196" i="1" s="1"/>
  <c r="M196" i="1"/>
  <c r="J196" i="1"/>
  <c r="AC193" i="1"/>
  <c r="M193" i="1"/>
  <c r="J193" i="1"/>
  <c r="AI191" i="1"/>
  <c r="AL191" i="1" s="1"/>
  <c r="AF191" i="1"/>
  <c r="M191" i="1"/>
  <c r="J191" i="1"/>
  <c r="AI190" i="1"/>
  <c r="AL190" i="1" s="1"/>
  <c r="AF190" i="1"/>
  <c r="M190" i="1"/>
  <c r="J190" i="1"/>
  <c r="AI189" i="1"/>
  <c r="AL189" i="1" s="1"/>
  <c r="AF189" i="1"/>
  <c r="M189" i="1"/>
  <c r="J189" i="1"/>
  <c r="AI187" i="1"/>
  <c r="AL187" i="1" s="1"/>
  <c r="M187" i="1"/>
  <c r="J187" i="1"/>
  <c r="AI185" i="1"/>
  <c r="AI184" i="1" s="1"/>
  <c r="AC185" i="1"/>
  <c r="AC184" i="1" s="1"/>
  <c r="M185" i="1"/>
  <c r="M184" i="1" s="1"/>
  <c r="I38" i="8" s="1"/>
  <c r="J185" i="1"/>
  <c r="J184" i="1" s="1"/>
  <c r="D38" i="8" s="1"/>
  <c r="AI183" i="1"/>
  <c r="AL183" i="1" s="1"/>
  <c r="AC183" i="1"/>
  <c r="AF183" i="1" s="1"/>
  <c r="M183" i="1"/>
  <c r="AI182" i="1"/>
  <c r="AL182" i="1" s="1"/>
  <c r="AC182" i="1"/>
  <c r="AF182" i="1" s="1"/>
  <c r="M182" i="1"/>
  <c r="J182" i="1"/>
  <c r="AI181" i="1"/>
  <c r="AL181" i="1" s="1"/>
  <c r="AC181" i="1"/>
  <c r="AF181" i="1" s="1"/>
  <c r="M181" i="1"/>
  <c r="J181" i="1"/>
  <c r="AI180" i="1"/>
  <c r="AC180" i="1"/>
  <c r="AF180" i="1" s="1"/>
  <c r="J180" i="1"/>
  <c r="AI177" i="1"/>
  <c r="AF177" i="1"/>
  <c r="M177" i="1"/>
  <c r="J177" i="1"/>
  <c r="AI176" i="1"/>
  <c r="AL176" i="1" s="1"/>
  <c r="M176" i="1"/>
  <c r="M172" i="1"/>
  <c r="AL173" i="1"/>
  <c r="AI165" i="1"/>
  <c r="AL165" i="1" s="1"/>
  <c r="AC165" i="1"/>
  <c r="AF165" i="1" s="1"/>
  <c r="M165" i="1"/>
  <c r="J165" i="1"/>
  <c r="AI164" i="1"/>
  <c r="AL164" i="1" s="1"/>
  <c r="AC164" i="1"/>
  <c r="AF164" i="1" s="1"/>
  <c r="M164" i="1"/>
  <c r="J164" i="1"/>
  <c r="AI163" i="1"/>
  <c r="AL163" i="1" s="1"/>
  <c r="AC163" i="1"/>
  <c r="AF163" i="1" s="1"/>
  <c r="M163" i="1"/>
  <c r="J163" i="1"/>
  <c r="AI162" i="1"/>
  <c r="AL162" i="1" s="1"/>
  <c r="AF162" i="1"/>
  <c r="M162" i="1"/>
  <c r="J162" i="1"/>
  <c r="AI161" i="1"/>
  <c r="AL161" i="1" s="1"/>
  <c r="M161" i="1"/>
  <c r="J161" i="1"/>
  <c r="AI158" i="1"/>
  <c r="AL158" i="1" s="1"/>
  <c r="AC158" i="1"/>
  <c r="AF158" i="1" s="1"/>
  <c r="M158" i="1"/>
  <c r="J158" i="1"/>
  <c r="AI155" i="1"/>
  <c r="AL155" i="1" s="1"/>
  <c r="AF155" i="1"/>
  <c r="M155" i="1"/>
  <c r="J155" i="1"/>
  <c r="AC151" i="1"/>
  <c r="AF151" i="1" s="1"/>
  <c r="F151" i="1"/>
  <c r="AI150" i="1"/>
  <c r="AL150" i="1" s="1"/>
  <c r="AF150" i="1"/>
  <c r="M150" i="1"/>
  <c r="J150" i="1"/>
  <c r="AI149" i="1"/>
  <c r="AC149" i="1"/>
  <c r="AF149" i="1" s="1"/>
  <c r="M149" i="1"/>
  <c r="J149" i="1"/>
  <c r="AI146" i="1"/>
  <c r="AL146" i="1" s="1"/>
  <c r="AC146" i="1"/>
  <c r="AF146" i="1" s="1"/>
  <c r="M146" i="1"/>
  <c r="J146" i="1"/>
  <c r="AI145" i="1"/>
  <c r="AL145" i="1" s="1"/>
  <c r="AC145" i="1"/>
  <c r="AF145" i="1" s="1"/>
  <c r="M145" i="1"/>
  <c r="J145" i="1"/>
  <c r="AI144" i="1"/>
  <c r="AC144" i="1"/>
  <c r="M144" i="1"/>
  <c r="J144" i="1"/>
  <c r="AI142" i="1"/>
  <c r="AL142" i="1" s="1"/>
  <c r="AC142" i="1"/>
  <c r="AF142" i="1" s="1"/>
  <c r="M142" i="1"/>
  <c r="J142" i="1"/>
  <c r="AI141" i="1"/>
  <c r="AL141" i="1" s="1"/>
  <c r="AF141" i="1"/>
  <c r="M141" i="1"/>
  <c r="J141" i="1"/>
  <c r="AI139" i="1"/>
  <c r="AL139" i="1" s="1"/>
  <c r="AC139" i="1"/>
  <c r="AF139" i="1" s="1"/>
  <c r="M139" i="1"/>
  <c r="J139" i="1"/>
  <c r="AI137" i="1"/>
  <c r="AL137" i="1" s="1"/>
  <c r="AF137" i="1"/>
  <c r="M137" i="1"/>
  <c r="J137" i="1"/>
  <c r="AI135" i="1"/>
  <c r="AL135" i="1" s="1"/>
  <c r="AC135" i="1"/>
  <c r="AF135" i="1" s="1"/>
  <c r="M135" i="1"/>
  <c r="J135" i="1"/>
  <c r="AI134" i="1"/>
  <c r="AC134" i="1"/>
  <c r="AF134" i="1" s="1"/>
  <c r="M134" i="1"/>
  <c r="J134" i="1"/>
  <c r="AI133" i="1"/>
  <c r="AC133" i="1"/>
  <c r="AF133" i="1" s="1"/>
  <c r="M133" i="1"/>
  <c r="J133" i="1"/>
  <c r="AL132" i="1"/>
  <c r="AF132" i="1"/>
  <c r="M132" i="1"/>
  <c r="J132" i="1"/>
  <c r="AI127" i="1"/>
  <c r="AC127" i="1"/>
  <c r="M127" i="1"/>
  <c r="J127" i="1"/>
  <c r="M124" i="1"/>
  <c r="J124" i="1"/>
  <c r="AC123" i="1"/>
  <c r="AF123" i="1" s="1"/>
  <c r="AI123" i="1"/>
  <c r="AL123" i="1" s="1"/>
  <c r="M123" i="1"/>
  <c r="J123" i="1"/>
  <c r="AI122" i="1"/>
  <c r="AL122" i="1" s="1"/>
  <c r="AC122" i="1"/>
  <c r="AF122" i="1" s="1"/>
  <c r="M122" i="1"/>
  <c r="J122" i="1"/>
  <c r="AI121" i="1"/>
  <c r="AL121" i="1" s="1"/>
  <c r="AC121" i="1"/>
  <c r="AF121" i="1" s="1"/>
  <c r="M121" i="1"/>
  <c r="J121" i="1"/>
  <c r="AF120" i="1"/>
  <c r="M120" i="1"/>
  <c r="J120" i="1"/>
  <c r="M119" i="1"/>
  <c r="J119" i="1"/>
  <c r="AI118" i="1"/>
  <c r="AL118" i="1" s="1"/>
  <c r="AC118" i="1"/>
  <c r="AF118" i="1" s="1"/>
  <c r="M118" i="1"/>
  <c r="J118" i="1"/>
  <c r="AI117" i="1"/>
  <c r="AL117" i="1" s="1"/>
  <c r="AC117" i="1"/>
  <c r="AF117" i="1" s="1"/>
  <c r="M117" i="1"/>
  <c r="J117" i="1"/>
  <c r="AC116" i="1"/>
  <c r="AF116" i="1" s="1"/>
  <c r="M116" i="1"/>
  <c r="J116" i="1"/>
  <c r="M115" i="1"/>
  <c r="J115" i="1"/>
  <c r="AF114" i="1"/>
  <c r="M114" i="1"/>
  <c r="J114" i="1"/>
  <c r="AI113" i="1"/>
  <c r="AL113" i="1" s="1"/>
  <c r="AC113" i="1"/>
  <c r="AF113" i="1" s="1"/>
  <c r="M113" i="1"/>
  <c r="J113" i="1"/>
  <c r="AC112" i="1"/>
  <c r="AF112" i="1" s="1"/>
  <c r="F112" i="1"/>
  <c r="F111" i="1"/>
  <c r="AF110" i="1"/>
  <c r="F110" i="1"/>
  <c r="F109" i="1"/>
  <c r="AF108" i="1"/>
  <c r="F108" i="1"/>
  <c r="AI107" i="1"/>
  <c r="AL107" i="1" s="1"/>
  <c r="AC107" i="1"/>
  <c r="AF107" i="1" s="1"/>
  <c r="M107" i="1"/>
  <c r="J107" i="1"/>
  <c r="AI106" i="1"/>
  <c r="AC106" i="1"/>
  <c r="J106" i="1"/>
  <c r="AL103" i="1"/>
  <c r="M103" i="1"/>
  <c r="M102" i="1" s="1"/>
  <c r="J103" i="1"/>
  <c r="J102" i="1" s="1"/>
  <c r="D23" i="8" s="1"/>
  <c r="AI101" i="1"/>
  <c r="AI99" i="1" s="1"/>
  <c r="M101" i="1"/>
  <c r="M100" i="1"/>
  <c r="J100" i="1"/>
  <c r="AI97" i="1"/>
  <c r="AL97" i="1" s="1"/>
  <c r="AC97" i="1"/>
  <c r="AF97" i="1" s="1"/>
  <c r="M97" i="1"/>
  <c r="J97" i="1"/>
  <c r="AI96" i="1"/>
  <c r="AL96" i="1" s="1"/>
  <c r="AC96" i="1"/>
  <c r="AF96" i="1" s="1"/>
  <c r="M96" i="1"/>
  <c r="J96" i="1"/>
  <c r="AI95" i="1"/>
  <c r="AC95" i="1"/>
  <c r="AF95" i="1" s="1"/>
  <c r="J95" i="1"/>
  <c r="AI94" i="1"/>
  <c r="AL94" i="1" s="1"/>
  <c r="AF94" i="1"/>
  <c r="M94" i="1"/>
  <c r="J94" i="1"/>
  <c r="M93" i="1"/>
  <c r="J93" i="1"/>
  <c r="AI89" i="1"/>
  <c r="AL89" i="1" s="1"/>
  <c r="AC89" i="1"/>
  <c r="AF89" i="1" s="1"/>
  <c r="M89" i="1"/>
  <c r="J89" i="1"/>
  <c r="AI86" i="1"/>
  <c r="AL86" i="1" s="1"/>
  <c r="AC86" i="1"/>
  <c r="AF86" i="1" s="1"/>
  <c r="M86" i="1"/>
  <c r="J86" i="1"/>
  <c r="AI84" i="1"/>
  <c r="AL84" i="1" s="1"/>
  <c r="AC84" i="1"/>
  <c r="AF84" i="1" s="1"/>
  <c r="M84" i="1"/>
  <c r="J84" i="1"/>
  <c r="AI83" i="1"/>
  <c r="AL83" i="1" s="1"/>
  <c r="AC83" i="1"/>
  <c r="AF83" i="1" s="1"/>
  <c r="M83" i="1"/>
  <c r="J83" i="1"/>
  <c r="AI82" i="1"/>
  <c r="AC82" i="1"/>
  <c r="AF82" i="1" s="1"/>
  <c r="M82" i="1"/>
  <c r="J82" i="1"/>
  <c r="M79" i="1"/>
  <c r="J79" i="1"/>
  <c r="AI73" i="1"/>
  <c r="AL73" i="1" s="1"/>
  <c r="AC73" i="1"/>
  <c r="AF73" i="1" s="1"/>
  <c r="M73" i="1"/>
  <c r="J73" i="1"/>
  <c r="AI71" i="1"/>
  <c r="AL71" i="1" s="1"/>
  <c r="AC71" i="1"/>
  <c r="AF71" i="1" s="1"/>
  <c r="M71" i="1"/>
  <c r="J71" i="1"/>
  <c r="AI70" i="1"/>
  <c r="AL70" i="1" s="1"/>
  <c r="AC70" i="1"/>
  <c r="AF70" i="1" s="1"/>
  <c r="M70" i="1"/>
  <c r="J70" i="1"/>
  <c r="AI69" i="1"/>
  <c r="AL69" i="1" s="1"/>
  <c r="AC69" i="1"/>
  <c r="AF69" i="1" s="1"/>
  <c r="M69" i="1"/>
  <c r="J69" i="1"/>
  <c r="M68" i="1"/>
  <c r="J68" i="1"/>
  <c r="M67" i="1"/>
  <c r="J67" i="1"/>
  <c r="M66" i="1"/>
  <c r="J66" i="1"/>
  <c r="AI62" i="1"/>
  <c r="AL62" i="1" s="1"/>
  <c r="AC62" i="1"/>
  <c r="AF62" i="1" s="1"/>
  <c r="J62" i="1"/>
  <c r="AI61" i="1"/>
  <c r="AL61" i="1" s="1"/>
  <c r="AC61" i="1"/>
  <c r="AF61" i="1" s="1"/>
  <c r="M61" i="1"/>
  <c r="J61" i="1"/>
  <c r="AI60" i="1"/>
  <c r="AL60" i="1" s="1"/>
  <c r="AC60" i="1"/>
  <c r="AF60" i="1" s="1"/>
  <c r="M60" i="1"/>
  <c r="J60" i="1"/>
  <c r="AI59" i="1"/>
  <c r="AC59" i="1"/>
  <c r="AF59" i="1" s="1"/>
  <c r="M59" i="1"/>
  <c r="J59" i="1"/>
  <c r="AI56" i="1"/>
  <c r="AL56" i="1" s="1"/>
  <c r="AC56" i="1"/>
  <c r="AF56" i="1" s="1"/>
  <c r="M56" i="1"/>
  <c r="J56" i="1"/>
  <c r="AI55" i="1"/>
  <c r="AF55" i="1"/>
  <c r="M55" i="1"/>
  <c r="J55" i="1"/>
  <c r="AI51" i="1"/>
  <c r="AC51" i="1"/>
  <c r="AF51" i="1" s="1"/>
  <c r="M51" i="1"/>
  <c r="J51" i="1"/>
  <c r="AI47" i="1"/>
  <c r="AL47" i="1" s="1"/>
  <c r="AC47" i="1"/>
  <c r="AF47" i="1" s="1"/>
  <c r="M47" i="1"/>
  <c r="J47" i="1"/>
  <c r="AI45" i="1"/>
  <c r="AC45" i="1"/>
  <c r="AF45" i="1" s="1"/>
  <c r="M45" i="1"/>
  <c r="J45" i="1"/>
  <c r="AL43" i="1"/>
  <c r="AF43" i="1"/>
  <c r="M43" i="1"/>
  <c r="J43" i="1"/>
  <c r="AI42" i="1"/>
  <c r="AL42" i="1" s="1"/>
  <c r="AC42" i="1"/>
  <c r="AF42" i="1" s="1"/>
  <c r="M42" i="1"/>
  <c r="J42" i="1"/>
  <c r="AI41" i="1"/>
  <c r="AL41" i="1" s="1"/>
  <c r="AF41" i="1"/>
  <c r="M41" i="1"/>
  <c r="J41" i="1"/>
  <c r="AI40" i="1"/>
  <c r="AC40" i="1"/>
  <c r="M40" i="1"/>
  <c r="J40" i="1"/>
  <c r="AI38" i="1"/>
  <c r="AL38" i="1" s="1"/>
  <c r="AC38" i="1"/>
  <c r="M38" i="1"/>
  <c r="J38" i="1"/>
  <c r="AI37" i="1"/>
  <c r="AF37" i="1"/>
  <c r="M37" i="1"/>
  <c r="J37" i="1"/>
  <c r="AI35" i="1"/>
  <c r="AL35" i="1" s="1"/>
  <c r="AC35" i="1"/>
  <c r="M35" i="1"/>
  <c r="J35" i="1"/>
  <c r="AI34" i="1"/>
  <c r="AL34" i="1" s="1"/>
  <c r="AF34" i="1"/>
  <c r="M34" i="1"/>
  <c r="AI33" i="1"/>
  <c r="M33" i="1"/>
  <c r="J33" i="1"/>
  <c r="AI30" i="1"/>
  <c r="AL30" i="1" s="1"/>
  <c r="AC30" i="1"/>
  <c r="AF30" i="1" s="1"/>
  <c r="M30" i="1"/>
  <c r="J30" i="1"/>
  <c r="AI29" i="1"/>
  <c r="AL29" i="1" s="1"/>
  <c r="AC29" i="1"/>
  <c r="AF29" i="1" s="1"/>
  <c r="M29" i="1"/>
  <c r="J29" i="1"/>
  <c r="AI28" i="1"/>
  <c r="AF28" i="1"/>
  <c r="M28" i="1"/>
  <c r="J28" i="1"/>
  <c r="AL25" i="1"/>
  <c r="AL23" i="1" s="1"/>
  <c r="P9" i="8" s="1"/>
  <c r="M25" i="1"/>
  <c r="J25" i="1"/>
  <c r="AC24" i="1"/>
  <c r="AF24" i="1" s="1"/>
  <c r="M24" i="1"/>
  <c r="J24" i="1"/>
  <c r="AI22" i="1"/>
  <c r="AL22" i="1" s="1"/>
  <c r="AF22" i="1"/>
  <c r="M22" i="1"/>
  <c r="J22" i="1"/>
  <c r="AI21" i="1"/>
  <c r="AL21" i="1" s="1"/>
  <c r="AC21" i="1"/>
  <c r="AF21" i="1" s="1"/>
  <c r="M21" i="1"/>
  <c r="J21" i="1"/>
  <c r="AI20" i="1"/>
  <c r="AL20" i="1" s="1"/>
  <c r="AC20" i="1"/>
  <c r="AF20" i="1" s="1"/>
  <c r="M20" i="1"/>
  <c r="J20" i="1"/>
  <c r="AI19" i="1"/>
  <c r="AF19" i="1"/>
  <c r="M19" i="1"/>
  <c r="J19" i="1"/>
  <c r="AL18" i="1"/>
  <c r="AC18" i="1"/>
  <c r="AF18" i="1" s="1"/>
  <c r="M18" i="1"/>
  <c r="J18" i="1"/>
  <c r="J17" i="1"/>
  <c r="AI15" i="1"/>
  <c r="AC15" i="1"/>
  <c r="J15" i="1"/>
  <c r="AL14" i="1"/>
  <c r="AC14" i="1"/>
  <c r="AF14" i="1" s="1"/>
  <c r="J14" i="1"/>
  <c r="AI9" i="1"/>
  <c r="AI5" i="1" s="1"/>
  <c r="M9" i="1"/>
  <c r="J9" i="1"/>
  <c r="AL8" i="1"/>
  <c r="M8" i="1"/>
  <c r="J8" i="1"/>
  <c r="AK4" i="2" l="1"/>
  <c r="AN15" i="2"/>
  <c r="AN4" i="2" s="1"/>
  <c r="N194" i="8"/>
  <c r="N161" i="8"/>
  <c r="H161" i="8" s="1"/>
  <c r="AL134" i="1"/>
  <c r="AI193" i="2"/>
  <c r="J209" i="1"/>
  <c r="D45" i="8" s="1"/>
  <c r="AL77" i="2"/>
  <c r="P62" i="8" s="1"/>
  <c r="AL51" i="1"/>
  <c r="AI77" i="1"/>
  <c r="M18" i="8" s="1"/>
  <c r="G18" i="8" s="1"/>
  <c r="AL194" i="2"/>
  <c r="AL193" i="2" s="1"/>
  <c r="N67" i="8"/>
  <c r="N92" i="8"/>
  <c r="N116" i="8"/>
  <c r="H116" i="8" s="1"/>
  <c r="N184" i="8"/>
  <c r="H184" i="8" s="1"/>
  <c r="N166" i="8"/>
  <c r="H166" i="8" s="1"/>
  <c r="AI5" i="6"/>
  <c r="AL33" i="6"/>
  <c r="AL31" i="6" s="1"/>
  <c r="P204" i="8" s="1"/>
  <c r="AM3" i="5"/>
  <c r="Q161" i="8" s="1"/>
  <c r="S8" i="7" s="1"/>
  <c r="Q191" i="8"/>
  <c r="M161" i="8"/>
  <c r="G161" i="8" s="1"/>
  <c r="N178" i="8"/>
  <c r="H178" i="8" s="1"/>
  <c r="AI44" i="1"/>
  <c r="AL19" i="1"/>
  <c r="AL16" i="1" s="1"/>
  <c r="P8" i="8" s="1"/>
  <c r="AI16" i="1"/>
  <c r="M8" i="8" s="1"/>
  <c r="G8" i="8" s="1"/>
  <c r="J5" i="6"/>
  <c r="Q194" i="8"/>
  <c r="M203" i="2"/>
  <c r="I91" i="8" s="1"/>
  <c r="J14" i="6"/>
  <c r="M14" i="6"/>
  <c r="M191" i="8"/>
  <c r="G191" i="8" s="1"/>
  <c r="G194" i="8"/>
  <c r="AI12" i="2"/>
  <c r="M49" i="8" s="1"/>
  <c r="G49" i="8" s="1"/>
  <c r="AF173" i="2"/>
  <c r="AF131" i="2"/>
  <c r="G110" i="8"/>
  <c r="D8" i="19"/>
  <c r="F8" i="19" s="1"/>
  <c r="P7" i="7"/>
  <c r="O6" i="13"/>
  <c r="M110" i="1"/>
  <c r="N110" i="1"/>
  <c r="K110" i="1"/>
  <c r="N112" i="1"/>
  <c r="K112" i="1"/>
  <c r="P6" i="7"/>
  <c r="N5" i="12"/>
  <c r="N151" i="1"/>
  <c r="N148" i="1" s="1"/>
  <c r="K151" i="1"/>
  <c r="K148" i="1" s="1"/>
  <c r="AL141" i="2"/>
  <c r="AL140" i="2" s="1"/>
  <c r="P75" i="8" s="1"/>
  <c r="AI140" i="2"/>
  <c r="M75" i="8" s="1"/>
  <c r="G75" i="8" s="1"/>
  <c r="M198" i="2"/>
  <c r="I90" i="8" s="1"/>
  <c r="K111" i="1"/>
  <c r="N111" i="1"/>
  <c r="AL201" i="2"/>
  <c r="AL198" i="2" s="1"/>
  <c r="P90" i="8" s="1"/>
  <c r="AI198" i="2"/>
  <c r="M90" i="8" s="1"/>
  <c r="G90" i="8" s="1"/>
  <c r="P8" i="7"/>
  <c r="N5" i="15"/>
  <c r="K108" i="1"/>
  <c r="N108" i="1"/>
  <c r="AI184" i="2"/>
  <c r="M86" i="8" s="1"/>
  <c r="G86" i="8" s="1"/>
  <c r="AF187" i="2"/>
  <c r="AL189" i="2"/>
  <c r="AL187" i="2" s="1"/>
  <c r="P87" i="8" s="1"/>
  <c r="AI187" i="2"/>
  <c r="M87" i="8" s="1"/>
  <c r="G87" i="8" s="1"/>
  <c r="N109" i="1"/>
  <c r="K109" i="1"/>
  <c r="J23" i="1"/>
  <c r="D9" i="8" s="1"/>
  <c r="AM100" i="2"/>
  <c r="AI52" i="1"/>
  <c r="J5" i="1"/>
  <c r="AF44" i="1"/>
  <c r="AF203" i="1"/>
  <c r="AL204" i="1"/>
  <c r="AL203" i="1" s="1"/>
  <c r="P43" i="8" s="1"/>
  <c r="AI203" i="1"/>
  <c r="J92" i="1"/>
  <c r="D21" i="8" s="1"/>
  <c r="AI32" i="1"/>
  <c r="AL127" i="1"/>
  <c r="AL125" i="1" s="1"/>
  <c r="AI125" i="1"/>
  <c r="AL133" i="1"/>
  <c r="AL95" i="1"/>
  <c r="AL92" i="1" s="1"/>
  <c r="P21" i="8" s="1"/>
  <c r="AL155" i="2"/>
  <c r="AL154" i="2" s="1"/>
  <c r="P78" i="8" s="1"/>
  <c r="AI154" i="2"/>
  <c r="M78" i="8" s="1"/>
  <c r="G78" i="8" s="1"/>
  <c r="M93" i="8"/>
  <c r="G93" i="8" s="1"/>
  <c r="M5" i="2"/>
  <c r="I48" i="8" s="1"/>
  <c r="M34" i="2"/>
  <c r="I53" i="8" s="1"/>
  <c r="AF107" i="2"/>
  <c r="AF106" i="2" s="1"/>
  <c r="AC106" i="2"/>
  <c r="AF8" i="2"/>
  <c r="AF5" i="2" s="1"/>
  <c r="AC5" i="2"/>
  <c r="AF14" i="2"/>
  <c r="AF12" i="2" s="1"/>
  <c r="AL174" i="2"/>
  <c r="AL173" i="2" s="1"/>
  <c r="P83" i="8" s="1"/>
  <c r="AI173" i="2"/>
  <c r="M83" i="8" s="1"/>
  <c r="G83" i="8" s="1"/>
  <c r="AL17" i="2"/>
  <c r="AL15" i="2" s="1"/>
  <c r="P50" i="8" s="1"/>
  <c r="AI15" i="2"/>
  <c r="AF17" i="2"/>
  <c r="AF15" i="2" s="1"/>
  <c r="AC15" i="2"/>
  <c r="AC12" i="2" s="1"/>
  <c r="M39" i="1"/>
  <c r="M44" i="1"/>
  <c r="I15" i="8" s="1"/>
  <c r="J44" i="1"/>
  <c r="D15" i="8" s="1"/>
  <c r="M99" i="1"/>
  <c r="I22" i="8" s="1"/>
  <c r="J16" i="1"/>
  <c r="D8" i="8" s="1"/>
  <c r="AI26" i="1"/>
  <c r="M10" i="8" s="1"/>
  <c r="G10" i="8" s="1"/>
  <c r="J57" i="1"/>
  <c r="D17" i="8" s="1"/>
  <c r="AI36" i="1"/>
  <c r="M13" i="8" s="1"/>
  <c r="G13" i="8" s="1"/>
  <c r="AL45" i="1"/>
  <c r="AL44" i="1" s="1"/>
  <c r="P15" i="8" s="1"/>
  <c r="J32" i="1"/>
  <c r="M32" i="1"/>
  <c r="I12" i="8" s="1"/>
  <c r="AF57" i="1"/>
  <c r="M108" i="1"/>
  <c r="AI108" i="1"/>
  <c r="AL108" i="1" s="1"/>
  <c r="AI131" i="1"/>
  <c r="AL140" i="1"/>
  <c r="P28" i="8" s="1"/>
  <c r="AL106" i="1"/>
  <c r="AF106" i="1"/>
  <c r="AF35" i="1"/>
  <c r="AC32" i="1"/>
  <c r="J111" i="1"/>
  <c r="AI111" i="1"/>
  <c r="AL111" i="1" s="1"/>
  <c r="M109" i="1"/>
  <c r="AI109" i="1"/>
  <c r="AL109" i="1" s="1"/>
  <c r="AI110" i="1"/>
  <c r="AL110" i="1" s="1"/>
  <c r="AL59" i="1"/>
  <c r="AL57" i="1" s="1"/>
  <c r="P17" i="8" s="1"/>
  <c r="AI57" i="1"/>
  <c r="M17" i="8" s="1"/>
  <c r="G17" i="8" s="1"/>
  <c r="J112" i="1"/>
  <c r="M112" i="1"/>
  <c r="AL35" i="2"/>
  <c r="AL34" i="2" s="1"/>
  <c r="P53" i="8" s="1"/>
  <c r="AI34" i="2"/>
  <c r="M53" i="8" s="1"/>
  <c r="G53" i="8" s="1"/>
  <c r="J131" i="1"/>
  <c r="AC60" i="4"/>
  <c r="AC3" i="4" s="1"/>
  <c r="M22" i="8"/>
  <c r="G22" i="8" s="1"/>
  <c r="AL101" i="1"/>
  <c r="AL102" i="1"/>
  <c r="P23" i="8" s="1"/>
  <c r="AL149" i="1"/>
  <c r="J148" i="2"/>
  <c r="D77" i="8" s="1"/>
  <c r="J21" i="2"/>
  <c r="D51" i="8" s="1"/>
  <c r="D92" i="8"/>
  <c r="AL107" i="2"/>
  <c r="AL106" i="2" s="1"/>
  <c r="P67" i="8" s="1"/>
  <c r="J92" i="2"/>
  <c r="AF186" i="2"/>
  <c r="AF184" i="2" s="1"/>
  <c r="J198" i="2"/>
  <c r="J43" i="2"/>
  <c r="D55" i="8" s="1"/>
  <c r="AF166" i="2"/>
  <c r="AF165" i="2" s="1"/>
  <c r="AC165" i="2"/>
  <c r="Q10" i="11"/>
  <c r="C102" i="11"/>
  <c r="Q6" i="11"/>
  <c r="C98" i="11"/>
  <c r="M12" i="10"/>
  <c r="C119" i="10" s="1"/>
  <c r="M7" i="10"/>
  <c r="J140" i="1"/>
  <c r="D28" i="8" s="1"/>
  <c r="M203" i="1"/>
  <c r="I43" i="8" s="1"/>
  <c r="AL55" i="1"/>
  <c r="AL52" i="1" s="1"/>
  <c r="P16" i="8" s="1"/>
  <c r="M184" i="2"/>
  <c r="I86" i="8" s="1"/>
  <c r="P66" i="8"/>
  <c r="D56" i="8"/>
  <c r="AL131" i="2"/>
  <c r="P74" i="8" s="1"/>
  <c r="J140" i="2"/>
  <c r="D75" i="8" s="1"/>
  <c r="AL166" i="2"/>
  <c r="AI165" i="2"/>
  <c r="M81" i="8" s="1"/>
  <c r="G81" i="8" s="1"/>
  <c r="AC52" i="2"/>
  <c r="M57" i="8"/>
  <c r="G57" i="8" s="1"/>
  <c r="M67" i="8"/>
  <c r="G67" i="8" s="1"/>
  <c r="AL172" i="2"/>
  <c r="M82" i="8"/>
  <c r="G82" i="8" s="1"/>
  <c r="J173" i="2"/>
  <c r="D83" i="8" s="1"/>
  <c r="AC56" i="2"/>
  <c r="J170" i="2"/>
  <c r="D82" i="8" s="1"/>
  <c r="M173" i="2"/>
  <c r="I83" i="8" s="1"/>
  <c r="AL57" i="2"/>
  <c r="AL56" i="2" s="1"/>
  <c r="P58" i="8" s="1"/>
  <c r="AI56" i="2"/>
  <c r="M170" i="2"/>
  <c r="I82" i="8" s="1"/>
  <c r="J73" i="2"/>
  <c r="D61" i="8" s="1"/>
  <c r="J154" i="2"/>
  <c r="D78" i="8" s="1"/>
  <c r="AF154" i="2"/>
  <c r="AL148" i="2"/>
  <c r="P77" i="8" s="1"/>
  <c r="J145" i="2"/>
  <c r="D76" i="8" s="1"/>
  <c r="AI145" i="2"/>
  <c r="M76" i="8" s="1"/>
  <c r="G76" i="8" s="1"/>
  <c r="AL145" i="2"/>
  <c r="P76" i="8" s="1"/>
  <c r="M145" i="2"/>
  <c r="I76" i="8" s="1"/>
  <c r="M5" i="6"/>
  <c r="AI124" i="2"/>
  <c r="M71" i="8" s="1"/>
  <c r="G71" i="8" s="1"/>
  <c r="AL203" i="2"/>
  <c r="P91" i="8" s="1"/>
  <c r="J203" i="2"/>
  <c r="D91" i="8" s="1"/>
  <c r="AC193" i="2"/>
  <c r="AL40" i="1"/>
  <c r="AL39" i="1" s="1"/>
  <c r="AI39" i="1"/>
  <c r="AL82" i="1"/>
  <c r="AL77" i="1" s="1"/>
  <c r="P18" i="8" s="1"/>
  <c r="M143" i="1"/>
  <c r="I29" i="8" s="1"/>
  <c r="AF161" i="1"/>
  <c r="AF160" i="1" s="1"/>
  <c r="AC160" i="1"/>
  <c r="AI23" i="1"/>
  <c r="M9" i="8" s="1"/>
  <c r="G9" i="8" s="1"/>
  <c r="D7" i="8"/>
  <c r="M26" i="1"/>
  <c r="I10" i="8" s="1"/>
  <c r="AL144" i="1"/>
  <c r="AL143" i="1" s="1"/>
  <c r="P29" i="8" s="1"/>
  <c r="AI143" i="1"/>
  <c r="M29" i="8" s="1"/>
  <c r="G29" i="8" s="1"/>
  <c r="AF144" i="1"/>
  <c r="AC143" i="1"/>
  <c r="J143" i="1"/>
  <c r="D29" i="8" s="1"/>
  <c r="J36" i="1"/>
  <c r="D13" i="8" s="1"/>
  <c r="AF173" i="1"/>
  <c r="AF172" i="1" s="1"/>
  <c r="AC172" i="1"/>
  <c r="J206" i="1"/>
  <c r="D44" i="8" s="1"/>
  <c r="M206" i="1"/>
  <c r="I44" i="8" s="1"/>
  <c r="AL195" i="1"/>
  <c r="P41" i="8" s="1"/>
  <c r="M195" i="1"/>
  <c r="I41" i="8" s="1"/>
  <c r="J192" i="1"/>
  <c r="D40" i="8" s="1"/>
  <c r="M87" i="1"/>
  <c r="I19" i="8" s="1"/>
  <c r="P33" i="8"/>
  <c r="J77" i="1"/>
  <c r="D18" i="8" s="1"/>
  <c r="AL87" i="1"/>
  <c r="P19" i="8" s="1"/>
  <c r="J99" i="1"/>
  <c r="D22" i="8" s="1"/>
  <c r="D33" i="8"/>
  <c r="M36" i="1"/>
  <c r="I13" i="8" s="1"/>
  <c r="M140" i="1"/>
  <c r="I28" i="8" s="1"/>
  <c r="AC186" i="1"/>
  <c r="J52" i="1"/>
  <c r="D16" i="8" s="1"/>
  <c r="AC36" i="1"/>
  <c r="J110" i="1"/>
  <c r="AL186" i="1"/>
  <c r="P39" i="8" s="1"/>
  <c r="M16" i="1"/>
  <c r="I8" i="8" s="1"/>
  <c r="J26" i="1"/>
  <c r="D10" i="8" s="1"/>
  <c r="M125" i="1"/>
  <c r="I25" i="8" s="1"/>
  <c r="AL160" i="1"/>
  <c r="P32" i="8" s="1"/>
  <c r="J195" i="1"/>
  <c r="D41" i="8" s="1"/>
  <c r="AL33" i="1"/>
  <c r="AL32" i="1" s="1"/>
  <c r="P12" i="8" s="1"/>
  <c r="M186" i="1"/>
  <c r="I39" i="8" s="1"/>
  <c r="J109" i="1"/>
  <c r="M111" i="1"/>
  <c r="M35" i="8"/>
  <c r="G35" i="8" s="1"/>
  <c r="AI175" i="1"/>
  <c r="M36" i="8" s="1"/>
  <c r="G36" i="8" s="1"/>
  <c r="AL177" i="1"/>
  <c r="AL175" i="1" s="1"/>
  <c r="P36" i="8" s="1"/>
  <c r="J203" i="1"/>
  <c r="D43" i="8" s="1"/>
  <c r="AL28" i="1"/>
  <c r="AL26" i="1" s="1"/>
  <c r="P10" i="8" s="1"/>
  <c r="AI153" i="1"/>
  <c r="M31" i="8" s="1"/>
  <c r="G31" i="8" s="1"/>
  <c r="AL153" i="1"/>
  <c r="P31" i="8" s="1"/>
  <c r="J175" i="1"/>
  <c r="D36" i="8" s="1"/>
  <c r="AC199" i="1"/>
  <c r="AI206" i="1"/>
  <c r="M44" i="8" s="1"/>
  <c r="G44" i="8" s="1"/>
  <c r="AL207" i="1"/>
  <c r="AL206" i="1" s="1"/>
  <c r="P44" i="8" s="1"/>
  <c r="AL37" i="1"/>
  <c r="AL36" i="1" s="1"/>
  <c r="P13" i="8" s="1"/>
  <c r="J186" i="1"/>
  <c r="D39" i="8" s="1"/>
  <c r="M179" i="1"/>
  <c r="I37" i="8" s="1"/>
  <c r="J199" i="1"/>
  <c r="D42" i="8" s="1"/>
  <c r="J160" i="1"/>
  <c r="D32" i="8" s="1"/>
  <c r="AI179" i="1"/>
  <c r="M37" i="8" s="1"/>
  <c r="G37" i="8" s="1"/>
  <c r="AL180" i="1"/>
  <c r="AL179" i="1" s="1"/>
  <c r="P37" i="8" s="1"/>
  <c r="AI87" i="1"/>
  <c r="M175" i="1"/>
  <c r="I36" i="8" s="1"/>
  <c r="M192" i="1"/>
  <c r="I40" i="8" s="1"/>
  <c r="AL199" i="1"/>
  <c r="P42" i="8" s="1"/>
  <c r="AF27" i="1"/>
  <c r="AF26" i="1" s="1"/>
  <c r="AC26" i="1"/>
  <c r="AI192" i="1"/>
  <c r="M40" i="8" s="1"/>
  <c r="G40" i="8" s="1"/>
  <c r="AL193" i="1"/>
  <c r="AL192" i="1" s="1"/>
  <c r="P40" i="8" s="1"/>
  <c r="AC125" i="1"/>
  <c r="AF127" i="1"/>
  <c r="AF125" i="1" s="1"/>
  <c r="M38" i="8"/>
  <c r="G38" i="8" s="1"/>
  <c r="AL185" i="1"/>
  <c r="AL184" i="1" s="1"/>
  <c r="P38" i="8" s="1"/>
  <c r="AC192" i="1"/>
  <c r="M57" i="1"/>
  <c r="I17" i="8" s="1"/>
  <c r="AC52" i="1"/>
  <c r="M7" i="8"/>
  <c r="AL15" i="1"/>
  <c r="AL12" i="1" s="1"/>
  <c r="P7" i="8" s="1"/>
  <c r="AF183" i="2"/>
  <c r="AF182" i="2" s="1"/>
  <c r="AL47" i="6"/>
  <c r="P206" i="8" s="1"/>
  <c r="AL40" i="6"/>
  <c r="P205" i="8" s="1"/>
  <c r="AL14" i="6"/>
  <c r="AL7" i="6"/>
  <c r="AL5" i="6" s="1"/>
  <c r="P202" i="8"/>
  <c r="M187" i="2"/>
  <c r="I87" i="8" s="1"/>
  <c r="J184" i="2"/>
  <c r="D86" i="8" s="1"/>
  <c r="AL185" i="2"/>
  <c r="AL184" i="2" s="1"/>
  <c r="P86" i="8" s="1"/>
  <c r="M85" i="8"/>
  <c r="G85" i="8" s="1"/>
  <c r="AL183" i="2"/>
  <c r="AL182" i="2" s="1"/>
  <c r="P85" i="8" s="1"/>
  <c r="AC182" i="2"/>
  <c r="AL176" i="2"/>
  <c r="J176" i="2"/>
  <c r="D84" i="8" s="1"/>
  <c r="M176" i="2"/>
  <c r="I84" i="8" s="1"/>
  <c r="AF176" i="2"/>
  <c r="AC23" i="1"/>
  <c r="AL9" i="1"/>
  <c r="AL5" i="1" s="1"/>
  <c r="M6" i="8"/>
  <c r="G6" i="8" s="1"/>
  <c r="M77" i="2"/>
  <c r="I62" i="8" s="1"/>
  <c r="J77" i="2"/>
  <c r="D62" i="8" s="1"/>
  <c r="M209" i="1"/>
  <c r="I45" i="8" s="1"/>
  <c r="AI209" i="1"/>
  <c r="M45" i="8" s="1"/>
  <c r="G45" i="8" s="1"/>
  <c r="AL210" i="1"/>
  <c r="AL209" i="1" s="1"/>
  <c r="D79" i="8"/>
  <c r="J153" i="1"/>
  <c r="D31" i="8" s="1"/>
  <c r="M153" i="1"/>
  <c r="I31" i="8" s="1"/>
  <c r="J85" i="2"/>
  <c r="D63" i="8" s="1"/>
  <c r="AL85" i="2"/>
  <c r="P63" i="8" s="1"/>
  <c r="J125" i="1"/>
  <c r="D25" i="8" s="1"/>
  <c r="AL126" i="2"/>
  <c r="P72" i="8" s="1"/>
  <c r="M126" i="2"/>
  <c r="I72" i="8" s="1"/>
  <c r="AF125" i="2"/>
  <c r="AF124" i="2" s="1"/>
  <c r="AI122" i="2"/>
  <c r="M70" i="8" s="1"/>
  <c r="G70" i="8" s="1"/>
  <c r="AL123" i="2"/>
  <c r="AL122" i="2" s="1"/>
  <c r="P70" i="8" s="1"/>
  <c r="M69" i="8"/>
  <c r="G69" i="8" s="1"/>
  <c r="AL121" i="2"/>
  <c r="AL120" i="2" s="1"/>
  <c r="I69" i="8"/>
  <c r="D69" i="8"/>
  <c r="AI73" i="2"/>
  <c r="M61" i="8" s="1"/>
  <c r="G61" i="8" s="1"/>
  <c r="AL74" i="2"/>
  <c r="AL73" i="2" s="1"/>
  <c r="P61" i="8" s="1"/>
  <c r="M73" i="2"/>
  <c r="I61" i="8" s="1"/>
  <c r="AL68" i="2"/>
  <c r="P60" i="8" s="1"/>
  <c r="AF68" i="2"/>
  <c r="AL60" i="2"/>
  <c r="P59" i="8" s="1"/>
  <c r="J60" i="2"/>
  <c r="D59" i="8" s="1"/>
  <c r="M60" i="2"/>
  <c r="I59" i="8" s="1"/>
  <c r="M52" i="2"/>
  <c r="I57" i="8" s="1"/>
  <c r="AL52" i="2"/>
  <c r="P57" i="8" s="1"/>
  <c r="I56" i="8"/>
  <c r="AL43" i="2"/>
  <c r="P55" i="8" s="1"/>
  <c r="M43" i="2"/>
  <c r="I55" i="8" s="1"/>
  <c r="AI39" i="2"/>
  <c r="M54" i="8" s="1"/>
  <c r="G54" i="8" s="1"/>
  <c r="AL40" i="2"/>
  <c r="AL39" i="2" s="1"/>
  <c r="P54" i="8" s="1"/>
  <c r="J34" i="2"/>
  <c r="D53" i="8" s="1"/>
  <c r="AI29" i="2"/>
  <c r="M52" i="8" s="1"/>
  <c r="G52" i="8" s="1"/>
  <c r="AL31" i="2"/>
  <c r="AL29" i="2" s="1"/>
  <c r="J29" i="2"/>
  <c r="D52" i="8" s="1"/>
  <c r="M29" i="2"/>
  <c r="I52" i="8" s="1"/>
  <c r="M21" i="2"/>
  <c r="I51" i="8" s="1"/>
  <c r="AL21" i="2"/>
  <c r="P51" i="8" s="1"/>
  <c r="AI21" i="2"/>
  <c r="M51" i="8" s="1"/>
  <c r="G51" i="8" s="1"/>
  <c r="AL13" i="2"/>
  <c r="AL12" i="2" s="1"/>
  <c r="P49" i="8" s="1"/>
  <c r="I49" i="8"/>
  <c r="AL7" i="2"/>
  <c r="AL5" i="2" s="1"/>
  <c r="AI5" i="2"/>
  <c r="I23" i="8"/>
  <c r="AF103" i="1"/>
  <c r="AF102" i="1" s="1"/>
  <c r="AC99" i="1"/>
  <c r="M92" i="1"/>
  <c r="I21" i="8" s="1"/>
  <c r="J5" i="2"/>
  <c r="J165" i="2"/>
  <c r="D81" i="8" s="1"/>
  <c r="AF203" i="2"/>
  <c r="J56" i="2"/>
  <c r="D58" i="8" s="1"/>
  <c r="AC68" i="2"/>
  <c r="M131" i="2"/>
  <c r="AC148" i="2"/>
  <c r="M92" i="2"/>
  <c r="AF121" i="2"/>
  <c r="AF120" i="2" s="1"/>
  <c r="M85" i="2"/>
  <c r="I63" i="8" s="1"/>
  <c r="J187" i="2"/>
  <c r="D87" i="8" s="1"/>
  <c r="M56" i="2"/>
  <c r="I58" i="8" s="1"/>
  <c r="AI68" i="2"/>
  <c r="M60" i="8" s="1"/>
  <c r="G60" i="8" s="1"/>
  <c r="J131" i="2"/>
  <c r="AC176" i="2"/>
  <c r="J39" i="2"/>
  <c r="D54" i="8" s="1"/>
  <c r="AI77" i="2"/>
  <c r="M62" i="8" s="1"/>
  <c r="G62" i="8" s="1"/>
  <c r="AI85" i="2"/>
  <c r="M63" i="8" s="1"/>
  <c r="G63" i="8" s="1"/>
  <c r="AF39" i="2"/>
  <c r="AF57" i="2"/>
  <c r="AF56" i="2" s="1"/>
  <c r="AI101" i="2"/>
  <c r="J126" i="2"/>
  <c r="D72" i="8" s="1"/>
  <c r="M148" i="2"/>
  <c r="I77" i="8" s="1"/>
  <c r="M31" i="6"/>
  <c r="I204" i="8" s="1"/>
  <c r="M40" i="6"/>
  <c r="AI40" i="6"/>
  <c r="M205" i="8" s="1"/>
  <c r="G205" i="8" s="1"/>
  <c r="AC47" i="6"/>
  <c r="I202" i="8"/>
  <c r="M47" i="6"/>
  <c r="I206" i="8" s="1"/>
  <c r="AI14" i="6"/>
  <c r="M201" i="8" s="1"/>
  <c r="G201" i="8" s="1"/>
  <c r="J40" i="6"/>
  <c r="I159" i="8"/>
  <c r="AI186" i="1"/>
  <c r="M39" i="8" s="1"/>
  <c r="G39" i="8" s="1"/>
  <c r="AI199" i="1"/>
  <c r="AI92" i="1"/>
  <c r="AF140" i="1"/>
  <c r="AF179" i="1"/>
  <c r="AI140" i="1"/>
  <c r="M28" i="8" s="1"/>
  <c r="G28" i="8" s="1"/>
  <c r="M33" i="8"/>
  <c r="G33" i="8" s="1"/>
  <c r="AC195" i="1"/>
  <c r="AC12" i="1"/>
  <c r="AI195" i="1"/>
  <c r="M41" i="8" s="1"/>
  <c r="G41" i="8" s="1"/>
  <c r="AC148" i="1"/>
  <c r="M23" i="1"/>
  <c r="I9" i="8" s="1"/>
  <c r="AF148" i="1"/>
  <c r="AF131" i="1"/>
  <c r="AF101" i="2"/>
  <c r="AI115" i="1"/>
  <c r="AL115" i="1" s="1"/>
  <c r="AC115" i="1"/>
  <c r="AF115" i="1" s="1"/>
  <c r="AF153" i="1"/>
  <c r="M77" i="1"/>
  <c r="I18" i="8" s="1"/>
  <c r="AC77" i="1"/>
  <c r="AF77" i="1"/>
  <c r="AF109" i="1"/>
  <c r="M131" i="1"/>
  <c r="M151" i="1"/>
  <c r="M148" i="1" s="1"/>
  <c r="I30" i="8" s="1"/>
  <c r="J151" i="1"/>
  <c r="J148" i="1" s="1"/>
  <c r="D30" i="8" s="1"/>
  <c r="AF176" i="1"/>
  <c r="AF175" i="1" s="1"/>
  <c r="AF185" i="1"/>
  <c r="AF184" i="1" s="1"/>
  <c r="AF198" i="1"/>
  <c r="AF195" i="1" s="1"/>
  <c r="AF208" i="1"/>
  <c r="AF206" i="1" s="1"/>
  <c r="AC206" i="1"/>
  <c r="J106" i="2"/>
  <c r="D67" i="8" s="1"/>
  <c r="AF148" i="2"/>
  <c r="AC5" i="6"/>
  <c r="AF5" i="6"/>
  <c r="AI112" i="1"/>
  <c r="AL112" i="1" s="1"/>
  <c r="AI119" i="1"/>
  <c r="AL119" i="1" s="1"/>
  <c r="AF119" i="1"/>
  <c r="AC153" i="1"/>
  <c r="AI92" i="2"/>
  <c r="AC100" i="2"/>
  <c r="AF100" i="2" s="1"/>
  <c r="AF127" i="2"/>
  <c r="AF126" i="2" s="1"/>
  <c r="AC126" i="2"/>
  <c r="AF38" i="1"/>
  <c r="AF36" i="1" s="1"/>
  <c r="AC44" i="1"/>
  <c r="J108" i="1"/>
  <c r="M160" i="1"/>
  <c r="I32" i="8" s="1"/>
  <c r="AF193" i="1"/>
  <c r="AF192" i="1" s="1"/>
  <c r="J12" i="2"/>
  <c r="D49" i="8" s="1"/>
  <c r="AF44" i="2"/>
  <c r="AF43" i="2" s="1"/>
  <c r="AC43" i="2"/>
  <c r="AF145" i="2"/>
  <c r="AF198" i="2"/>
  <c r="I7" i="8"/>
  <c r="AF87" i="1"/>
  <c r="AC87" i="1"/>
  <c r="AC140" i="1"/>
  <c r="J179" i="1"/>
  <c r="D37" i="8" s="1"/>
  <c r="AF140" i="2"/>
  <c r="AF31" i="6"/>
  <c r="AC31" i="6"/>
  <c r="AC57" i="1"/>
  <c r="AI116" i="1"/>
  <c r="AL116" i="1" s="1"/>
  <c r="AI124" i="1"/>
  <c r="AL124" i="1" s="1"/>
  <c r="J172" i="1"/>
  <c r="AC179" i="1"/>
  <c r="J15" i="2"/>
  <c r="D50" i="8" s="1"/>
  <c r="AF60" i="2"/>
  <c r="AC73" i="2"/>
  <c r="AF18" i="6"/>
  <c r="AF14" i="6" s="1"/>
  <c r="AC14" i="6"/>
  <c r="AC40" i="6"/>
  <c r="AF40" i="6"/>
  <c r="AF52" i="1"/>
  <c r="AF200" i="1"/>
  <c r="AF199" i="1" s="1"/>
  <c r="AC131" i="2"/>
  <c r="AF25" i="1"/>
  <c r="AF23" i="1" s="1"/>
  <c r="AF40" i="1"/>
  <c r="AF39" i="1" s="1"/>
  <c r="AC39" i="1"/>
  <c r="AF187" i="1"/>
  <c r="AF186" i="1" s="1"/>
  <c r="AF194" i="2"/>
  <c r="AF193" i="2" s="1"/>
  <c r="AC60" i="2"/>
  <c r="M106" i="2"/>
  <c r="I67" i="8" s="1"/>
  <c r="AC16" i="1"/>
  <c r="AF33" i="1"/>
  <c r="AC92" i="1"/>
  <c r="AC29" i="2"/>
  <c r="AF29" i="2"/>
  <c r="AC101" i="2"/>
  <c r="AI126" i="2"/>
  <c r="M140" i="2"/>
  <c r="I75" i="8" s="1"/>
  <c r="AI114" i="1"/>
  <c r="AL114" i="1" s="1"/>
  <c r="AC203" i="1"/>
  <c r="AI43" i="2"/>
  <c r="M68" i="2"/>
  <c r="I60" i="8" s="1"/>
  <c r="AC154" i="2"/>
  <c r="M52" i="1"/>
  <c r="I16" i="8" s="1"/>
  <c r="AC131" i="1"/>
  <c r="AI160" i="1"/>
  <c r="M32" i="8" s="1"/>
  <c r="G32" i="8" s="1"/>
  <c r="M15" i="2"/>
  <c r="I50" i="8" s="1"/>
  <c r="AF34" i="2"/>
  <c r="AC39" i="2"/>
  <c r="AI60" i="2"/>
  <c r="AF73" i="2"/>
  <c r="AI148" i="2"/>
  <c r="M77" i="8" s="1"/>
  <c r="G77" i="8" s="1"/>
  <c r="J101" i="2"/>
  <c r="D66" i="8" s="1"/>
  <c r="M79" i="8"/>
  <c r="G79" i="8" s="1"/>
  <c r="J52" i="2"/>
  <c r="D57" i="8" s="1"/>
  <c r="J68" i="2"/>
  <c r="D60" i="8" s="1"/>
  <c r="AC77" i="2"/>
  <c r="AF77" i="2"/>
  <c r="M101" i="2"/>
  <c r="I66" i="8" s="1"/>
  <c r="AI131" i="2"/>
  <c r="M165" i="2"/>
  <c r="I81" i="8" s="1"/>
  <c r="AF171" i="2"/>
  <c r="AF170" i="2" s="1"/>
  <c r="AC85" i="2"/>
  <c r="AF122" i="2"/>
  <c r="AC122" i="2"/>
  <c r="M193" i="2"/>
  <c r="J39" i="1"/>
  <c r="J87" i="1"/>
  <c r="D19" i="8" s="1"/>
  <c r="M199" i="1"/>
  <c r="I42" i="8" s="1"/>
  <c r="AF21" i="2"/>
  <c r="AC34" i="2"/>
  <c r="AF85" i="2"/>
  <c r="AC140" i="2"/>
  <c r="M154" i="2"/>
  <c r="J193" i="2"/>
  <c r="AC198" i="2"/>
  <c r="AI203" i="2"/>
  <c r="M91" i="8" s="1"/>
  <c r="G91" i="8" s="1"/>
  <c r="AC21" i="2"/>
  <c r="I54" i="8"/>
  <c r="AI176" i="2"/>
  <c r="M84" i="8" s="1"/>
  <c r="G84" i="8" s="1"/>
  <c r="M202" i="8"/>
  <c r="G202" i="8" s="1"/>
  <c r="J31" i="6"/>
  <c r="J47" i="6"/>
  <c r="D206" i="8" s="1"/>
  <c r="AF47" i="6"/>
  <c r="D202" i="8"/>
  <c r="AI31" i="6"/>
  <c r="AI47" i="6"/>
  <c r="M206" i="8" s="1"/>
  <c r="G206" i="8" s="1"/>
  <c r="H67" i="8" l="1"/>
  <c r="H92" i="8"/>
  <c r="H194" i="8"/>
  <c r="AI130" i="2"/>
  <c r="AM92" i="2"/>
  <c r="AM91" i="2" s="1"/>
  <c r="Q64" i="8" s="1"/>
  <c r="N191" i="8"/>
  <c r="AL131" i="1"/>
  <c r="P27" i="8" s="1"/>
  <c r="N19" i="8"/>
  <c r="N25" i="8"/>
  <c r="AM17" i="2"/>
  <c r="AM15" i="2" s="1"/>
  <c r="AM4" i="2" s="1"/>
  <c r="Q47" i="8" s="1"/>
  <c r="AL4" i="6"/>
  <c r="N15" i="8"/>
  <c r="H15" i="8" s="1"/>
  <c r="AM134" i="1"/>
  <c r="AM51" i="1"/>
  <c r="AM44" i="1" s="1"/>
  <c r="M42" i="8"/>
  <c r="G42" i="8" s="1"/>
  <c r="M16" i="8"/>
  <c r="G16" i="8" s="1"/>
  <c r="N16" i="8"/>
  <c r="M12" i="8"/>
  <c r="G12" i="8" s="1"/>
  <c r="AI31" i="1"/>
  <c r="M59" i="8"/>
  <c r="G59" i="8" s="1"/>
  <c r="N59" i="8"/>
  <c r="M66" i="8"/>
  <c r="G66" i="8" s="1"/>
  <c r="N89" i="8"/>
  <c r="H89" i="8" s="1"/>
  <c r="M50" i="8"/>
  <c r="G50" i="8" s="1"/>
  <c r="I6" i="7"/>
  <c r="AM112" i="1"/>
  <c r="AM111" i="1"/>
  <c r="AM110" i="1"/>
  <c r="AM109" i="1"/>
  <c r="AL4" i="1"/>
  <c r="D95" i="15"/>
  <c r="J4" i="6"/>
  <c r="I8" i="7"/>
  <c r="K105" i="1"/>
  <c r="AC192" i="2"/>
  <c r="N105" i="1"/>
  <c r="J24" i="8" s="1"/>
  <c r="J20" i="8" s="1"/>
  <c r="AL170" i="2"/>
  <c r="P82" i="8" s="1"/>
  <c r="M192" i="2"/>
  <c r="D204" i="8"/>
  <c r="J30" i="6"/>
  <c r="J30" i="8"/>
  <c r="J26" i="8" s="1"/>
  <c r="N130" i="1"/>
  <c r="AF192" i="2"/>
  <c r="F192" i="2" s="1"/>
  <c r="AI192" i="2"/>
  <c r="AC30" i="6"/>
  <c r="AM108" i="1"/>
  <c r="N24" i="8"/>
  <c r="E30" i="8"/>
  <c r="E26" i="8" s="1"/>
  <c r="Q65" i="8"/>
  <c r="N65" i="8"/>
  <c r="H65" i="8" s="1"/>
  <c r="D90" i="8"/>
  <c r="J192" i="2"/>
  <c r="J130" i="1"/>
  <c r="AI148" i="1"/>
  <c r="AI130" i="1" s="1"/>
  <c r="M21" i="8"/>
  <c r="G21" i="8" s="1"/>
  <c r="AM133" i="1"/>
  <c r="AM95" i="1"/>
  <c r="AM92" i="1" s="1"/>
  <c r="AF32" i="1"/>
  <c r="AF31" i="1" s="1"/>
  <c r="F31" i="1" s="1"/>
  <c r="M130" i="1"/>
  <c r="AL99" i="1"/>
  <c r="P22" i="8" s="1"/>
  <c r="I78" i="8"/>
  <c r="M130" i="2"/>
  <c r="I80" i="8"/>
  <c r="N11" i="10" s="1"/>
  <c r="D12" i="8"/>
  <c r="J31" i="1"/>
  <c r="M119" i="2"/>
  <c r="AI4" i="2"/>
  <c r="J4" i="2"/>
  <c r="AI4" i="1"/>
  <c r="AF4" i="1"/>
  <c r="AC105" i="1"/>
  <c r="AI105" i="1"/>
  <c r="AI91" i="1" s="1"/>
  <c r="AC4" i="1"/>
  <c r="D200" i="8"/>
  <c r="AF4" i="6"/>
  <c r="F4" i="6" s="1"/>
  <c r="AC4" i="6"/>
  <c r="P200" i="8"/>
  <c r="I200" i="8"/>
  <c r="M4" i="6"/>
  <c r="AI4" i="6"/>
  <c r="I4" i="6" s="1"/>
  <c r="I68" i="8"/>
  <c r="N9" i="10" s="1"/>
  <c r="J130" i="2"/>
  <c r="J164" i="2"/>
  <c r="D74" i="8"/>
  <c r="I74" i="8"/>
  <c r="P73" i="8"/>
  <c r="M74" i="8"/>
  <c r="G74" i="8" s="1"/>
  <c r="I47" i="8"/>
  <c r="N7" i="10" s="1"/>
  <c r="M4" i="2"/>
  <c r="D27" i="8"/>
  <c r="AC130" i="1"/>
  <c r="I27" i="8"/>
  <c r="M27" i="8"/>
  <c r="G27" i="8" s="1"/>
  <c r="C37" i="10"/>
  <c r="C115" i="10"/>
  <c r="M4" i="1"/>
  <c r="D6" i="8"/>
  <c r="J4" i="1"/>
  <c r="I6" i="8"/>
  <c r="I5" i="8" s="1"/>
  <c r="R6" i="11" s="1"/>
  <c r="M19" i="8"/>
  <c r="G19" i="8" s="1"/>
  <c r="P89" i="8"/>
  <c r="P88" i="8" s="1"/>
  <c r="AL192" i="2"/>
  <c r="AL165" i="2"/>
  <c r="P81" i="8" s="1"/>
  <c r="P52" i="8"/>
  <c r="AC145" i="2"/>
  <c r="AL130" i="2"/>
  <c r="M89" i="8"/>
  <c r="G89" i="8" s="1"/>
  <c r="D89" i="8"/>
  <c r="I89" i="8"/>
  <c r="I88" i="8" s="1"/>
  <c r="N12" i="10" s="1"/>
  <c r="M14" i="8"/>
  <c r="G14" i="8" s="1"/>
  <c r="P6" i="8"/>
  <c r="AL31" i="1"/>
  <c r="AF143" i="1"/>
  <c r="P14" i="8"/>
  <c r="AL172" i="1"/>
  <c r="P203" i="8"/>
  <c r="AL105" i="1"/>
  <c r="P24" i="8" s="1"/>
  <c r="AF105" i="1"/>
  <c r="M105" i="1"/>
  <c r="I24" i="8" s="1"/>
  <c r="I20" i="8" s="1"/>
  <c r="AL151" i="1"/>
  <c r="AL148" i="1" s="1"/>
  <c r="J105" i="1"/>
  <c r="D24" i="8" s="1"/>
  <c r="AI171" i="1"/>
  <c r="M43" i="8"/>
  <c r="G43" i="8" s="1"/>
  <c r="M15" i="8"/>
  <c r="G15" i="8" s="1"/>
  <c r="P84" i="8"/>
  <c r="M164" i="2"/>
  <c r="P201" i="8"/>
  <c r="AL30" i="6"/>
  <c r="D80" i="8"/>
  <c r="AC170" i="2"/>
  <c r="D14" i="8"/>
  <c r="M31" i="1"/>
  <c r="I14" i="8"/>
  <c r="I11" i="8" s="1"/>
  <c r="R7" i="11" s="1"/>
  <c r="M5" i="8"/>
  <c r="G5" i="8" s="1"/>
  <c r="P45" i="8"/>
  <c r="I79" i="8"/>
  <c r="AI91" i="2"/>
  <c r="AL100" i="2"/>
  <c r="AL92" i="2" s="1"/>
  <c r="AL91" i="2" s="1"/>
  <c r="I65" i="8"/>
  <c r="I64" i="8" s="1"/>
  <c r="N8" i="10" s="1"/>
  <c r="M91" i="2"/>
  <c r="D65" i="8"/>
  <c r="J91" i="2"/>
  <c r="J119" i="2"/>
  <c r="D68" i="8"/>
  <c r="P69" i="8"/>
  <c r="P68" i="8" s="1"/>
  <c r="AL119" i="2"/>
  <c r="D205" i="8"/>
  <c r="AF30" i="6"/>
  <c r="F30" i="6" s="1"/>
  <c r="I205" i="8"/>
  <c r="M30" i="6"/>
  <c r="D201" i="8"/>
  <c r="I201" i="8"/>
  <c r="M48" i="8"/>
  <c r="G48" i="8" s="1"/>
  <c r="AL4" i="2"/>
  <c r="P48" i="8"/>
  <c r="D48" i="8"/>
  <c r="D35" i="8"/>
  <c r="J171" i="1"/>
  <c r="M171" i="1"/>
  <c r="I35" i="8"/>
  <c r="I33" i="8"/>
  <c r="M23" i="8"/>
  <c r="G23" i="8" s="1"/>
  <c r="M80" i="8"/>
  <c r="G80" i="8" s="1"/>
  <c r="M58" i="8"/>
  <c r="G58" i="8" s="1"/>
  <c r="AC119" i="2"/>
  <c r="AI119" i="2"/>
  <c r="M72" i="8"/>
  <c r="G72" i="8" s="1"/>
  <c r="AC92" i="2"/>
  <c r="AF119" i="2"/>
  <c r="F119" i="2" s="1"/>
  <c r="M55" i="8"/>
  <c r="G55" i="8" s="1"/>
  <c r="M200" i="8"/>
  <c r="M159" i="8"/>
  <c r="G159" i="8" s="1"/>
  <c r="AI30" i="6"/>
  <c r="I30" i="6" s="1"/>
  <c r="M204" i="8"/>
  <c r="G204" i="8" s="1"/>
  <c r="AC31" i="1"/>
  <c r="AF171" i="1"/>
  <c r="F171" i="1" s="1"/>
  <c r="AC171" i="1"/>
  <c r="AF164" i="2"/>
  <c r="F164" i="2" s="1"/>
  <c r="AI164" i="2"/>
  <c r="AC102" i="1"/>
  <c r="AF92" i="2"/>
  <c r="AF91" i="2" s="1"/>
  <c r="H16" i="8" l="1"/>
  <c r="H6" i="7"/>
  <c r="N6" i="7" s="1"/>
  <c r="G6" i="7"/>
  <c r="D7" i="19" s="1"/>
  <c r="F7" i="19" s="1"/>
  <c r="H8" i="7"/>
  <c r="N8" i="7" s="1"/>
  <c r="G8" i="7"/>
  <c r="D9" i="19" s="1"/>
  <c r="F9" i="19" s="1"/>
  <c r="H25" i="8"/>
  <c r="H59" i="8"/>
  <c r="H19" i="8"/>
  <c r="H24" i="8"/>
  <c r="H191" i="8"/>
  <c r="N11" i="8"/>
  <c r="H11" i="8" s="1"/>
  <c r="AH3" i="6"/>
  <c r="N66" i="8"/>
  <c r="AL130" i="1"/>
  <c r="Q50" i="8"/>
  <c r="AL3" i="6"/>
  <c r="P198" i="8" s="1"/>
  <c r="AM3" i="2"/>
  <c r="Q46" i="8" s="1"/>
  <c r="S5" i="7" s="1"/>
  <c r="AM131" i="1"/>
  <c r="Q27" i="8" s="1"/>
  <c r="N200" i="8"/>
  <c r="N204" i="8"/>
  <c r="Q15" i="8"/>
  <c r="AM31" i="1"/>
  <c r="N42" i="8"/>
  <c r="H42" i="8" s="1"/>
  <c r="N50" i="8"/>
  <c r="N88" i="8"/>
  <c r="H88" i="8" s="1"/>
  <c r="N198" i="8"/>
  <c r="H198" i="8" s="1"/>
  <c r="E4" i="8"/>
  <c r="E3" i="8" s="1"/>
  <c r="N91" i="1"/>
  <c r="J4" i="8" s="1"/>
  <c r="Q4" i="7" s="1"/>
  <c r="AM105" i="1"/>
  <c r="AM91" i="1" s="1"/>
  <c r="J3" i="6"/>
  <c r="D198" i="8" s="1"/>
  <c r="E24" i="8"/>
  <c r="E20" i="8" s="1"/>
  <c r="M199" i="8"/>
  <c r="G199" i="8" s="1"/>
  <c r="G200" i="8"/>
  <c r="D20" i="8"/>
  <c r="D73" i="8"/>
  <c r="D26" i="8"/>
  <c r="D57" i="10"/>
  <c r="R8" i="11"/>
  <c r="D5" i="8"/>
  <c r="D37" i="10"/>
  <c r="D203" i="8"/>
  <c r="D64" i="8"/>
  <c r="I26" i="8"/>
  <c r="R9" i="11" s="1"/>
  <c r="D88" i="8"/>
  <c r="M47" i="8"/>
  <c r="G47" i="8" s="1"/>
  <c r="AF130" i="1"/>
  <c r="F130" i="1" s="1"/>
  <c r="N27" i="8"/>
  <c r="H27" i="8" s="1"/>
  <c r="N21" i="8"/>
  <c r="AM151" i="1"/>
  <c r="Q21" i="8"/>
  <c r="D47" i="8"/>
  <c r="I203" i="8"/>
  <c r="L7" i="17" s="1"/>
  <c r="D11" i="8"/>
  <c r="AF4" i="2"/>
  <c r="F4" i="2" s="1"/>
  <c r="M3" i="2"/>
  <c r="AI3" i="2"/>
  <c r="M46" i="8" s="1"/>
  <c r="G46" i="8" s="1"/>
  <c r="AC4" i="2"/>
  <c r="D199" i="8"/>
  <c r="P199" i="8"/>
  <c r="AC3" i="6"/>
  <c r="AC91" i="1"/>
  <c r="D34" i="8"/>
  <c r="AF91" i="1"/>
  <c r="F91" i="1" s="1"/>
  <c r="AL91" i="1"/>
  <c r="I34" i="8"/>
  <c r="R10" i="11" s="1"/>
  <c r="M203" i="8"/>
  <c r="G203" i="8" s="1"/>
  <c r="I199" i="8"/>
  <c r="L6" i="17" s="1"/>
  <c r="AF130" i="2"/>
  <c r="F130" i="2" s="1"/>
  <c r="AC130" i="2"/>
  <c r="AC164" i="2"/>
  <c r="I73" i="8"/>
  <c r="N10" i="10" s="1"/>
  <c r="M73" i="8"/>
  <c r="G73" i="8" s="1"/>
  <c r="M88" i="8"/>
  <c r="G88" i="8" s="1"/>
  <c r="M68" i="8"/>
  <c r="G68" i="8" s="1"/>
  <c r="M34" i="8"/>
  <c r="G34" i="8" s="1"/>
  <c r="P5" i="8"/>
  <c r="P11" i="8"/>
  <c r="M11" i="8"/>
  <c r="G11" i="8" s="1"/>
  <c r="AL164" i="2"/>
  <c r="AL3" i="2" s="1"/>
  <c r="P46" i="8" s="1"/>
  <c r="P47" i="8"/>
  <c r="P80" i="8"/>
  <c r="M65" i="8"/>
  <c r="G65" i="8" s="1"/>
  <c r="P65" i="8"/>
  <c r="P35" i="8"/>
  <c r="AL171" i="1"/>
  <c r="M91" i="1"/>
  <c r="M3" i="1" s="1"/>
  <c r="I4" i="8" s="1"/>
  <c r="M30" i="8"/>
  <c r="G30" i="8" s="1"/>
  <c r="J91" i="1"/>
  <c r="P30" i="8"/>
  <c r="J3" i="2"/>
  <c r="D46" i="8" s="1"/>
  <c r="AC91" i="2"/>
  <c r="AI3" i="6"/>
  <c r="M198" i="8" s="1"/>
  <c r="G198" i="8" s="1"/>
  <c r="M3" i="6"/>
  <c r="I198" i="8" s="1"/>
  <c r="L5" i="17" s="1"/>
  <c r="AF3" i="6"/>
  <c r="P25" i="8"/>
  <c r="AI3" i="1"/>
  <c r="M25" i="8"/>
  <c r="G25" i="8" s="1"/>
  <c r="F91" i="2"/>
  <c r="M24" i="8"/>
  <c r="N47" i="8" l="1"/>
  <c r="H47" i="8" s="1"/>
  <c r="H50" i="8"/>
  <c r="N20" i="8"/>
  <c r="H20" i="8" s="1"/>
  <c r="H21" i="8"/>
  <c r="H66" i="8"/>
  <c r="N203" i="8"/>
  <c r="H203" i="8" s="1"/>
  <c r="H204" i="8"/>
  <c r="N199" i="8"/>
  <c r="H200" i="8"/>
  <c r="I46" i="8"/>
  <c r="I3" i="8" s="1"/>
  <c r="P3" i="7" s="1"/>
  <c r="AC3" i="2"/>
  <c r="AF3" i="2"/>
  <c r="AK91" i="2"/>
  <c r="N64" i="8"/>
  <c r="Q11" i="8"/>
  <c r="D48" i="11" s="1"/>
  <c r="N46" i="8"/>
  <c r="N34" i="8"/>
  <c r="H34" i="8" s="1"/>
  <c r="I9" i="7"/>
  <c r="N30" i="8"/>
  <c r="P4" i="8"/>
  <c r="G24" i="8"/>
  <c r="Q24" i="8"/>
  <c r="Q20" i="8"/>
  <c r="D60" i="11" s="1"/>
  <c r="AM148" i="1"/>
  <c r="AM130" i="1" s="1"/>
  <c r="Q26" i="8" s="1"/>
  <c r="D70" i="11" s="1"/>
  <c r="R5" i="11"/>
  <c r="J3" i="8"/>
  <c r="Q3" i="7" s="1"/>
  <c r="E4" i="7"/>
  <c r="E3" i="7"/>
  <c r="H29" i="20" s="1"/>
  <c r="I29" i="20" s="1"/>
  <c r="P5" i="7"/>
  <c r="AF3" i="1"/>
  <c r="M26" i="8"/>
  <c r="G26" i="8" s="1"/>
  <c r="P9" i="7"/>
  <c r="P4" i="7"/>
  <c r="M64" i="8"/>
  <c r="G64" i="8" s="1"/>
  <c r="P26" i="8"/>
  <c r="P64" i="8"/>
  <c r="P34" i="8"/>
  <c r="P20" i="8"/>
  <c r="D4" i="8"/>
  <c r="M20" i="8"/>
  <c r="G20" i="8" s="1"/>
  <c r="N3" i="8" l="1"/>
  <c r="H3" i="8" s="1"/>
  <c r="H46" i="8"/>
  <c r="H9" i="7"/>
  <c r="N9" i="7" s="1"/>
  <c r="G9" i="7"/>
  <c r="D10" i="19" s="1"/>
  <c r="F10" i="19" s="1"/>
  <c r="H199" i="8"/>
  <c r="H30" i="8"/>
  <c r="N6" i="10"/>
  <c r="H64" i="8"/>
  <c r="AM3" i="1"/>
  <c r="Q4" i="8" s="1"/>
  <c r="I5" i="7"/>
  <c r="H29" i="9"/>
  <c r="H32" i="9" s="1"/>
  <c r="N26" i="8"/>
  <c r="Q30" i="8"/>
  <c r="I4" i="7"/>
  <c r="D3" i="8"/>
  <c r="P3" i="8"/>
  <c r="M4" i="8"/>
  <c r="I116" i="8"/>
  <c r="N11" i="12" s="1"/>
  <c r="H4" i="7" l="1"/>
  <c r="N4" i="7" s="1"/>
  <c r="G4" i="7"/>
  <c r="D5" i="19" s="1"/>
  <c r="F5" i="19" s="1"/>
  <c r="H5" i="7"/>
  <c r="N5" i="7" s="1"/>
  <c r="G5" i="7"/>
  <c r="D6" i="19" s="1"/>
  <c r="F6" i="19" s="1"/>
  <c r="H26" i="8"/>
  <c r="G4" i="8"/>
  <c r="I29" i="9"/>
  <c r="F23" i="9" s="1"/>
  <c r="S3" i="7"/>
  <c r="S4" i="7"/>
  <c r="I3" i="7"/>
  <c r="G17" i="9"/>
  <c r="M38" i="9" s="1"/>
  <c r="H41" i="9" s="1"/>
  <c r="H49" i="9" s="1"/>
  <c r="M3" i="8"/>
  <c r="G3" i="8" s="1"/>
  <c r="H3" i="7" l="1"/>
  <c r="N3" i="7" s="1"/>
  <c r="G3" i="7"/>
  <c r="D4" i="19" s="1"/>
  <c r="F4" i="19" s="1"/>
  <c r="H47" i="9"/>
  <c r="H45" i="9"/>
  <c r="H34" i="9"/>
  <c r="H43" i="9" s="1"/>
  <c r="M116" i="8"/>
  <c r="G116" i="8" s="1"/>
  <c r="M143" i="8" l="1"/>
  <c r="G143" i="8" s="1"/>
  <c r="I143" i="8"/>
  <c r="O11" i="13" s="1"/>
  <c r="M184" i="8" l="1"/>
  <c r="G184" i="8" s="1"/>
  <c r="I178" i="8" l="1"/>
  <c r="N9" i="15" s="1"/>
  <c r="I101" i="8"/>
  <c r="N8" i="12" s="1"/>
  <c r="M178" i="8" l="1"/>
  <c r="G178" i="8" s="1"/>
  <c r="M136" i="8"/>
  <c r="G136" i="8" s="1"/>
  <c r="I136" i="8"/>
  <c r="O10" i="13" s="1"/>
  <c r="I120" i="8" l="1"/>
  <c r="N12" i="12" s="1"/>
  <c r="I124" i="8" l="1"/>
  <c r="O7" i="13" s="1"/>
  <c r="M124" i="8" l="1"/>
  <c r="G124" i="8" s="1"/>
  <c r="AB146" i="2"/>
  <c r="AK146" i="2" s="1"/>
  <c r="AN146" i="2" l="1"/>
  <c r="AN145" i="2" s="1"/>
  <c r="AN130" i="2" s="1"/>
  <c r="AN3" i="2" s="1"/>
  <c r="AK145" i="2"/>
  <c r="AK3" i="2" s="1"/>
  <c r="O46" i="8" s="1"/>
  <c r="AE146" i="2"/>
  <c r="O3" i="8" l="1"/>
  <c r="J3" i="7" s="1"/>
  <c r="G17" i="20" s="1"/>
  <c r="J5" i="7"/>
  <c r="AH146" i="2"/>
  <c r="AH145" i="2" s="1"/>
  <c r="AH130" i="2" s="1"/>
  <c r="I130" i="2" s="1"/>
  <c r="AH3" i="2" s="1"/>
  <c r="AE145" i="2"/>
  <c r="AE130" i="2" s="1"/>
  <c r="AE3" i="2" s="1"/>
  <c r="L46" i="8" s="1"/>
  <c r="L3" i="8" l="1"/>
  <c r="M3" i="7" s="1"/>
  <c r="E12" i="20" s="1"/>
  <c r="M5" i="7"/>
  <c r="M29" i="20"/>
  <c r="H34" i="20"/>
</calcChain>
</file>

<file path=xl/sharedStrings.xml><?xml version="1.0" encoding="utf-8"?>
<sst xmlns="http://schemas.openxmlformats.org/spreadsheetml/2006/main" count="18302" uniqueCount="2661">
  <si>
    <t>LINEA ESTRATEGICA/COMPONENTE IMPULSOR/ PROGRAMA/ PRODUCTO (INDICADOR)/ META PRODUCTO</t>
  </si>
  <si>
    <t>RESPONSABLE(S)</t>
  </si>
  <si>
    <t>VALORACIÓN PONDERACIÓN % (PROPUESTA)</t>
  </si>
  <si>
    <t>META PRODUCTO (PRODUCTO NUMERICO CUATRIENIO)</t>
  </si>
  <si>
    <t>PROGRAMADO NUMERICO META PRODUCTO 2024</t>
  </si>
  <si>
    <t>ESPERADO PORCENTUAL META PRODUCTO CUATRIENIO EN LA VIGENCIA 2024</t>
  </si>
  <si>
    <t>ESPERADO PORCENTUAL META PRODUCTO CUATRIENIO EN LA VIGENCIA 2024 (PONDERADOR)</t>
  </si>
  <si>
    <t>LOGRO  (%) META PRODUCTO RESPECTO AL PROGRAMADO 2024 CORTE DICIEMBRE</t>
  </si>
  <si>
    <t>LOGRO  (%) META PRODUCTO RESPECTO AL PROGRAMADO DICIEMBRE 2024 (PONDERADOR)</t>
  </si>
  <si>
    <t xml:space="preserve"> Seguridad Ciudadana y Orden Público 
</t>
  </si>
  <si>
    <t>Comandos Élites de la Policía Nacional para la seguridad y protección ciudadana equipados</t>
  </si>
  <si>
    <t>Equipar tres (3) Comandos Élites de la Policía Nacional para la seguridad y protección ciudadana</t>
  </si>
  <si>
    <t>SECRETARÍA DEL INTERIOR Y CONVIVENCIA CIUDADANA</t>
  </si>
  <si>
    <t xml:space="preserve">Equipos para la seguridad y la convivencia conformados
</t>
  </si>
  <si>
    <t xml:space="preserve">Conformar un (1) Equipo Interdisciplinario para articulación y coordinación de estrategias de seguridad y un (1) Equipo Operativo de Gestores de Convivencia
</t>
  </si>
  <si>
    <t>Organismos de Seguridad dotados y
con servicios en el marco del PISCC 2024-2027</t>
  </si>
  <si>
    <t>Dotar y proveer de servicios a cinco (5) organismos de seguridad en el marco del PISCC 2024-2027</t>
  </si>
  <si>
    <t>Centro de Procesamiento de Información Institucional y análisis situacional para el Seguimiento del Delito conformado</t>
  </si>
  <si>
    <t>Conformar un (1) Centro de Procesamiento de Información Institucional y análisis situacional para el Seguimiento del Delito</t>
  </si>
  <si>
    <t>Política Pública de Seguridad Humana Integral formulada</t>
  </si>
  <si>
    <t>Formular una (1) Política Pública de Seguridad Humana Integral</t>
  </si>
  <si>
    <t>Operativos anuales de protección, defensa, recuperación de bienes de uso público marino costero desarrollados</t>
  </si>
  <si>
    <t>Desarrollar diez (10) operativos anuales de protección, defensa, recuperación de bienes de uso público marino costero en el Distrito a través del ECOBLOQUE</t>
  </si>
  <si>
    <t>Estaciones de bomberos nuevas construidas</t>
  </si>
  <si>
    <t>Construir una (1) Estación de Bomberos regional nueva</t>
  </si>
  <si>
    <t>Estaciones de bomberos adecuadas</t>
  </si>
  <si>
    <t>Adecuar una (1) Estación de Bomberos</t>
  </si>
  <si>
    <t>Número de máquinas extintoras del Cuerpo de Bomberos para la atención de emergencias</t>
  </si>
  <si>
    <t>Incrementar a ocho (8) el número de máquinas extintoras del Cuerpo de Bomberos para la atención de emergencias</t>
  </si>
  <si>
    <t>Cámaras de seguridad mantenidas</t>
  </si>
  <si>
    <t>Mantener ochocientas setenta y nueve (879) cámaras</t>
  </si>
  <si>
    <t>DISTRISEGURIDAD</t>
  </si>
  <si>
    <t>Cámaras de seguridad instaladas</t>
  </si>
  <si>
    <t>Instalar ochocientas cuarenta y nueve (849) cámaras nuevas</t>
  </si>
  <si>
    <t>Sistemas de información para la seguidad implementados</t>
  </si>
  <si>
    <t>Equipos de seguridad adquiridos</t>
  </si>
  <si>
    <t xml:space="preserve">Adquirir ciento veinte  (120) equipos de comunicación para la seguridad (tipo radio, equipos celulares) 
</t>
  </si>
  <si>
    <t>Infraestructura para la promoción a la cultura de la legalidad y a la convivencia construida</t>
  </si>
  <si>
    <t xml:space="preserve">Construir cuatro (4) infraestructuras para la promoción de la cultura de la legalidad y la convivencia CAIs, subestaciones, estaciones, centro de inteligencia) 
</t>
  </si>
  <si>
    <t>Vehículos para la seguridad y convivencia entregados</t>
  </si>
  <si>
    <t>Entregar doscientos sesenta y ocho (268) vehículos para la seguridad (moto, camioneta, automóvil, camión, cuatrimotos, jet sky)</t>
  </si>
  <si>
    <t>Organismos de atención de emergencias en las playas equipados</t>
  </si>
  <si>
    <t>Equipar a cuatro (4) organismos de atención de emergencias en playas</t>
  </si>
  <si>
    <t>DISTRISEGURIDAD - SECRETARÍA DE TURISMO</t>
  </si>
  <si>
    <t>Infraestructura para seguridad y socorro en playas tipo Garitas</t>
  </si>
  <si>
    <t>Construir veinte (20) garitas nuevas para la seguridad en playas</t>
  </si>
  <si>
    <t>Numero de actores viales capacitados  en educación y cultura para la seguridad vial</t>
  </si>
  <si>
    <t>Formar a cien mil (100.000) actores viales en educación y cultura para la seguridad vial</t>
  </si>
  <si>
    <t>DATT</t>
  </si>
  <si>
    <t>Número de mujeres formadas y vinculadas como gestoras de educación, cultura y seguridad vial</t>
  </si>
  <si>
    <t>Formar y vincular a cuatrocientas (400) mujeres como gestoras de educación, cultura y seguridad vial</t>
  </si>
  <si>
    <t>Plan Local de Seguridad Vial actualizado e implementado</t>
  </si>
  <si>
    <t>Actualizar e implementar en su totalidad un (1) Plan Local de Seguridad Vial</t>
  </si>
  <si>
    <t>Número de instituciones educativas vinculadas al programa de Rutas Educativas Seguras</t>
  </si>
  <si>
    <t>Vincular a ciento ochenta (180) Instituciones Educativas al programa Rutas Educativas Seguras</t>
  </si>
  <si>
    <t xml:space="preserve">Construccion de paz, Derechos Humanos y Convivencia
</t>
  </si>
  <si>
    <t>Número de mujeres víctimas de VBG o en riesgo de padecerla atendidas en servicios de orientación psicosocial y jurídica</t>
  </si>
  <si>
    <t>Atender a cinco mil (5.000) mujeres víctimas de violencia basada en género o en riesgo de padecerla con servicios de orientación psicosocial y jurídica</t>
  </si>
  <si>
    <t>SECRETARÍA DE PARTICIPACIÓN Y DESARROLLO SOCIAL</t>
  </si>
  <si>
    <t>Número de mujeres víctimas de violencia, sus hijos e hijas y familia dependiente protegidas en la casa refugio</t>
  </si>
  <si>
    <t>Proteger doscientas (200) mujeres víctimas de violencia, sus hijos e hijas y familia dependiente en la casa refugio</t>
  </si>
  <si>
    <t>Número de campañas sobre nuevas masculinidades como estrategia de prevención y erradicación contra estereotipos nocivos de género ejecutadas</t>
  </si>
  <si>
    <t>Ejecutar cuatro (4) campañas sobre nuevas masculinidades como estrategia de prevención y erradicación contra estereotipos nocivos de género</t>
  </si>
  <si>
    <t>Mujeres víctimas del conflicto armado como constructoras de paz desde la prevención de las violencias basadas en género</t>
  </si>
  <si>
    <t>Vincular a doscientas (200) mujeres víctimas del conflicto armado como constructoras de paz en estrategias de prevención de las violencias basadas en género</t>
  </si>
  <si>
    <t>Número de acciones afirmativas ejecutadas para la asistencia y la atención de mujeres víctimas del conflicto armado</t>
  </si>
  <si>
    <t>Ejecutar una (1) acción afirmativa anual para la asistencia y la atención de mujeres víctimas del conflicto armado</t>
  </si>
  <si>
    <t>Centro de traslado para la protección inmediata de las mujeres víctimas de cualquier forma de violencias creado y en funcionamiento en el Distrito</t>
  </si>
  <si>
    <t>Crear y poner en funcionamiento un (1) Centro de Traslado por Protección-CTP en el Distrito</t>
  </si>
  <si>
    <t>Entornos urbanos para la convivencia recuperados y mantenidos</t>
  </si>
  <si>
    <t>Recuperar y mantener veinte (20) entornos urbanos para la convivencia en el Distrito</t>
  </si>
  <si>
    <t>Escuelas de formación para la convivencia ciudadana creadas</t>
  </si>
  <si>
    <t>Crear doce (12) escuelas de formación para la convivencia ciudadana en el Distrito</t>
  </si>
  <si>
    <t>Iniciativas para la promoción de la convivencia implementadas</t>
  </si>
  <si>
    <t>Implementar ocho (8) iniciativas para la promoción de la convivencia</t>
  </si>
  <si>
    <t>Número de Comisarías de Familia en operación en el Distrito</t>
  </si>
  <si>
    <t>Incrementar a ocho (8) el número de Comisarías de Familia operando en el Distrito</t>
  </si>
  <si>
    <t>Número de Comisarías de Familia móviles creadas y en operación en el Distrito</t>
  </si>
  <si>
    <t>Crear y poner en funcionamiento una (1) Comisaría de Familia móvil en el Distrito</t>
  </si>
  <si>
    <t>Número de mujeres vinculadas con la estrategia “Trasmallo de Mujeres Violetas por la Paz”</t>
  </si>
  <si>
    <t>Vincular a mil doscientos (1.200) mujeres con la estrategia “Trasmallo de Mujeres Violetas por la Paz”</t>
  </si>
  <si>
    <t>Sistemas de información local implementados para los operadores de justicia</t>
  </si>
  <si>
    <t>Implementar un (1) sistema de información local de las Comisarías de Familia del Distrito y un (1) sistema de información local de las Inspecciones de Policía</t>
  </si>
  <si>
    <t>Número de Casas de Justicia en operación en el Distrito</t>
  </si>
  <si>
    <t>Incrementar a cinco (5) el número de Casas de Justicia en operación en el Distrito</t>
  </si>
  <si>
    <t>Centros de Conciliación en Equidad y/o Derecho creados en las Casas de Justicia</t>
  </si>
  <si>
    <t>Crear cinco (5) Centros de Conciliación en Equidad y/o Derecho en las Casas de Justicia del Distrito</t>
  </si>
  <si>
    <t>Inspecciones de Policía dotadas técnica y operativamente</t>
  </si>
  <si>
    <t>Dotar treinta y tres (33) Inspecciones de Policía técnica, tecnológica y operativamente.</t>
  </si>
  <si>
    <t>Adolescentes y jóvenes vinculados con la estrategia “Laboratorios de Paz” para la prevención del reclutamiento, uso y utilización por parte de los GDO</t>
  </si>
  <si>
    <t>Vincular a dos mil quinientos (2.500) jóvenes a la estrategia “Laboratorios De Paz” para la prevención del reclutamiento por parte de los GDO</t>
  </si>
  <si>
    <t>Jornadas de mediación y desarme con grupos juveniles inmersos en dinámicas de violencia desarrolladas</t>
  </si>
  <si>
    <t>Desarrollar cuatro (4) jornadas de mediación y desarme con grupos juveniles inmersos en dinámicas de violencias</t>
  </si>
  <si>
    <t>Adolescentes y jóvenes vinculados a la estrategia “Proyectos de Vida Libres de Violencia” para la prevención del reclutamiento, uso y utilización por parte de los GDO</t>
  </si>
  <si>
    <t>Vincular a dos mil quinientos (2.500) adolescentes y jóvenes a la estrategia “Proyectos de Vida Libres de Violencia” para la prevención del reclutamiento, uso y utilización por parte de los GDO</t>
  </si>
  <si>
    <t>Estrategias de atención a adolescentes y jóvenes egresados del Sistema de Responsabilidad Penal Adolescentes implementadas</t>
  </si>
  <si>
    <t>Implementar cuatro (4) estrategias de atención a adolescentes y jóvenes egresados del Sistema de Responsabilidad Penal Adolescente</t>
  </si>
  <si>
    <t>Unidades productivas entregadas a personas víctimas del conflicto</t>
  </si>
  <si>
    <t>Entregar mil (1.000) unidades productivas a personas víctimas del conflicto</t>
  </si>
  <si>
    <t>Personas víctimas del conflicto que acceden a programas de atención psicosocial y salud mental</t>
  </si>
  <si>
    <t>Vincular a mil (1.000) personas víctimas del conflicto a programas de atención psicosocial y salud mental</t>
  </si>
  <si>
    <t>Personas víctimas con ayuda humanitaria inmediata</t>
  </si>
  <si>
    <t xml:space="preserve">Atender a la totalidad de personas víctimas que cumplan con los requisitos de ley para acceder a la medida de ayuda humanitaria inmediata 
</t>
  </si>
  <si>
    <t>Personas víctimas con ayuda inmediata mediante albergue</t>
  </si>
  <si>
    <t xml:space="preserve">Atender a la totalidad de personas víctimas que cumplan con los requisitos de ley para acceder a la medida de ayuda humanitaria inmediata mediante albergue 
</t>
  </si>
  <si>
    <t>Representante s de la mesa de víctimas en el Distrito con incentivos técnicos y logísticos para su participación.</t>
  </si>
  <si>
    <t>Mantener los incentivos técnicos y logísticos de participación a la totalidad de los representantes de la población víctima en la Mesa Distrital de Víctimas de Cartagena.</t>
  </si>
  <si>
    <t>Museo de Memoria Histórica onstruido y dotado</t>
  </si>
  <si>
    <t>Construir y dotar un (1) Museo de Memoria Histórica</t>
  </si>
  <si>
    <t>Monumento histórico construido en cumplimientoalauto A I068 de la JEP</t>
  </si>
  <si>
    <t>Construir un (1) monumento histórico en cumplimiento del auto AI 068 de la Jurisdicción Especial para la Paz</t>
  </si>
  <si>
    <t>Plan de retorno y reubicaciones de Villas de Aranjuez concertado e implementado</t>
  </si>
  <si>
    <t>Concertar e implementar un (1) Plan de Retorno y reubicación de Villas de Aranjuez</t>
  </si>
  <si>
    <t>Plan Distrital de prevención y protección de violaciones graves a los derechos humanos y derecho internacional humanitario implementado</t>
  </si>
  <si>
    <t>Implementar un (1) Plan Distrital de prevención y protección de violaciones graves a los derechos humanos y derecho internacional humanitario</t>
  </si>
  <si>
    <t>Plan de acción territorial - PAT actualizado , aprobado e implementado</t>
  </si>
  <si>
    <t>Actualizar, aprobar e implementar un (1) Plan de Acción Territorial -PAT</t>
  </si>
  <si>
    <t>Plan de Contingencia formulado</t>
  </si>
  <si>
    <t>formular 1 plan de Contingencia para la atención inmediata de víctima en el distrito de cartagena</t>
  </si>
  <si>
    <t>Plan integral de reparación colectiva de la liga de mujeres desplazadas concertado e implementado</t>
  </si>
  <si>
    <t>Implementar un (1) Plan Integral de Reparación Colectiva de la Liga de Mujeres Desplazadas</t>
  </si>
  <si>
    <t>Consejo de Paz , Reconciliación , Convivencia y DDHH en el Distrito de Cartagena con plan de acción implementado</t>
  </si>
  <si>
    <t>Implementar el plan de acción de un (1) Consejo de Paz, Reconciliación, Convivencia y DDHH en el Distrito</t>
  </si>
  <si>
    <t>Iniciativas de memoria histórica apoyadas</t>
  </si>
  <si>
    <t>Asistir ocho (8) iniciativas de memoria histórica</t>
  </si>
  <si>
    <t>Acciones de difusión de las recomendaciones de la Comisión para el esclarecimiento de la verdad , la convivencia y la no repetición implementadas</t>
  </si>
  <si>
    <t>Implementar cuatro (4) acciones de difusión de las recomendacio nes de la Comisión para el Esclarecimiento de la Verdad, la Convivencia y la no repetición</t>
  </si>
  <si>
    <t>Acciones de articulación con la Unidad de Búsqueda de Personas dadas por DesaparecidasUBPD implementadas</t>
  </si>
  <si>
    <t>Implementar ocho (8) acciones de articulación con la Unidad de Búsqueda de Personas dadas por Desaparecidas -UBPD para impulsar la búsqueda de personas dadas por desaparecidas en el marco del conflicto armado</t>
  </si>
  <si>
    <t>Medidas de satisfacción y memoria histórica ejecutadas</t>
  </si>
  <si>
    <t>Ejecutar dos (2) medidas de memoria histórica para población víctima</t>
  </si>
  <si>
    <t>Sede propia para la Mesa Distrital de Víctimas garantizada</t>
  </si>
  <si>
    <t>Garantizar una (1) Sede de mesa de propia para la mesa de Distrital de Victimas</t>
  </si>
  <si>
    <t>Estrategia de oferta de atención interinstitucional del Distrito en el Centro Regional de Atención a Víctimas implementada</t>
  </si>
  <si>
    <t>Implementar una (1) estrategia de oferta de atención interinstitucional del Distrito en el Centro Regional de Atención a Víctimas</t>
  </si>
  <si>
    <t>Estrategias de promoción de la garantía de derechos implementadas</t>
  </si>
  <si>
    <t>Implementar ocho (8) estrategias de promoción de la garantía de derechos</t>
  </si>
  <si>
    <t>Solicitudes de medidas de protección preventiva atendidas</t>
  </si>
  <si>
    <t>Atender la totalidad de las solicitudes de medidas de protección preventiva</t>
  </si>
  <si>
    <t>Grupos de gestores y gestoras de Derechos Humanos creados</t>
  </si>
  <si>
    <t>Crear nueve (9) grupos de gestores y gestoras de Derechos Humanos</t>
  </si>
  <si>
    <t>Casa de acogida para víctimas y sobrevivientes de la trata de personas y mendicidad forzada creada y en funcionamiento</t>
  </si>
  <si>
    <t>Crear y poner en funcionamiento una (1) casa de acogida para víctimas y sobrevivientes de la trata de personas y mendicidad forzada</t>
  </si>
  <si>
    <t>Número de estrategias implementadas para la prevención de casos de víctimas de trata de personas</t>
  </si>
  <si>
    <t>Implementar cuatro (4) estrategias de prevención de casos de víctimas de trata de personas en coordinación con los comités territoriales de lucha contra la trata de personas</t>
  </si>
  <si>
    <t>Instancias institucionales creadas para la atención y garantía del derecho de libertad religiosa en el Distrito</t>
  </si>
  <si>
    <t>Mantener una (1) instancia institucional para atención y garantía del derecho de libertad religiosa en el Distrito</t>
  </si>
  <si>
    <t>Población víctima y sobreviviente de la trata de personas atendida</t>
  </si>
  <si>
    <t>Atender a la totalidad de víctimas sobrevivientes de explotación sexual y de mendicidad forzada</t>
  </si>
  <si>
    <t>Personas en proceso de reintegración y reincorporación vinculadas para la reinserción social y comunitaria y de participación</t>
  </si>
  <si>
    <t>Vincular a ochenta y seis (86) personas en proceso de reintegración y reincorporación a beneficios para la reinserción social y comunitaria y de participación</t>
  </si>
  <si>
    <t>Ruta de protección preventiva para líderes amenazados en el Distrito implementada</t>
  </si>
  <si>
    <t>Implementar una (1) ruta de protección preventiva para líderes amenazados en el Distrito</t>
  </si>
  <si>
    <t>Establecimiento de reclusión distrital para personas privadas de la libertad femeninas y masculinas operando en un inmueble del Distrito</t>
  </si>
  <si>
    <t>Poner en operación un (1) establecimiento de reclusión distrital para personas privadas de la libertad femeninas y masculinas en un inmueble del Distrito</t>
  </si>
  <si>
    <t>Personas privadas de la libertad vinculadas a programas psicosociales</t>
  </si>
  <si>
    <t>Vincular a ciento cincuenta (150) personas privadas de la libertad a programas psicosociales</t>
  </si>
  <si>
    <t>Convenio con el INPEC suscrito anualmente</t>
  </si>
  <si>
    <t>Suscribir anualmente (1) convenio con el INPEC</t>
  </si>
  <si>
    <t xml:space="preserve"> Salud Pública y Aseguramiento
</t>
  </si>
  <si>
    <t>Número de usuarios con continuidad de la afiliación al régimen subsidiado en salud en el Distrito de Cartagena</t>
  </si>
  <si>
    <t>Mantener la continuidad anual de la afiliación a seiscientas setenta y nueve mil quinientas cincuenta y cinco (679.555) personas que están afiliados al régimen subsidiado en salud</t>
  </si>
  <si>
    <t>DEPARTAMENTO ADMINISTRATIVO DISTRITAL DE SALUD DADIS</t>
  </si>
  <si>
    <t>Número de personas nuevas afiliadas al sistema general de seguridad social en salud</t>
  </si>
  <si>
    <t>Afiliar a veinte mil (20.000) personas nuevas al Sistema General de Seguridad Social en Salud (con o sin SISBEN)</t>
  </si>
  <si>
    <t>Número de servicios de salud habilitados para atender Población No Asegurada</t>
  </si>
  <si>
    <t>Mantener habilitados ciento cuarenta y dos (142) servicios de salud anualmente para la red integrada de salud del Distrito</t>
  </si>
  <si>
    <t>Numero de equipos básicos de salud que operan en el Distrito monitoreados y evaluados</t>
  </si>
  <si>
    <t>Monitorear y evaluar a sesenta y dos (62) Equipos Básicos de Salud que operan en el Distrito</t>
  </si>
  <si>
    <t>Número de prestadores de servicios de salud con asistencia técnica de inspección, vigilancia y control para mejoramiento de la calidad de la atención en salud en IPS oncológicas, pediátricas y maternas</t>
  </si>
  <si>
    <t>Inspeccionar, vigilar y controlar a sesenta (60) prestadores de salud para mejoramiento de la calidad de la atención en salud en IPS oncológicas, pediátricas y maternas</t>
  </si>
  <si>
    <t>Centros de salud nuevos construidos para la protección y el aseguramiento en salud en el Distrito de Cartagena</t>
  </si>
  <si>
    <t>Construir dos (2) nuevos centros de salud en el distrito de Cartagena para la protección y el aseguramiento en salud</t>
  </si>
  <si>
    <t>SECRETARÍA DE INFRAESTRUCTURA - DEPARTAMENTO ADMINISTRATIVO DISTRITAL DE SALUD DADIS</t>
  </si>
  <si>
    <t>Número de personas con valoración clínica multidisciplinaria simultánea elaborada con resultado de condición de discapacidad</t>
  </si>
  <si>
    <t>Elaborar valoraciones clínicas multidisciplinaria del procedimiento de certificación de discapacidad y Registro de Localización y Certificación de Personas con Discapacidad a diez mil (10.000) personas del Distrito</t>
  </si>
  <si>
    <t xml:space="preserve">Número de personas pertenecientes a los grupos poblaciones vulnerables participantes en estrategias de promoción de la participación social en salud
</t>
  </si>
  <si>
    <t>Vincular a treinta mil (30.000) personas en estrategias de promoción de la participación social en salud con paridad de género (pertenecientes a los grupos poblaciones vulnerables</t>
  </si>
  <si>
    <t xml:space="preserve">Número de IPS asistidas con servicios del Plan de Emergencia Hospitalaria y desarrollo de capacidades en las competencias frente a las adaptaciones de posibles efectos de la variabilidad y el cambio climático 
</t>
  </si>
  <si>
    <t>Asistir anualmente a veintinueve (29) IPS con servicios del Plan de Emergencia Hospitalaria y desarrollo de capacidades en las competencias frente a las adaptaciones de posibles efectos de la variabilidad y el cambio climático</t>
  </si>
  <si>
    <t>Centro Regulador De Urgencias construido y dotado con tecnología de punta</t>
  </si>
  <si>
    <t>Construir y dotar un (1) Centro Regulador de Urgencias y Emergencias con tecnología de punta</t>
  </si>
  <si>
    <t>Número de procesos de gestión de la salud pública en el marco de la ruta integral para la promoción y mantenimiento de la salud implementados</t>
  </si>
  <si>
    <t>Implementar cuatro (4) procesos de gestión de la salud pública en el marco de la ruta integral para la promoción y mantenimiento de la salud</t>
  </si>
  <si>
    <t>Número de establecimientos farmacéuticos y similares  vigilados y controlados con enfoque de riesgo</t>
  </si>
  <si>
    <t>Vigilar y controlar anualmente con enfoque de riesgo a setecientos (700) establecimientos farmacéuticos y similares</t>
  </si>
  <si>
    <t>Número de tomas de muestras de agua elaboradas y visitas a objetos de interés de la calidad del agua para consumo humano y de diversión</t>
  </si>
  <si>
    <t>Realizar anualmente dos mil cien (2.100) tomas de muestras de agua y visitas a objetos de interés de Inspección, Vigilancia y Control Sanitario (IVCS) de la calidad del agua para consumo humano y de diversión</t>
  </si>
  <si>
    <t>Número de establecimientos de interés sanitario diferentes a establecimientos de medicamentos y alimentos, incluyendo motonaves y aeronaves vigilados y controlados</t>
  </si>
  <si>
    <t>Vigilar y controlar anualmente a siete mil seiscientos (7.600) establecimientos de interés sanitario diferentes a establecimientos de medicamentos y alimentos, incluyendo motonaves y aeronaves</t>
  </si>
  <si>
    <t xml:space="preserve">Número de animales vacunados contra la rabia
</t>
  </si>
  <si>
    <t>Vacunar anualmente noventa mil (90.000) animales contra la rabia</t>
  </si>
  <si>
    <t>Número de grupos de eventos de interés en salud pública con acciones de vigilancia en salud pública y vigilancia comunitaria elaboradas</t>
  </si>
  <si>
    <t>Elaborar anualmente acciones de vigilancia en salud pública y vigilancia comunitaria a diecisiete (17) grupos de eventos de interés en salud pública</t>
  </si>
  <si>
    <t>Número de entidades con acciones de salud pública en enfermedades cardiovasculares, huérfanas, diabetes mellitus, cáncer, salud visual, auditiva y salud bucal desarrolladas en diferentes entornos</t>
  </si>
  <si>
    <t>Desarrollar anualmente acciones de salud pública a doscientas cincuenta (250) entidades en enfermedades cardiovasculares, huérfanas, diabetes mellitus, cáncer, salud visual, auditiva y salud bucal en diferentes entornos</t>
  </si>
  <si>
    <t>Número de productos de la Política Distrital de Salud Mental y Política Nacional para la Prevención y Atención del Consumo de Sustancias Psicoactivas implementados</t>
  </si>
  <si>
    <t>Implementar los diecisiete (17) productos de la Política de Salud Mental y la Política Nacional para la Prevención y Atención del Consumo de Sustancias Psicoactivas</t>
  </si>
  <si>
    <t>Número de entidades de salud con acciones en Rutas Integrales de Atención en Salud relacionadas con las alteraciones nutricionales y promoción de las Guías Alimentarias Basadas en Alimentos</t>
  </si>
  <si>
    <t>Desarrollar anualmente acciones en cuarenta (40) entidades de salud de Rutas Integrales de Atención en Salud relacionadas con las alteraciones nutricionales y promoción de las Guías Alimentarias Basadas en Alimentos (GABAS)</t>
  </si>
  <si>
    <t>Número de establecimientos y transportadores de alimentos vigilados y controlados con enfoque de riesgo</t>
  </si>
  <si>
    <t>Vigilar y controlar anualmente con enfoque de riesgo a tres mil quinientos (3.500) establecimientos y transportadores de alimentos</t>
  </si>
  <si>
    <t>Número de acciones de salud pública desarrolladas para la promoción de la salud materna en entidades de salud y en el entorno comunitario</t>
  </si>
  <si>
    <t>Desarrollar anualmente noventa y cinco (95) acciones de salud pública para promoción de la salud materna en entidades de salud y entorno comunitario</t>
  </si>
  <si>
    <t>Número de acciones de salud pública desarrolladas para promoción de la salud sexual y reproductiva en entidades de salud, entorno comunitario y educativo.</t>
  </si>
  <si>
    <t>Desarrollar anualmente seiscientas setenta y cinco (675) acciones de salud pública para promoción de la salud sexual y reproductiva en entidades de salud, entorno comunitario y educativo, incluyendo el cumplimiento de sentencias como la C-055 de 2022 de la Corte Constitucional</t>
  </si>
  <si>
    <t>Número de niños y niñas menores de un año con seguimiento del esquema de vacunación de acuerdo a la edad desarrollado</t>
  </si>
  <si>
    <t>Desarrollar el seguimiento anual a la vacunación de catorce mil setecientos noventa y seis (14.796) niños y niñas menores de un año con todos los biológicos del esquema de acuerdo a la edad</t>
  </si>
  <si>
    <t>Número de componentes de la Estrategia de Gestión Integrada (EGI) de vectores desarrollada en los microterritorios priorizados</t>
  </si>
  <si>
    <t>Desarrollar anualmente los siete (7) componentes de la Estrategia de Gestión Integrada (EGI) de vectores en los microterritorios priorizados</t>
  </si>
  <si>
    <t>Número de salas de atención a enfermedades respiratorias agudas y Unidades de Atención Integral Comunitaria habilitadas</t>
  </si>
  <si>
    <t>Habilitar treinta (30) salas de atención a atención a enfermedades respiratorias agudas y habilitar dos (2) Unidades de Atención Integral Comunitaria en barrios y corregimientos priorizados para la prevención, manejo y control de la IRA y la EDA en los niños y niñas menores de 5 años</t>
  </si>
  <si>
    <t>Número de estrategias de salud infantil institucionales y comunitarias ejecutadas</t>
  </si>
  <si>
    <t>Ejecutar anualmente estrategias de salud infantil institucionales en setenta (70) instituciones prestadoras de salud priorizadas con servicios de atención materno – infantil y atención del recién nacido y ejecutar dos (2) estrategias comunitarias sobre AIEPI Comunitario y Cuidados del Recién Nacido en los diferentes entornos</t>
  </si>
  <si>
    <t xml:space="preserve">Número de entidades con acciones de salud pública elaboradas sobre prevención y control de la tuberculosis en los
diferentes entornos
</t>
  </si>
  <si>
    <t xml:space="preserve">Elaborar anualmente acciones de salud pública en setenta y cinco (75) entidades sobre prevención y control de la tuberculosis en los diferentes entornos
</t>
  </si>
  <si>
    <t>Número de entidades con acciones de salud pública elaboradas sobre prevención y control de la lepra y prevención de la discapacidad en los diferentes entornos</t>
  </si>
  <si>
    <t>Elaborar anualmente acciones de salud pública en setenta y cinco (75) entidades sobre prevención y control de la lepra y prevención de la discapacidad en los diferentes entornos</t>
  </si>
  <si>
    <t>Número de acciones de promoción de entornos de trabajo seguros y prevención de enfermedades y accidentes laborales elaboradas</t>
  </si>
  <si>
    <t>Elaborar setecientas veinte (720) acciones de promoción de entornos de trabajo seguros y prevención de enfermedades y accidentes laborales</t>
  </si>
  <si>
    <t>Estudios técnicos, financieros y ambientales elaborados para la construcción de un Nuevo Parque Cementerio Distrital, dentro de las áreas señaladas por el POT</t>
  </si>
  <si>
    <t>Elaborar un (1) estudio de un Nuevo Parque Cementerio Distrital</t>
  </si>
  <si>
    <t>SECRETARÍA GENERAL - APOYO LOGISTICO</t>
  </si>
  <si>
    <t>Acciones preventivas, correctivas, de modernización, restauración, construcción de bóvedas y/o nichos en los cementerios del distrito de Cartagena.</t>
  </si>
  <si>
    <t>Elaborar (4) acciones preventivas, correctivas, de modernización, restauración, construcción de bóvedas y/o nichos en los cementerios del distrito de Cartagena</t>
  </si>
  <si>
    <t>Sistemas tecnológicos de trámite de los servicios de cementerio implementados</t>
  </si>
  <si>
    <t>Implementar un (1) sistema tecnológico para trámites de servicios de cementerio</t>
  </si>
  <si>
    <t>Cementerio Santa Cruz de Manga con intervención para restauración arquitectónica</t>
  </si>
  <si>
    <t>Intervenir para mejoramiento y restauración arquitectónica un (1) Cementerio Santa Cruz de Manga</t>
  </si>
  <si>
    <t xml:space="preserve">Atención Integral a Grupos de Especial Protección
</t>
  </si>
  <si>
    <t>Personas mayores con atención en centros de vida</t>
  </si>
  <si>
    <t>Atender anualmente a cuatro mil ciento noventa y cuatro (4.194) personas mayores en los centros de vida</t>
  </si>
  <si>
    <t>Personas mayores que reciben atención en Grupos Organizados</t>
  </si>
  <si>
    <t>Atender anualmente cinco mil seiscientas ochenta y un (5.681) personas mayores en Grupos Organizados</t>
  </si>
  <si>
    <t>Personas mayores en estado de abandono y/o maltrato atendidas</t>
  </si>
  <si>
    <t>Atender ciento cincuenta (150) personas mayores permanentemente en estado de maltrato y/o abandono</t>
  </si>
  <si>
    <t>Centros de vida construidos y dotados</t>
  </si>
  <si>
    <t>Construir y dotar cuatro (4) centros de vida del Distrito</t>
  </si>
  <si>
    <t>Hogar geriátrico construido y dotado</t>
  </si>
  <si>
    <t>Construir y dotar un (1) hogar geriátrico para personas mayores en el Distrito</t>
  </si>
  <si>
    <t>Centros de vida para el adulto mayor adecuados</t>
  </si>
  <si>
    <t>Adecuar diez (10) Centros de Vida para el adulto mayor</t>
  </si>
  <si>
    <t xml:space="preserve">Ruta de atención a los adultos mayores maltratados o en estado de abandono actualizada y socializada
</t>
  </si>
  <si>
    <t xml:space="preserve">Actualizar y socializar una (1) ruta de atención a los adultos mayores maltratados o en estado de abandono
</t>
  </si>
  <si>
    <t>Programa Integral de Educación, Atención y Seguimiento para la Población Longeva y sus Cuidadores creado e implementado</t>
  </si>
  <si>
    <t>Crear e implementar un (1) Programa Integral de Educación, Atención y Seguimiento para la Población Longeva y sus Cuidadores</t>
  </si>
  <si>
    <t>Número de personas con discapacidad y sus cuidadoras atendidas con programas de la oferta institucional de la Secretaría de Participación y Desarrollo Social</t>
  </si>
  <si>
    <t>Atender a tres mil cuatrocientas cincuenta y dos (3.452) personas con discapacidad y sus cuidadoras con programas de la oferta institucional de la Secretaría de Participación y Desarrollo Social</t>
  </si>
  <si>
    <t>Espacios lúdicos inclusivos para NNA implementados en el Distrito</t>
  </si>
  <si>
    <t xml:space="preserve">Implementar cuatro (4) espacios lúdicos inclusivos para niños, niñas y adolescentes con discapacidad en el Distrito
</t>
  </si>
  <si>
    <t>Número de unidades productivas de personas con discapacidad y/o sus cuidadoras creadas y acompañadas</t>
  </si>
  <si>
    <t>Crear y/o acompañar doscientas (200) unidades productivas de personas con discapacidad y/o sus cuidadoras</t>
  </si>
  <si>
    <t>Caracterizaciones de la vocación productiva de personas con discapacidad y sus cuidadoras elaboradas</t>
  </si>
  <si>
    <t>Elaborar cuatro (4) caracterizaciones de la vocación productiva de personas con discapacidad y sus cuidadoras</t>
  </si>
  <si>
    <t>Empresas o emprendimientos de personas con discapacidad vinculados a eventos de interés del Distrito</t>
  </si>
  <si>
    <t>Vincular veinte (20) empresas o emprendimientos de personas con discapacidad a eventos de interés del Distrito</t>
  </si>
  <si>
    <t>Caracterizaciones anuales de ciudadanos habitantes de calle desarrolladas</t>
  </si>
  <si>
    <t>Desarrollar una (1) caracterización anual de ciudadanos habitantes de calle</t>
  </si>
  <si>
    <t>Jornadas de atención humanitaria de ciudadanos habitantes de calle implementadas</t>
  </si>
  <si>
    <t>Implementar cuarenta (40) jornadas de atención humanitaria a ciudadanos habitantes de calle</t>
  </si>
  <si>
    <t>Ciudadanos habitantes de calle atendidos en hogares de paso</t>
  </si>
  <si>
    <t>Atender anualmente ochenta (80) ciudadanos habitantes de calle en hogares de paso</t>
  </si>
  <si>
    <t>Ciudadanos habitantes de calle vinculados en procesos de rehabilitación y/o resocialización</t>
  </si>
  <si>
    <t>Vincular a ochenta (80) ciudadanos habitantes de calle en procesos de rehabilitación y/o resocialización</t>
  </si>
  <si>
    <t>Centro Intégrate mejorado técnica y tecnológicamente</t>
  </si>
  <si>
    <t>Mejorar técnica y tecnológicamente un (1) Centro Intégrate</t>
  </si>
  <si>
    <t>Número de jornadas extramurales de atención integral a la población migrante desarrolladas</t>
  </si>
  <si>
    <t>Desarrollar dos (2) jornadas extramurales anuales de atención integral a la población migrante</t>
  </si>
  <si>
    <t>Número de personas migrantes, retornados y de acogida, beneficiadas con asistencia técnica y acompañamiento productivo y empresarial desde la ruta de inclusión productiva</t>
  </si>
  <si>
    <t>Beneficiar a tres mil quinientas treinta y cuatro (3.534) personas migrantes, retornados y de acogida, con asistencia técnica y acompañamiento productivo y empresarial desde la ruta de inclusión productiva</t>
  </si>
  <si>
    <t>Número de personas migrantes, retornados y de acogida vinculadas laboralmente desde la ruta de inclusión productiva</t>
  </si>
  <si>
    <t>Vincular laboralmente a cincuenta y cinco (55) nuevos migrantes, retornados y de acogida desde la ruta de inclusión productiva</t>
  </si>
  <si>
    <t>Número de campañas de gestión del riesgo en temas de salud sexual y reproductiva a migrantes desarrolladas</t>
  </si>
  <si>
    <t>Desarrollar dos (2) campañas de gestión del riesgo en temas de salud reproductiva a migrantes</t>
  </si>
  <si>
    <t>Número de migrantes, retornados y de acogida vinculados al programa de atención al migrante</t>
  </si>
  <si>
    <t>Vincular a diez mil seiscientos (10.600) migrantes, retornados y de acogida al programa de atención al migrante</t>
  </si>
  <si>
    <t>Número de personas LGBTIQ+ asistidas para acceder a programas de formación para el trabajo y de educación técnica y tecnológica</t>
  </si>
  <si>
    <t>Asistir a quinientas (500) personas LGBTIQ+ para acceder a programas de formación para el trabajo y de educación técnica y tecnológica</t>
  </si>
  <si>
    <t>Numero de emprendimientos, negocios y/o proyectos productivos liderados por personas con orientaciones sexuales e identidades de género diversas financiados</t>
  </si>
  <si>
    <t>Financiar doscientos (200) emprendimientos, negocios y/o proyectos productivos liderados por personas con orientaciones sexuales e identidades de género diversas.</t>
  </si>
  <si>
    <t>Número de rutas de atención integral de violencias basadas en orientación sexual e identidad de género creadas</t>
  </si>
  <si>
    <t>Crear una (1) ruta de atención integral de violencias basadas en orientación sexual e identidad de género</t>
  </si>
  <si>
    <t xml:space="preserve">Número de procesos de sensibilización a diferentes comunidades para propiciar la transformación de imaginarios sociales frente a personas con orientaciones sexuales e identidades de género diversas y sectores LGBTIQ+ implementados 
</t>
  </si>
  <si>
    <t>Implementar ocho (8) procesos de sensibilización a diferentes comunidades para propiciar la transformación de imaginarios sociales frente a personas con orientaciones sexuales e identidades de género diversas y sectores LGBTIQ+</t>
  </si>
  <si>
    <t>Número de campañas de promoción y prevención de la salud, salud sexual y reproductiva y salud mental dirigida a personas con orientaciones sexuales e identidades de género diversas y sectores LGBTIQ+ desarrolladas</t>
  </si>
  <si>
    <t>Desarrollar ocho (8) campañas de promoción y prevención de la salud, salud sexual y reproductiva y salud mental dirigida a personas con orientaciones sexuales e identidades de género diversas y sectores LGBTIQ+</t>
  </si>
  <si>
    <t>Alianzas público-populares con organizaciones de cuidado comunitario Creadas</t>
  </si>
  <si>
    <t>Crear cuatro (4) alianzas público-populares con organizaciones de cuidado comunitario (1 al año)</t>
  </si>
  <si>
    <t>Ruta del cuidado con una canasta de servicios en articulación del sector público y privado para cuidadores y agentes del cuidado diseñada e implementada</t>
  </si>
  <si>
    <t>Diseñar e implementar una (1) ruta del cuidado con una canasta de servicios en articulación del sector público y privado para cuidadores y agentes del cuidado e implementar un (1) plan piloto en el barrio Huellas de Alberto Uribe</t>
  </si>
  <si>
    <t>Acciones de transformación cultural para la democratización del cuidado (nuevas masculinidades) creadas</t>
  </si>
  <si>
    <t>Crear cuatro (4) acciones de transformación cultural para la democratización del cuidado (nuevas masculinidades)</t>
  </si>
  <si>
    <t>Sistema Distrital de Cuidado diseñado, estructurado e implementado</t>
  </si>
  <si>
    <t>Diseñar, estructurar e implementar un (1) Sistema Distrital de Cuidado</t>
  </si>
  <si>
    <t xml:space="preserve">Superación de la pobreza extrema y soberanía alimentaria
</t>
  </si>
  <si>
    <t>Número de personas con el derecho a la identificación garantizado</t>
  </si>
  <si>
    <t>Garantizar el derecho a la identificación de dieciséis mil (16.000) persona</t>
  </si>
  <si>
    <t>PLAN DE EMERGENCIA SOCIAL - PES</t>
  </si>
  <si>
    <t>Número de personas con situación militar definidas acompañadas por la estrategia PES</t>
  </si>
  <si>
    <t>Acompañar a dos mil doscientos (2.200) personas en la definición de su situación militar</t>
  </si>
  <si>
    <t>Número de personas en pobreza extrema, víctimas del conflicto armado, migrantes y retornados afiliadas  al Sistema General de Seguridad Social.</t>
  </si>
  <si>
    <t>Coordinar la afiliación para cinco mil (5000) personas en Pobreza Extrema, víctimas del conflicto armado, migrantes y retornados al Sistema General de Seguridad Social</t>
  </si>
  <si>
    <t>Número de personas en pobreza extrema formadas en asuntos de Salud Integral</t>
  </si>
  <si>
    <t>Formar en asuntos de salud integral a doce mil (12.000) personas en condición de pobreza extrema</t>
  </si>
  <si>
    <t>Caracterización de los Consejos Comunitarios y Cabildo para el fortalecimiento de la práctica de medicina ancestral elaborada</t>
  </si>
  <si>
    <t>Elaborar una (1) caracterización de los Consejos Comunitarios y Cabildo para el fortalecimiento de la práctica de medicina ancestral</t>
  </si>
  <si>
    <t>Niños, niñas y adolescentes en pobreza extrema que se encuentra por fuera del sistema educativo vincular</t>
  </si>
  <si>
    <t>Vincular cinco mil quinientos cincuenta y seis (5.556) niños, niñas y adolescentes en pobreza extrema desescolarizados al sistema educativo.</t>
  </si>
  <si>
    <t>Número de jóvenes y adultos en pobreza extrema con acceso  a educación técnica.</t>
  </si>
  <si>
    <t>Vincular catorce mil (14.000) jóvenes y adultos en pobreza extrema en programas de  acceso  a educación técnica.</t>
  </si>
  <si>
    <t>Familias formadas sobre el valor de la educación</t>
  </si>
  <si>
    <t xml:space="preserve">Formar a veinticinco mil familias (25.000) sobre el valor de la educación 
</t>
  </si>
  <si>
    <t>Instituciones Educativas Oficiales del Distrito con programas de retención escolar implementados</t>
  </si>
  <si>
    <t>Implementar programas de retención escolar en cincuenta (50) Instituciones Educativas Oficiales</t>
  </si>
  <si>
    <t>Número de vivienda en sectores en pobreza extrema del Distrito de Cartagena mejoradas.</t>
  </si>
  <si>
    <t>Mejorar cinco mil (5.000) unidades de vivienda en sectores en pobreza extrema del Distrito de Cartagena</t>
  </si>
  <si>
    <t>Número de familias en situación de pobreza extrema dotadas con capital de trabajo y formación empresarial</t>
  </si>
  <si>
    <t>Dotar con capital de trabajo y formación empresarial a ocho mil (8.000) familias en pobreza extrema</t>
  </si>
  <si>
    <t>Centro de Oportunidades para el Empleo del Distrito de Cartagena creado</t>
  </si>
  <si>
    <t>Crear un (1) Centro de Oportunidades para el Empleo en el Distrito de Cartagena</t>
  </si>
  <si>
    <t>Número de emprendimientos y/o unidades productivas apoyadas técnica o financieramente</t>
  </si>
  <si>
    <t>Apoyar técnica y financieramente a tres mil ochocientos (3.800) emprendimientos y/o unidades productivas</t>
  </si>
  <si>
    <t>Organizaciones de economía popular integradas por población de pobreza extrema en economía solidaria impactadas</t>
  </si>
  <si>
    <t>Impactar a ochenta (80) organizaciones de economía popular integradas por población de pobreza extrema en economía solidaria</t>
  </si>
  <si>
    <t>Número de personas en pobreza extrema con vinculación de empleo formal gestionada</t>
  </si>
  <si>
    <t>Gestionar la vinculación de empleo formal para tres mil doscientas (3.200) personas en pobreza extrema (al menos 50% mujeres)</t>
  </si>
  <si>
    <t>Personas en pobreza extrema vinculadas  al sistema financiero.</t>
  </si>
  <si>
    <t>Vincular veinte mil (20.000) Personas en pobreza extrema vinculadas  al sistema financiero.</t>
  </si>
  <si>
    <t>Número de familias en situación de pobreza extrema con acceso a créditos financieros</t>
  </si>
  <si>
    <t>Lograr acceso a crédito financiero para tres mil (3.000) familias en pobreza extrema</t>
  </si>
  <si>
    <t>Miembros de familia en el Distrito de Cartagena sensibilizadas en prevención al consumo de sustancias psicoactivas.</t>
  </si>
  <si>
    <t>Formar mil noventa y dos (1.092) nuevos miembros de familias en el Distrito de Cartagena en prevención al consumo de sustancias psicoactivas</t>
  </si>
  <si>
    <t>Estrategia de prevención de violencia basada en género y violencia intrafamiliar desarrollada.</t>
  </si>
  <si>
    <t>Implementar cuatro (4) estrategias de prevención de violencia basada en género y violencia intrafamiliar para familias en pobreza extrema</t>
  </si>
  <si>
    <t>Talleres lúdicos recreativos para generar códigos de convivencia con organizaciones de base comunitaria coordinados y elaborados.</t>
  </si>
  <si>
    <t>Coordinar y elaborar ciento cincuenta (150) talleres lúdicos recreativos para generar códigos de convivencia con organizaciones de base comunitaria</t>
  </si>
  <si>
    <t>Niños en primera infancia, personas mayores y población con discapacidad atendidos con la estrategia de ollas comunitarias</t>
  </si>
  <si>
    <t>Atender diez mil (10.000) niños en primera infancia, personas mayores y población con discapacidad con la estrategia de ollas comunitarias</t>
  </si>
  <si>
    <t>Numero de Mercados campesinos  realizados</t>
  </si>
  <si>
    <t>Realizar noventa y seis (96) eventos de Mercados campesinos</t>
  </si>
  <si>
    <t>Número de personas atendidas  Estrategia Guerra Frontal contra el Hambre</t>
  </si>
  <si>
    <t>Atender a cincuenta y un mil (51.000) personas con la estrategia Hambre Cero</t>
  </si>
  <si>
    <t>Numero de rutas de atención que permitan la atención oportuna para garantizar derechos y resolver conflictos creados</t>
  </si>
  <si>
    <t>Crear diecisiete (17) rutas de atención que permitan la atención oportuna para garantizar derechos y resolver conflictos</t>
  </si>
  <si>
    <t>Estrategias de comunicación para dar a conocer las rutas del Plan de Emergencia Social implementadas</t>
  </si>
  <si>
    <t>Implementar cuatro (4) estrategias de comunicación para dar a conocer las rutas del Plan de Emergencia Social</t>
  </si>
  <si>
    <t>Jornadas de atención integral a la comunidad "Gobierno al Barrio" desarrolladas.</t>
  </si>
  <si>
    <t>Desarrollar ciento veinte (120) jornadas de atención integral a la comunidad "Gobierno al Barrio".</t>
  </si>
  <si>
    <t>Número de jornadas de diálogos y gobernanzas desarrolladas</t>
  </si>
  <si>
    <t>Desarrollar setenta y dos (72) jornadas de diálogos y gobernanza en el Distrito de Cartagena a través de la estrategia “Encuentros Barriales”</t>
  </si>
  <si>
    <t>Número de puntos de atención habilitados de Renta Ciudadana, Renta Joven y Colombia Mayor</t>
  </si>
  <si>
    <t>Habilitar trece (13) puntos de atención para garantizar la atención de los beneficiarios y la operatividad del programa</t>
  </si>
  <si>
    <t>SECRETARÍA GENERAL - COORDINACIÓN RENTA CIUDADANA</t>
  </si>
  <si>
    <t>Número de jornadas complementarias para la atención y bienestar comunitario desarrolladas</t>
  </si>
  <si>
    <t>Desarrollar cuarenta y ocho (48) jornadas complementarias para la atención y bienestar comunitario</t>
  </si>
  <si>
    <t>Plan Maestro de Infraestructura Educativa formulado e implementado</t>
  </si>
  <si>
    <t>Formular un (1) Plan Maestro de Infraestructura Educativa</t>
  </si>
  <si>
    <t>SECRETARÍA DE EDUCACIÓN - SED</t>
  </si>
  <si>
    <t>Número de predios de IEO legalizados</t>
  </si>
  <si>
    <t>Legalizar sesenta (60) predios de Instituciones Educativas Oficiales</t>
  </si>
  <si>
    <t>Número de nuevas Instituciones Educativas Oficiales construidas</t>
  </si>
  <si>
    <t>Construir cinco (5) nuevas Instituciones Educativas Oficiales</t>
  </si>
  <si>
    <t>Número de sedes educativas reconstruidas y/o con ampliación de la infraestructura</t>
  </si>
  <si>
    <t>Reconstruir y/o ampliar quince (15) sedes educativas</t>
  </si>
  <si>
    <t>Número de sedes educativas mejoradas y/o adecuadas</t>
  </si>
  <si>
    <t>Mejorar y/o adecuar ochenta (80) sedes educativas</t>
  </si>
  <si>
    <t>Número de aulas con dotación de mobiliario escolar y material pedagógico</t>
  </si>
  <si>
    <t>Dotar mil (1.000) aulas con mobiliario escolar, aires acondicionados, abanicos y material pedagógico</t>
  </si>
  <si>
    <t>Número de Instituciones Educativas Oficiales con oferta de educación inicial para la atención a la primera infancia implementada</t>
  </si>
  <si>
    <t>Implementar encuarenta (40) IEO con oferta de educación inicial para la atención de la primera infancia</t>
  </si>
  <si>
    <t>Número de Instituciones Educativas Oficiales asesoradas con estrategias de articulación institucional para asegurar el tránsito armónico de niños y niñas desde los programas de atención a la primera infancia del ICBF al sistema educativo oficial</t>
  </si>
  <si>
    <t>Asesorar a ciento cinco (105) Instituciones Educativas Oficiales con estrategias de articulación institucional para asegurar el tránsito armónico de los niños y niñas desde los programas de atención a la primera infancia del ICBF al sistema educativo oficial</t>
  </si>
  <si>
    <t>Numero de niños, niñas y adolescentes focalizados con estrategias para el acceso al sistema educativo oficial</t>
  </si>
  <si>
    <t>Vincular a dos mil trescientos noventa (2.390) niños, niñas y adolescentes adicionales con estrategias para el acceso al sistema educativo oficial</t>
  </si>
  <si>
    <t>Número de estudiantes de Instituciones Educativas Oficiales atendidos con Programa de Alimentación Escolar como estrategia de permanencia</t>
  </si>
  <si>
    <t>Atender a ciento seis mil cuatrocientos ochenta y siete (106.487) estudiantes anualmente con el Programa de Alimentación Escolar como estrategia de permanencia</t>
  </si>
  <si>
    <t>Número de estudiantes de Instituciones Educativas Oficiales atendidos con transporte escolar</t>
  </si>
  <si>
    <t>Atender a cinco mil quinientos (5.500) estudiantes anualmente con transporte escolar</t>
  </si>
  <si>
    <t>Número de estudiantes de Instituciones Educativas Oficiales atendidos con otras estrategias de permanencia (kits escolares, uniformes, y jornadas escolares complementarias)</t>
  </si>
  <si>
    <t>Atender a diez mil (10.000) estudiantes anualmente con otras estrategias de permanencia</t>
  </si>
  <si>
    <t>Planes Institucionales de Permanencia Escolar – PIPE, formulados e implementados en Instituciones Educativas Oficiales</t>
  </si>
  <si>
    <t>Formular e implementar Planes Institucionales de Permanencia Escolar - PIPE en cuarenta y cinco (45) Instituciones Educativas Oficiales</t>
  </si>
  <si>
    <t>Número de Instituciones Educativas Oficiales vinculadas a estrategias para el fortalecimiento de la oferta de educación inclusiva para preescolar, básica y media</t>
  </si>
  <si>
    <t>Vincular a setenta y dos (72) Instituciones Educativas Oficiales a estrategias para el fortalecimiento de la oferta de educación inclusiva para preescolar, básica y media</t>
  </si>
  <si>
    <t>Número de aulas hospitalarias para la atención de niños, niñas, adolescentes y jóvenes en condición de enfermedad habilitadas</t>
  </si>
  <si>
    <t>Habilitar cuatro (4) Aulas Hospitalarias para la atención de niños, niñas, adolescentes y jóvenes en condición de enfermedad</t>
  </si>
  <si>
    <t>Número de Instituciones Educativas Oficiales con modelos educativos flexibles implementados</t>
  </si>
  <si>
    <t>Implementar veintisiete (27) Instituciones Educativas Oficiales con modelos educativos flexibles</t>
  </si>
  <si>
    <t>Número de niños, niñas, adolescentes y jóvenes en extraedad, que se encuentran dentro de la oferta regular, atendidos con modelos educativos flexibles en el sistema educativo oficial</t>
  </si>
  <si>
    <t>Atender con modelos educativos flexibles a cuatro mil (4.000) niños, niñas, adolescentes y jóvenes en extraedad, que se encuentran dentro de la oferta regular del sistema educativo oficial</t>
  </si>
  <si>
    <t>Número de niños, niñas, adolescentes y jóvenes en extraedad, que se encuentran por fuera del sistema educativo oficial, atendidos con modelos educativos flexibles</t>
  </si>
  <si>
    <t>Atender con modelos educativos flexibles a tres mil seiscientos noventa (3.690) niños, niñas, adolescentes y jóvenes en extraedad, que se encuentran por fuera del sistema educativo oficial</t>
  </si>
  <si>
    <t>Número de personas atendidas con modelos de alfabetización</t>
  </si>
  <si>
    <t>Atender a ocho mil cuatrocientas (8.400) personas con modelos de alfabetización</t>
  </si>
  <si>
    <t>Número de Instituciones Educativas Oficiales con estudiantes con capacidades excepcionales vinculados a Escuela de Talentos</t>
  </si>
  <si>
    <t>Vincular estudiantes con capacidades excepcionales a la Escuela de Talentos en cincuenta (50) Instituciones Educativas Oficiales</t>
  </si>
  <si>
    <t>Número de Instituciones Educativas Oficiales con proyectos pedagógicos transversales de cultura, deporte, recreación, actividad física y artes implementados</t>
  </si>
  <si>
    <t>Implementar proyectos pedagógicos transversales de cultura, deporte, recreación, actividad física y artes en cincuenta y nueve (59) Instituciones Educativas Oficiales</t>
  </si>
  <si>
    <t>Número de Instituciones Educativas Oficiales con proyectos pedagógicos transversales de educación ambiental, emprendimiento y otros implementados</t>
  </si>
  <si>
    <t>Implementar proyectos pedagógicos transversales de educación ambiental, emprendimiento y otros en cincuenta y nueve (59) Instituciones Educativas Oficiales</t>
  </si>
  <si>
    <t>Numero de Instituciones Educativas Oficiales asistidas en su sistema escolar de convivencia, habilidades para la vida y la paz y gobierno escolar</t>
  </si>
  <si>
    <t>Asistir a ciento siete (107) Instituciones Educativas Oficiales en su sistema escolar de convivencia, habilidades para la vida y la paz y gobierno escolar</t>
  </si>
  <si>
    <t>Número de Instituciones Educativas Oficiales que implementan el Acuerdo Distrital No. 113 de 2022</t>
  </si>
  <si>
    <t>Implementar el Acuerdo Distrital No. 113 de 2022 en ciento siete (107) Instituciones Educativas Oficiales, de formación en derechos humanos de las mujeres y prevención de las violencias de género, dirigido a niñas, niños y jóvenes</t>
  </si>
  <si>
    <t>Numero de Instituciones Educativas Oficiales asistidas técnicamente en el proceso de tránsito de Proyecto Educativo Institucional – PEI a Proyecto Educativo Comunitario - PEC o Proyecto Educativo Intercultural acorde con la pertinencia con respecto a la caracterización y perfil educativo del territorio</t>
  </si>
  <si>
    <t>Asitir tecnicamente a trece (13) Instituciones Educativas Oficiales en el proceso de tránsito de Proyecto Educativo Institucional – PEI a Proyecto Educativo Comunitario - PEC o Proyecto Educativo Intercultural</t>
  </si>
  <si>
    <t>Número de Instituciones Educativas Oficiales con Cátedra de Estudios Afrocolombianos (CEA) implementada</t>
  </si>
  <si>
    <t>Implementar la Cátedra de Estudios Afrocolombianos (CEA) en seis (6) Instituciones Educativas Oficiales adicionales</t>
  </si>
  <si>
    <t>Número de Instituciones Educativas Oficiales acompañadas en el fortalecimiento de la enseñanza de lenguas extranjeras, especialmente las focalizadas en los Colegios Amigos del Turismo</t>
  </si>
  <si>
    <t>Acompañar a cincuenta y cinco (55) Instituciones Educativas Oficiales en el fortalecimiento de la enseñanza de lenguas extranjeras, especialmente las focalizadas en los Colegios Amigos del Turismo</t>
  </si>
  <si>
    <t>Número de docentes formados en una segunda lengua</t>
  </si>
  <si>
    <t>Formar a seiscientos (600) docentes en una segunda lengua</t>
  </si>
  <si>
    <t>Número de docentes formados en evaluación por competencias en las áreas que evalúa el ICFES</t>
  </si>
  <si>
    <t>Formar a seiscientos (600) docentes en evaluación por competencias en las áreas que evalúa el ICFES</t>
  </si>
  <si>
    <t>Número de estudiantes de grado 9, 10 y 11 formados para las Pruebas Saber</t>
  </si>
  <si>
    <t>Desarrollar setenta y ocho mil doscientos (78.200) formaciones a estudiantes de grado 9, 10 y 11 de las 107 Instituciones Educativas Oficiales en procesos de preparación para las Pruebas Saber</t>
  </si>
  <si>
    <t>Número de Instituciones Educativas Oficiales asesoradas en el análisis y uso de resultados de Pruebas Saber</t>
  </si>
  <si>
    <t>Asesorar técnicamente a sesenta y dos (62) nuevas Instituciones Educativas Oficiales en el análisis y uso de resultados de Pruebas Saber</t>
  </si>
  <si>
    <t>Número de Instituciones Educativas Oficiales con Plan Institucional de Lectura, Escritura y Oralidad (PILEO) implementado</t>
  </si>
  <si>
    <t>Implementar el Plan Institucional de Lectura, Escritura y Oralidad en ochenta y siete (87) Instituciones Educativas Oficiales</t>
  </si>
  <si>
    <t>Número de Instituciones Educativas Oficiales dotadas con material bibliográfico</t>
  </si>
  <si>
    <t>Dotar las bibliotecas escolares de ochenta y seis (86) Instituciones Educativas Oficiales con material bibliográfico</t>
  </si>
  <si>
    <t>Red de Bibliotecas Escolares integrada al sistema de bibliotecas públicas creada</t>
  </si>
  <si>
    <t>Crear una (1) Red de Bibliotecas Escolares integrada al sistema de bibliotecas públicas</t>
  </si>
  <si>
    <t>Ferias Distritales de Radio Escolar desarrolladas</t>
  </si>
  <si>
    <t>Desarrollar cuatro (4) Ferias Distritales de Radio Escolar</t>
  </si>
  <si>
    <t>Número de Instituciones Educativas Oficiales dotadas con materiales y equipos radiofónicos</t>
  </si>
  <si>
    <t>Dotar con material y equipo radiofónico a treinta (30) Instituciones Educativas Oficiales adicionales para la implementación de la radio escolar</t>
  </si>
  <si>
    <t>Número de Instituciones Educativas Oficiales que mejoran en resultados de pruebas - EGRA (Early Grade Reading Assessment)</t>
  </si>
  <si>
    <t>Mejorar en quince (15) Instituciones Educativas las destrezas básicas de alfabetismo en básica primaria medidos a través de EGRA</t>
  </si>
  <si>
    <t>Número de Instituciones Educativas Oficiales que mejoran en resultados de pruebas - EGMA (Early Grades Mathematics Assessment)</t>
  </si>
  <si>
    <t>Mejorar en quince (15) Instituciones Educativas las habilidades en matemáticas de las pruebas EGMA</t>
  </si>
  <si>
    <t>Número de docentes de Instituciones Educativas Oficiales formados en su saber disciplinar, pedagógico y reflexivo</t>
  </si>
  <si>
    <t>Formar a dos mil (2.000) docentes de Instituciones Educativas Oficiales en su saber disciplinar, pedagógico y reflexivo</t>
  </si>
  <si>
    <t>Número de directivos docentes formados en liderazgo</t>
  </si>
  <si>
    <t>Formar a ciento siete (107) rectores de Instituciones Educativas Oficiales en liderazgo y gestión educativa</t>
  </si>
  <si>
    <t>Número de foros educativos distritales anuales elaborados</t>
  </si>
  <si>
    <t>Elaborar cuatro (4) foros educativos en el cuatrienio</t>
  </si>
  <si>
    <t>Numero de Instituciones Educativas Oficiales, con asistencia tecnica en el proceso de actualización de sus modelos pedagógicos y curriculares</t>
  </si>
  <si>
    <t>Asistir tecnicamente a ciento siete (107) Instituciones Educativas Oficiales en el proceso de actualización de sus modelos pedagógicos y curriculares</t>
  </si>
  <si>
    <t>Sistema propio de información de la Gestión Escolar diseñado</t>
  </si>
  <si>
    <t>Crear un (1) sistema de información de la Gestión Escolar</t>
  </si>
  <si>
    <t>Referentes técnicos de educación inicial y preescolar incorporados en PEI de instituciones educativas que ofertan los grados prejardín, jardín y transición</t>
  </si>
  <si>
    <t>Incorporar los referentes técnicos de educación inicial y preescolar en los PEI de cuarenta (40) instituciones educativas que ofertan los grados prejardín, jardín y transición</t>
  </si>
  <si>
    <t>Número de estudiantes egresados de Instituciones Educativas Oficiales y con matrícula contratada becados en educación superior</t>
  </si>
  <si>
    <t>Becar en educación superior a nueve mil (9.000) estudiantes egresados de Instituciones Educativas Oficiales y con matrícula contratada</t>
  </si>
  <si>
    <t>Número de estudiantes egresados de Instituciones Educativas Oficiales y con matrícula contratada becados con becas inclusivas en educación superior (víctimas, NARP, con discapacidad, indígenas)</t>
  </si>
  <si>
    <t>Becar en educación superior a quinientas cuarenta y cuatro (544) estudiantes egresados de Instituciones Educativas Oficiales y con matrícula contratada, con becas inclusivas</t>
  </si>
  <si>
    <t>Número de estudiantes de media técnica graduados con doble titulación</t>
  </si>
  <si>
    <t>Graduar doce mil (12.000) estudiantes de media técnica con doble titulación</t>
  </si>
  <si>
    <t>Número de Instituciones Educativas Oficiales con media técnica y académicas con doble titulación implementada</t>
  </si>
  <si>
    <t>Implementar doble titulación en veinticinco (25) Instituciones Educativas Oficiales con media técnica e Instituciones Educativas Oficiales académicas</t>
  </si>
  <si>
    <t>Numero de Instituciones Educativas Oficiales con nodos de media técnica asistidas con programas pilotos de bilingüismo</t>
  </si>
  <si>
    <t>Asistir con programas piloto de bilingüismo a cinco (5)
Instituciones Educativas Oficiales con nodos de media técnica</t>
  </si>
  <si>
    <t>Número de estudiantes con formación técnica para el trabajo y el desarrollo humano</t>
  </si>
  <si>
    <t>Formar a quinientos (500) estudiantes en educación técnica para el trabajo y el desarrollo humano</t>
  </si>
  <si>
    <t>Número de voluntarios universitarios que acompañan a los estudiantes de las Instituciones Educativas Oficiales en el fortalecimiento de sus competencias</t>
  </si>
  <si>
    <t>Vincular a doscientos (200) voluntarios universitarios para acompañamiento a los estudiantes de las Instituciones Educativas Oficiales en el fortalecimiento de sus competencias</t>
  </si>
  <si>
    <t>PROGRAMA: AVANZAMOS EN EL FORTALECIMIENTO INSTITUCIONAL DE LA SECRETARÍA DE EDUCACIÓN</t>
  </si>
  <si>
    <t>Numero de políticas armonizadas del Modelo Integrado de Planeación y Gestión – MIPG en la SED</t>
  </si>
  <si>
    <t>Armonizar las diecinueve (19) políticas del Modelo Integrado de Planeación y Gestión - MIPG en la Secretaría de Educación</t>
  </si>
  <si>
    <t>Sistema de seguimiento y aseguramiento de la calidad del servicio educativo a través del ejercicio de la inspección y vigilancia, diseñado e implementado</t>
  </si>
  <si>
    <t>Diseñar e implementar un (1) sistema de seguimiento y aseguramiento a la calidad del servicio educativo a través del ejercicio de la inspección, vigilancia y control</t>
  </si>
  <si>
    <t>Plan de Bienestar y Protección para los funcionarios del sector educativo de Cartagena implementado</t>
  </si>
  <si>
    <t>Implementar un (1) Plan de Bienestar y Protección otorgados a los Funcionarios del Sector Educativo de Cartagena</t>
  </si>
  <si>
    <t>Reorganización administrativa y de procesos de la Secretaría de Educación diseñada, aprobada e implementada</t>
  </si>
  <si>
    <t>Diseñar, aprobar e implementar una (1) nueva estructura administrativa y de procesos de la Secretaría de Educación</t>
  </si>
  <si>
    <t>Número de sedes educativas con conectividad escolar implementada</t>
  </si>
  <si>
    <t>Implementar conectividad escolar en ciento cincuenta (150) sedes educativas del Distrito</t>
  </si>
  <si>
    <t>Número de aulas RTCi para el desarrollo de competencias digitales en las Instituciones Educativas Oficiales habilitadas</t>
  </si>
  <si>
    <t>Habilitar ocho (8) aulas RTCi para el desarrollo de competencias digitales en las Instituciones Educativas Oficiales</t>
  </si>
  <si>
    <t>Número de Instituciones Educativas Oficiales asistidas en las prácticas de ciencia, innovación y tecnología</t>
  </si>
  <si>
    <t>Asistir a ochenta y cinco (85) Instituciones Educativas Oficiales en las prácticas de ciencia, innovación y tecnología</t>
  </si>
  <si>
    <t>Estrategias de internacionalización implementadas</t>
  </si>
  <si>
    <t>Implementar veinte (20) estrategias que permitan la internacionalización de los programas institucionales</t>
  </si>
  <si>
    <t>Institución Universitaria Mayor de Cartagena.  (Calidad Académica)</t>
  </si>
  <si>
    <t>Plataforma virtual integral institucional implementada</t>
  </si>
  <si>
    <t>Implementar una (1) Plataforma Virtual integral institucional</t>
  </si>
  <si>
    <t>Metros cuadrados de infraestructura física institucional de la U. Mayor construidos</t>
  </si>
  <si>
    <t>Construir mil quinientos veintiséis (1.526) metros cuadrados de infraestructura física actual de la U. Mayor</t>
  </si>
  <si>
    <t>Espacios académicos y/o administrativos acondicionados y dotados</t>
  </si>
  <si>
    <t>Acondicionar y dotar cinco (5) nuevos espacios académicos y/o administrativos</t>
  </si>
  <si>
    <t>Programas de pregrado nuevos de la U. Mayor creados</t>
  </si>
  <si>
    <t>Crear seis (6) programas de pregrado nuevos</t>
  </si>
  <si>
    <t>Programas de posgrado nuevo ofertados</t>
  </si>
  <si>
    <t>Ofertar dos (2) nuevos programas de posgrado</t>
  </si>
  <si>
    <t>Número de estudiantes nuevos matriculados en la U. Mayor</t>
  </si>
  <si>
    <t>Matricular dos mil doscientos treinta y cuatro (2234) estudiantes nuevos</t>
  </si>
  <si>
    <t>Número de jóvenes formados como técnicos laborales en oficios tradicionales</t>
  </si>
  <si>
    <t>Formar a mil seiscientos (1.600) jóvenes en procesos de formación técnica en oficios tradicionales</t>
  </si>
  <si>
    <t>Escuela Taller Cartagena de Indias (ETCAR)</t>
  </si>
  <si>
    <t>Número de jóvenes vinculados en procesos de formación complementaria en oficios tradicionales</t>
  </si>
  <si>
    <t>Vincular a cuatrocientos (400) jóvenes en procesos de formación complementaria en oficios tradicionales</t>
  </si>
  <si>
    <t>Número de mujeres formadas en oficios técnicos y complementarios</t>
  </si>
  <si>
    <t>Formar a doscientos cuarenta (240) mujeres en los programas de formación en oficios técnicos y complementarios</t>
  </si>
  <si>
    <t>Número de egresados vinculados laboralmente a la Escuela Taller</t>
  </si>
  <si>
    <t>Vincular a doscientos (200) egresados de la Escuela Taller en oficios tradicionales</t>
  </si>
  <si>
    <t>Número de ambientes de aprendizaje mejorados</t>
  </si>
  <si>
    <t>Mejorar la infraestructura de nueve (9) ambientes de aprendizaje</t>
  </si>
  <si>
    <t>Número de usuarios conectados a la red de servicio de acueducto del Distrito</t>
  </si>
  <si>
    <t>Llevar trescientos diecisiete mil cuatrocientos ochenta y tres (317.483) el numero de usuarios conectados a la red de servicio de acueducto</t>
  </si>
  <si>
    <t>SECRETARÍA GENERAL - SECRETARÍA DE INFRAESTRUCTURA</t>
  </si>
  <si>
    <t>Kilómetros de refuerzo de conducción e impulsión de acueducto en el Distrito construidos</t>
  </si>
  <si>
    <t>Construir nueve (9) kilómetros de refuerzo de conducción y/o impulsión de acueducto</t>
  </si>
  <si>
    <t>Número de obras ejecutadas para la mejora de distribución de agua potable en el Distrito</t>
  </si>
  <si>
    <t>Ejecutar seis (6) obras para la mejora de distribución de agua potable</t>
  </si>
  <si>
    <t>Metros cúbicos de agua potable suministrados como soluciones alternativas o transitorias de acceso al agua potable en el Distrito de Cartagena</t>
  </si>
  <si>
    <t>Suministrar cuatrocientos cuarenta y ocho mil ochocientos (448.800) metros cúbicos de agua potable mediante soluciones alternativas o transitorias</t>
  </si>
  <si>
    <t>Número de usuarios conectados a la red de servicio de alcantarillado del Distrito</t>
  </si>
  <si>
    <t>Llevar a doscientos noventa y cinco mil quinientos veintinueve (295.529) el número de usuarios conectados a la red de servicio de alcantarillado</t>
  </si>
  <si>
    <t>Metros lineales de colectores de alcantarillado sanitario construidos en el Distrito</t>
  </si>
  <si>
    <t>Construir quinientos noventa y dos (592) metros lineales de colectores de alcantarillado sanitario</t>
  </si>
  <si>
    <t>Número de hectáreas de áreas de importancia estratégica con acciones de conservación y/o protección</t>
  </si>
  <si>
    <t>Proteger cuarenta y cinco (45) hectáreas de áreas de importancia estratégica con acciones de conservación y/o protección</t>
  </si>
  <si>
    <t>Número de servicios de apoyo financiero (subsidios) para usuarios de los servicios públicos domiciliarios de acueducto, alcantarillado y aseo estratos 1,2 y 3 del Distrito entregados</t>
  </si>
  <si>
    <t xml:space="preserve">Entregar servicios de apoyo financiero (subsidios) de los servicios públicos domiciliarios a doscientos cuarenta y seis mil ciento cincuenta y dos (246.152) usuarios de acueducto de estrato 1, 2 y 3, a ciento setenta y un mil trescientos siete (171.307) usuarios de alcantarillado de estrato 1, 2 y 3, y a doscientos ochenta y un mil ochocientos veintitres (281.823) usuarios de servicio de aseo de estratos 1, 2 </t>
  </si>
  <si>
    <t>SECRETARÍA GENERAL</t>
  </si>
  <si>
    <t>Número de lámparas o luminarias de alumbrado público en funcionamiento</t>
  </si>
  <si>
    <t>Instalar y poner en funcionamiento siete mil (7.000) lámparas o luminarias de alumbrado público</t>
  </si>
  <si>
    <t>Número de lámparas o luminarias con energías renovables instaladas</t>
  </si>
  <si>
    <t>Instalar ochocientas (800) lámparas o luminarias con energía renovable</t>
  </si>
  <si>
    <t>Número de iniciativas de generación de energía a partir de fuentes no convencionales implementadas</t>
  </si>
  <si>
    <t>Implementar tres (5) iniciativas de generación de energía a partir de fuentes no convencionales</t>
  </si>
  <si>
    <t>Número de barrios con monitoreo de información en la prestación del servicio del alumbrado público implementado</t>
  </si>
  <si>
    <t>Implementar en seis (6) barrios el monitoreo de información en la prestación del servicio de alumbrado público</t>
  </si>
  <si>
    <t>PGIRS del Distrito actualizado</t>
  </si>
  <si>
    <t>Actualizar un (1) Plan de Gestión Integral de Residuos Sólidos</t>
  </si>
  <si>
    <t>Número de convocatorias promovidas para la asignación de incentivo al Aprovechamiento y Tratamiento de Residuos Sólidos (IAT) en el Distrito</t>
  </si>
  <si>
    <t>Promover cuatro (4) convocatorias para la asignación de incentivo al Aprovechamiento y Tratamiento de Residuos Sólidos (IAT) en el Distrito</t>
  </si>
  <si>
    <t>Censo de recicladores del Distrito actualizado</t>
  </si>
  <si>
    <t>Actualizar un (1) censo de recicladores del Distrito</t>
  </si>
  <si>
    <t>Número de proyectos formulados para la implementación de planta de tratamiento de residuos del Distrito</t>
  </si>
  <si>
    <t>Formular un (1) proyecto para la implementación de planta de tratamiento de residuos del Distrito</t>
  </si>
  <si>
    <t>Número de proyecto formulado e implementado para la gestión de residuos en el área rural/ insular del Distrito</t>
  </si>
  <si>
    <t>Formular e implementar un (1) proyecto para la gestión de residuos en el área rural/insular del Distrito</t>
  </si>
  <si>
    <t>Número de puntos de acopio implementados para la disposición de residuos en la zona insular del Distrito</t>
  </si>
  <si>
    <t>Implementar cuatro (4) puntos de acopio para la disposición de residuos en la zona insular del Distrito</t>
  </si>
  <si>
    <t>Documentos de lineamientos técnicos elaborados para la gestión de los residuos de aparatos eléctricos y electrónicos (RAEE) en el área rural/ insular del Distrito</t>
  </si>
  <si>
    <t>Elaborar un (1) lineamiento técnico para la gestión de los residuos de aparatos eléctricos y electrónicos (RAEE) en el área rural/insular del Distrit</t>
  </si>
  <si>
    <t>Número de puntos críticos recuperados en el Distrito</t>
  </si>
  <si>
    <t>Recuperar veinticuatro (24) puntos críticos en el Distrito</t>
  </si>
  <si>
    <t>Número de personas formadas en aprovechamiento de residuos</t>
  </si>
  <si>
    <t>Formar cien mil (100.000) personas en aprovechamiento de residuos en el Distrito</t>
  </si>
  <si>
    <t>Número de programas de formación para recicladores de oficio implementados</t>
  </si>
  <si>
    <t>Implementar un (1) programa de formación para recicladores de oficio</t>
  </si>
  <si>
    <t>Número de campañas de fomento a la formalización de recicladores desarrolladas</t>
  </si>
  <si>
    <t>Desarrollar dos (2) campañas de fomento a la formalización de recicladores</t>
  </si>
  <si>
    <t>Rutas selectivas de reciclaje georreferenciadas</t>
  </si>
  <si>
    <t>Georreferenciar la totalidad de las rutas selectivas de reciclaje</t>
  </si>
  <si>
    <t>Hogares beneficiados con servicio de apoyo financiero para adquisición de vivienda</t>
  </si>
  <si>
    <t>Beneficiar a diez mil (10.000) hogares con subsidios familiares de adquisición de vivienda de interés social</t>
  </si>
  <si>
    <t>CORVIVIENDA</t>
  </si>
  <si>
    <t>Hogares beneficiados con mejoramiento de vivienda urbana</t>
  </si>
  <si>
    <t>Beneficiar a doce mil setecientos cincuenta (12.750) hogares con subsidios familiares para mejoramiento de vivienda urbana</t>
  </si>
  <si>
    <t>Número de predios legalizados o titulados</t>
  </si>
  <si>
    <t>Titular o legalizar cinco mil (5.000) predios</t>
  </si>
  <si>
    <t>Número de Documentos de planeación - DTS para la legalización urbanística elaborados</t>
  </si>
  <si>
    <t>Elaborar cinco (5) Documentos Técnicos de Soporte para la solicitud de legalización de 100 hectáreas en los asentamientos humanos priorizados del Distrito</t>
  </si>
  <si>
    <t>Número de documentos normativos para legalización de asentamientos humanos adoptados</t>
  </si>
  <si>
    <t>Adoptar seis (6) documentos normativos para la legalización de 122 hectáreas en asentamientos humanos</t>
  </si>
  <si>
    <t>SECRETARÍA DE PLANEACIÓN</t>
  </si>
  <si>
    <t>Número de sistemas de información de vivienda actualizados</t>
  </si>
  <si>
    <t>Actualizar un (1) sistema de información de vivienda</t>
  </si>
  <si>
    <t>Número de personas con acceso efectivo a procesos de lenguaje, lectura, escritura y oralidad. </t>
  </si>
  <si>
    <t>Vincular a trescientas seis mil cincuenta y nueve (306.059) personas de manera efectiva a los procesos de lenguaje, lectura, escritura y oralidad</t>
  </si>
  <si>
    <t>IPCC</t>
  </si>
  <si>
    <t>Número de bibliotecas dotadas y en funcionamiento</t>
  </si>
  <si>
    <t>Dotar de mobiliario y equipo y mantener en funcionamiento dieciocho (18) bibliotecas</t>
  </si>
  <si>
    <t>Número de actividades de extensión bibliotecaria implementadas</t>
  </si>
  <si>
    <t>Implementar mil ochocientas (1.800) actividades de extensión bibliotecaria</t>
  </si>
  <si>
    <t>Plan de Fortalecimiento para la Consolidación de la Red de Bibliotecas Distritales</t>
  </si>
  <si>
    <t>Formular e implementar un (1) Plan de Fortalecimiento para la Consolidación de la Red de Bibliotecas Distritales</t>
  </si>
  <si>
    <t>Plan de Fortalecimiento para la Red de Museos Distrital diseñado e implementado</t>
  </si>
  <si>
    <t>Diseñar e implementar un (1) Plan de Fortalecimiento para la Red de Museos Distrital</t>
  </si>
  <si>
    <t>Número de infraestructuras culturales mejoradas, adecuadas y/o dotadas</t>
  </si>
  <si>
    <t>Mejorar, adecuar y/o dotar treinta y cuatro (34) infraestructuras culturales accesibles, inclusivas y diversas</t>
  </si>
  <si>
    <t>Número de infraestructuras culturales construidas y dotadas</t>
  </si>
  <si>
    <t>Construir y dotar dos (2) infraestructuras culturales accesibles, inclusivas y diversas</t>
  </si>
  <si>
    <t>Número de estrategias de aprovechamiento en espacios culturales implementadas</t>
  </si>
  <si>
    <t>Implementar estrategias de aprovechamiento en treinta y tres (34) espacios culturales (creación, divulgación, producción y difusión)</t>
  </si>
  <si>
    <t>Número de estímulos otorgados o proyectos apoyados. </t>
  </si>
  <si>
    <t>Otorgar mil (1.000) estímulos culturales y artísticos</t>
  </si>
  <si>
    <t>Número de estímulos otorgados con enfoque diferencial e interseccional. </t>
  </si>
  <si>
    <t>Otorgar cien (100) estímulos con enfoque diferencial e intersecciona</t>
  </si>
  <si>
    <t>Número de mercados o espacios de circulación para emprendimientos culturales y artísticos. </t>
  </si>
  <si>
    <t>Crear seis (6) mercados o espacios de circulación para emprendimientos culturales y artísticos</t>
  </si>
  <si>
    <t>Número de emprendimientos y/o micronegocios de economía popular del sector cultura, arte y patrimonio apoyados financieramente </t>
  </si>
  <si>
    <t>Otorgar ciento cincuenta (150) apoyos financieros para micronegocios de economía popular del sector cultura, arte y patrimonio</t>
  </si>
  <si>
    <t>Número de personas beneficiarias del programa de formación artística y cultural.</t>
  </si>
  <si>
    <t>Vincular a mil ochocientas (1.800) personas en el programa de Formación Artística y Cultural</t>
  </si>
  <si>
    <t>Sistema Distrital de Formación Artística y Cultural creado e implementado</t>
  </si>
  <si>
    <t>Crear e implementar un (1) Sistema Distrital de Formación Artística y Cultural</t>
  </si>
  <si>
    <t>Estrategia de modernización y mejoramiento del desempeño institucional del Instituto de Patrimonio y Cultura diseñada e implementada</t>
  </si>
  <si>
    <t>Diseñar e implementar una (1) estrategia de modernización y mejoramiento del desempeño institucional del Instituto de Patrimonio y Cultura</t>
  </si>
  <si>
    <t>Plan de fortalecimiento para el Sistema Distrital de Cultura y consejos de áreas artísticas</t>
  </si>
  <si>
    <t>Diseñar e implementar un (1) plan de fortalecimiento para Sistema Distrital de Cultura y consejos de áreas artísticas</t>
  </si>
  <si>
    <t>Implementación de la Comisión Fílmica de Cartagena de Indias y adquisición del PUFAC (Permiso Unificado de Filmaciones Audiovisuales) </t>
  </si>
  <si>
    <t>Implementar una (1) Comisión Fílmica en Cartagena de Indias y adquisición del PUFAC (Permiso Unificado de Filmaciones Audiovisuales) </t>
  </si>
  <si>
    <t>Política Pública Distrital de Cinematografía, Medios Audiovisuales e Interactivos formulada e implementada</t>
  </si>
  <si>
    <t>Formular e implementar una (1) Política Pública Distrital de Cinematografía, Medios Audiovisuales e Interactivos</t>
  </si>
  <si>
    <t>Cinemateca de Cartagena de Indias construida</t>
  </si>
  <si>
    <t>Construir una (1) cinemateca de Cartagena de Indias </t>
  </si>
  <si>
    <t>Número de festivales, fiestas y festejos implementados y desarrollados</t>
  </si>
  <si>
    <t>Implementar y desarrollar dieciséis (16) festivales, fiestas y festejos para promoción del patrimonio inmaterial</t>
  </si>
  <si>
    <t>Festival de Música del Caribe impulsado anualmente</t>
  </si>
  <si>
    <t>Impulsar anualmente el desarrollo de un (1) Festival de Música del Caribe</t>
  </si>
  <si>
    <t>Inventario del patrimonio cultural material e inmaterial de Cartagena elaborado</t>
  </si>
  <si>
    <t>Elaborar un (1) inventario del patrimonio cultural material e inmaterial de Cartagena</t>
  </si>
  <si>
    <t>Número de estrategias para la preservación y protección de las tradiciones técnicas, costumbres y saberes propias de la cultura cartagenera diseñadas e implementadas</t>
  </si>
  <si>
    <t>Diseñar e implementar cuatro (4) estrategias para la preservación y protección de las tradiciones técnicas, costumbres y saberes propias de la cultura cartagenera (cultura alimentaria de las matronas, artesanía, tradición oral, entre otras)</t>
  </si>
  <si>
    <t>Plan Maestro para el cuidado, conservación y apropiación social del patrimonio material elaborado e implementado</t>
  </si>
  <si>
    <t>Elaborar e implementar un (1) Plan Maestro para el cuidado, conservación y apropiación social del patrimonio material</t>
  </si>
  <si>
    <t>Número de piezas de la colección del Museo Histórico de Cartagena intervenidas</t>
  </si>
  <si>
    <t>Intervenir seiscientas cuarenta (640) piezas de la colección del Museo Histórico de Cartagena</t>
  </si>
  <si>
    <t>Número de obras de infraestructura al bien de interés cultural, mejoradas, adecuadas y/o dotadas</t>
  </si>
  <si>
    <t>Mejorar, adecuar y/o dotar dos (2) pisos del bien de interés cultural: Palacio de la Inquisición</t>
  </si>
  <si>
    <t>Plan para la Consolidación y Promoción de la Memoria Histórica de Cartagena, formulado e implementado</t>
  </si>
  <si>
    <t>Formular e implementar un (1) Plan para la Consolidación y Promoción de la Memoria Histórica de Cartagena</t>
  </si>
  <si>
    <t>Número de escenarios deportivos nuevos construidos</t>
  </si>
  <si>
    <t>Construir doce (12) nuevos escenarios deportivos</t>
  </si>
  <si>
    <t>IDER</t>
  </si>
  <si>
    <t>Complejo Deportivo Nuevo Chambacú construido</t>
  </si>
  <si>
    <t>Construir un (1) Complejo Deportivo Nuevo Chambacú</t>
  </si>
  <si>
    <t>Número de escenarios deportivos reconstruidos</t>
  </si>
  <si>
    <t>Reconstruir dieciséis (16) escenarios deportivos</t>
  </si>
  <si>
    <t>Número de escenarios deportivos mantenidos, adecuados, y/o mejorados en el distrito de Cartagena de Indias</t>
  </si>
  <si>
    <t>Mantener, adecuar y/o mejorar trescientos  (300) escenarios deportivos</t>
  </si>
  <si>
    <t>Número de incentivos y/o apoyos otorgados a deportistas de alto rendimiento, convencionales y paralímpicos</t>
  </si>
  <si>
    <t>Entregar mil ciento treinta y dos (1.132) incentivos y/o apoyos para deportistas convencionales y paralímpicos</t>
  </si>
  <si>
    <t>Número de incentivos y/o apoyos otorgados a ligas, clubes, federaciones y otras organizaciones deportivas</t>
  </si>
  <si>
    <t>Otorgar trescientos veinte (320) incentivos y/o apoyos para ligas, clubes, federaciones y otras organizaciones deportivas</t>
  </si>
  <si>
    <t>Número de personas participantes de procesos de apropiación social del conocimiento del sector deportivo</t>
  </si>
  <si>
    <t>Vincular a veintiún mil quinientas (21.500) personas en procesos de apropiación social del conocimiento del sector deportivo</t>
  </si>
  <si>
    <t>Número de documentos de investigación en memoria histórica del deporte cartagenero y bolivarense publicados</t>
  </si>
  <si>
    <t>Publicar doce (12) documentos de investigación en memoria histórica del deporte cartagenero y bolivarense</t>
  </si>
  <si>
    <t>Número de niños, niñas, adolescentes y jóvenes inscritos en la escuela de iniciación y formación deportiva</t>
  </si>
  <si>
    <t>Vincular a veintiséis mil ochocientos (26.800) niños, niñas, adolescentes y jóvenes en la escuela de iniciación y formación deportiva</t>
  </si>
  <si>
    <t>Número de núcleos de la escuela iniciativa y formación deportiva mantenidas y creados</t>
  </si>
  <si>
    <t>Mantener cincuenta y cinco (55) y crear seis (6) núcleos de la escuela iniciativa y formación deportiva</t>
  </si>
  <si>
    <t>Número de núcleos de educación física extraescolar creados</t>
  </si>
  <si>
    <t>Crear cuatro (4) núcleos de educación física extraescolar </t>
  </si>
  <si>
    <t>SECRETARÍA DE EDUCACIÓN SED – IDER</t>
  </si>
  <si>
    <t xml:space="preserve">Número de participantes en los diferentes eventos y/o torneos de las instituciones educativas y las universidades
</t>
  </si>
  <si>
    <t xml:space="preserve">Vincular a veintiocho mil (28.000) participantes en los eventos y/o torneos de las instituciones educativas y las universidades
</t>
  </si>
  <si>
    <t xml:space="preserve">Número de instituciones
educativas participantes en
los Juegos Intercolegiado
</t>
  </si>
  <si>
    <t>Vincular a doscientas (200) Instituciones Educativas en los Juegos Intercolegiados</t>
  </si>
  <si>
    <t>Número de personas participantes vinculadas en los eventos y/o torneos del deporte social comunitario</t>
  </si>
  <si>
    <t>Vincular a sesenta y un mil (61.000) personas en los eventos y/o torneos del deporte social comunitario</t>
  </si>
  <si>
    <t>Número de participantes vinculados en las estrategias y/o actividades de recreación comunitaria.</t>
  </si>
  <si>
    <t>Vincular a ciento ochenta mil (180.000) participantes en las estrategias y/o actividades de recreación comunitaria</t>
  </si>
  <si>
    <t>Número de participantes vinculados a las estrategias de actividad física</t>
  </si>
  <si>
    <t>Vincular a ciento veinte mil (120.000) participantes a las estrategias de actividad física</t>
  </si>
  <si>
    <t>Número de eventos deportivos de carácter regional, nacional e internacional impulsados</t>
  </si>
  <si>
    <t>Impulsar doscientos (200) eventos deportivos de carácter regional, nacional e internacional</t>
  </si>
  <si>
    <t>Número de personas vinculadas a los eventos deportivos de carácter regional, nacional e internacional</t>
  </si>
  <si>
    <t>Vincular a sesenta mil (60.000) personas a los eventos deportivos de carácter regional, nacional e internacional</t>
  </si>
  <si>
    <t>Número de eventos recreativos de carácter regional, nacional e internacional impulsados</t>
  </si>
  <si>
    <t>Impulsar noventa y seis (96) eventos recreativos de carácter regional, nacional e internacional</t>
  </si>
  <si>
    <t>Número de personas vinculadas a los eventos recreativos de carácter regional, nacional e internacional</t>
  </si>
  <si>
    <t>Vincular a sesenta y cinco mil (65.000) personas a los eventos recreativos de carácter regional, nacional e internacional</t>
  </si>
  <si>
    <t>Número de niñas y niños en primera infancia con atenciones priorizadas en el marco de la atención integral</t>
  </si>
  <si>
    <t>Atender a dos mil ochocientos (2.800) niñas y niños en primera infancia en el marco de la atención integral anualmente</t>
  </si>
  <si>
    <t>SECRETARÍA DE PARTICIPACIÓN DE DESARROLLO SOCIAL</t>
  </si>
  <si>
    <t>Número de padres, madres, cuidadores participantes en acciones de formación para el fortalecimiento de vínculos, la crianza amorosa y la promoción de sus derechos.</t>
  </si>
  <si>
    <t>Vincular a treinta y tres mil ochocientos veintidós (33.822) de padres, madres, y cuidadores en acciones de formación para el fortalecimiento de vínculos, la crianza amorosa y la promoción de sus
derechos</t>
  </si>
  <si>
    <t>Centros de Desarrollo Infantil construidos y dotados en el Distrito</t>
  </si>
  <si>
    <t>Construir y dotar dos (2) Centros de Desarrollo Infantil en el Distrito</t>
  </si>
  <si>
    <t>Centros de desarrollo infantil adecuados</t>
  </si>
  <si>
    <t>Adecuar tres (3) Centros de Desarrollo Infantil</t>
  </si>
  <si>
    <t>Número de niños, niñas y adolescentes que participan en actividades para la prevención y desvinculación de situación o riesgo de todo tipo de violencia.</t>
  </si>
  <si>
    <t>Vincular a treinta y seis mil (36.000) niños, niñas y adolescentes en actividades para la prevención y desvinculación de situación o riesgo de todo tipo de violencia</t>
  </si>
  <si>
    <t>Número de niños, niñas, adolescentes beneficiados con acciones de prevención de amenazas o vulneración de derechos a través del Hogar de Protección</t>
  </si>
  <si>
    <t>Beneficiar a cuatrocientos ochenta (480) niños, niñas y adolescentes anualmente con acciones de prevención de amenazas o vulneración de derechos a través del Hogar de Protección</t>
  </si>
  <si>
    <t>Ruta actualizada y socializada para la atención y protección de niños y niñas contra la Explotación Sexual Comercial de Niños Niñas y Adolescentes</t>
  </si>
  <si>
    <t>Actualizar y socializar una (1) ruta para la atención y protección de niños y niñas contra la Explotación Sexual Comercial de Niños Niñas y Adolescentes</t>
  </si>
  <si>
    <t>Número de padres, madres y cuidadores formados para la prevención de las violencias y buena crianza hacia NNA.</t>
  </si>
  <si>
    <t>Formar a ocho mil (8.000) padres, madres y cuidadores en prevención de las violencias y buena crianza a niños, niñas y adolescentes</t>
  </si>
  <si>
    <t>Número de niños, niñas y adolescentes vinculados a actividades lúdicas extramurales y del ejercicio del derecho al juego al interior de las ludotecas distritales.</t>
  </si>
  <si>
    <t>Vincular a sesenta y tres mil (63.000) niños, niñas y adolescentes en actividades lúdicas extramurales y del ejercicio del derecho al juego en las ludotecas distritales.</t>
  </si>
  <si>
    <t>Número de niños, niñas y adolescentes vinculados en acciones de promoción del derecho a la participación y a la asociación.</t>
  </si>
  <si>
    <t>Vincular a dos mil trescientos (2.300) niños, niñas y adolescentes en acciones de promoción del derecho a la participación y a la asociación</t>
  </si>
  <si>
    <t>Plan Regional de Competitividad actualizado</t>
  </si>
  <si>
    <t>Acciones que fortalezcan el mejoramiento del clima de negocios implementadas</t>
  </si>
  <si>
    <t>SECRETARÍA DE HACIENDA</t>
  </si>
  <si>
    <t>Estrategias de acompañamiento de iniciativas de clúster y apuestas productivas promisorias ejecutadas con apuestas productivas hacia sectores de mayor generación de valor agregado</t>
  </si>
  <si>
    <t>Personas beneficiadas con la implementación de planes de fomento de la cultura de la innovación</t>
  </si>
  <si>
    <t>Sistema Distrital de Innovación actualizado</t>
  </si>
  <si>
    <t>Estrategias de posicionamiento “Cartagena Plataforma Exportadora” implementadas</t>
  </si>
  <si>
    <t>Empresas asistidas en programa de exportaciones</t>
  </si>
  <si>
    <t>Alianzas para la promoción de Cartagena como “destino internacional en inversiones y apuestas productivas” generadas</t>
  </si>
  <si>
    <t>Rutas para la diversificación económica y el desarrollo empresarial implementadas</t>
  </si>
  <si>
    <t>Estrategias de fortalecimiento empresarial y generación de encadenamientos productivos ejecutadas</t>
  </si>
  <si>
    <t>MiPymes impactadas con servicios de fortalecimiento empresarial</t>
  </si>
  <si>
    <t>Programa de fortalecimiento de comerciantes de sectores estratégicos implementado</t>
  </si>
  <si>
    <t>Número de alianzas de cooperantes nacionales e internacionales habilitadas y consolidadas en el Distrito</t>
  </si>
  <si>
    <t>Número de organizaciones mapeadas y habilitadas para cooperar</t>
  </si>
  <si>
    <t>SECRETARÍA GENERAL - COOPERACIÓN INTERNACIONAL</t>
  </si>
  <si>
    <t>Negocios verdes consolidados</t>
  </si>
  <si>
    <t>ESTABLECIMIENTO PÚBLICO AMBIENTAL EPA</t>
  </si>
  <si>
    <t>Plantas para la revalorización de residuos en zonas de tratamiento integral implementadas</t>
  </si>
  <si>
    <t xml:space="preserve">SECRETARÍA GENERAL (SERVICIOS PÚBLICOS) - SECRETARÍA DE HACIENDA
</t>
  </si>
  <si>
    <t>Número de proyectos específicos de economía circular implementados con el apoyo de Cooperantes</t>
  </si>
  <si>
    <t>Número de investigaciones desarrolladas para evaluar y redefinir las apuestas productivas de la ciudad en el marco de las tendencias futuras de la economía mundial</t>
  </si>
  <si>
    <t>Número de estudios sobre mercado laboral y pertinencia educativas elaborados</t>
  </si>
  <si>
    <t>Fondo para la reconversión productiva destinada a emprendimientos de pequeñas y medianas empresas creada</t>
  </si>
  <si>
    <t>Estrategia de encadenamientos productivos a nivel intersectorial e intrasectorial entre las grandes, medianas y pequeñas empresas</t>
  </si>
  <si>
    <t>Centros de Formación para el Empleo con Enfoque en Ciencia, Tecnología, Innovación y Bilingüismo creados y en funcionamiento</t>
  </si>
  <si>
    <t>SECRETARÍA DE EDUCACIÓN</t>
  </si>
  <si>
    <t>Jóvenes (mujeres, grupos étnicos y víctimas) vinculados a estrategias de formación relacionadas a la innovación y la Cuarta Revolución Industrial</t>
  </si>
  <si>
    <t>Estrategias de acceso a oportunidades del mercado laboral (trabajo formal y formalización del trabajo informal) implementadas</t>
  </si>
  <si>
    <t>Cooperativas creadas que vinculen a las Organizaciones Comunales y de víctimas del conflicto en el desarrollo de oportunidades del mercado laboral</t>
  </si>
  <si>
    <t>Personas vinculadas a rutas de empleo y capital humano</t>
  </si>
  <si>
    <t>Número de estudiantes vinculados en la administración distrital, a través de la realización de las prácticas laborales</t>
  </si>
  <si>
    <t>Número de jóvenes graduados sin experiencia laboral vinculados a la administración distrital</t>
  </si>
  <si>
    <t>Número de mujeres cualificadas para la inserción laboral</t>
  </si>
  <si>
    <t>Rutas de emprendimiento implementadas</t>
  </si>
  <si>
    <t>Planes de comercialización y visibilización de productos de emprendedores ejecutados</t>
  </si>
  <si>
    <t>Estrategias de acompañamiento a emprendimientos y Mipymes para acceso a mecanismos de financiación elaboradas</t>
  </si>
  <si>
    <t>Emprendedores intervenidos con capacidades para emprender fortalecidas</t>
  </si>
  <si>
    <t>Estrategias de proveeduría de sectores administrados por el Distrito que vincule la participación de emprendimientos, negocios y/o proyectos productivos liderado por mujeres diseñada y ejecutada</t>
  </si>
  <si>
    <t>SECRETARÍA DE HACIENDA - SECRETARÍA DE PARTICIPACIÓN Y DESARROLLO SOCIAL</t>
  </si>
  <si>
    <t xml:space="preserve">Número de estrategias para promover el ecosistema de emprendimiento e innovación implementada
</t>
  </si>
  <si>
    <t>Microcentros de Inteligencia Artificial creados</t>
  </si>
  <si>
    <t>SECRETARÍA GENERAL - OFICINA DE INFORMATICA</t>
  </si>
  <si>
    <t>Caracterización socio empresarial de familias vulnerables atendidas en el Distrito</t>
  </si>
  <si>
    <t>Personas vulnerables Formadas y con fortalecimiento productivo</t>
  </si>
  <si>
    <t>Número de ferias de emprendimientos desarrolladas anualmente en el Distrito</t>
  </si>
  <si>
    <t>Número de emprendimientos, negocios y/o proyectos productivos liderados por mujeres financiados y formalizados</t>
  </si>
  <si>
    <t>Jóvenes formados en emprendimientos e inclusión productiva.</t>
  </si>
  <si>
    <t>Emprendimientos juveniles apoyados financieramente</t>
  </si>
  <si>
    <t>Jóvenes formados y certificados para la vinculación e inserción en el mercado laboral</t>
  </si>
  <si>
    <t>Espacios o acciones de promoción para la vinculación laboral de jóvenes al trabajo formal y promoción del primer empleo</t>
  </si>
  <si>
    <t>Número de vendedores formalizados con emprendimiento y creación de pequeña empresa</t>
  </si>
  <si>
    <t>GEPM - SECRETARÍA DE HACIENDA</t>
  </si>
  <si>
    <t>Mobiliario urbano para el emprendimiento económico diseñado</t>
  </si>
  <si>
    <t>Docuemntos de lineamientos para el manejo del sector turismo elaborados</t>
  </si>
  <si>
    <t>SECRETARÍA DE TURISMO</t>
  </si>
  <si>
    <t>Centro de Atención al Turista en funcionamiento en el Distrito de Cartagena de Indias (zona insular y urbana)</t>
  </si>
  <si>
    <t>Equipamientos para brigadistas y guardavidas del Distrito entregados</t>
  </si>
  <si>
    <t>Número de personas líderes y autoridades turísticas vinculadas a procesos de formación</t>
  </si>
  <si>
    <t>Número de personas vinculadas a procesos de formación formal e informal asuntos turísticos</t>
  </si>
  <si>
    <t>Número de personas vinculadas con oportunidades de acceso a rutas de empleo y capital humano enfocado en turismo sostenible</t>
  </si>
  <si>
    <t>Rutas comunitarias creadas e implementadas (rutas eco-ambientales, gastronómicas, culturales, turísticas, entre otras)</t>
  </si>
  <si>
    <t>Número de personas vinculadas a asistencia técnica para el fortalecimiento de la actividad artesanal</t>
  </si>
  <si>
    <t>Activos productivos entregados a los prestadores de servicios turísticos</t>
  </si>
  <si>
    <t>SECRETARÍA DE TURISMO - SECRETARÍA DE HACIENDA</t>
  </si>
  <si>
    <t>Número de atractivos turísticos con implementación de acciones de sostenibilidad ambiental</t>
  </si>
  <si>
    <t>Número de proyectos cofinanciados para la actividad turística</t>
  </si>
  <si>
    <t>Número de certificaciones de destino turístico sostenible obtenidas</t>
  </si>
  <si>
    <t>Portal Único de Información Turística sobre la Oferta Turística creado</t>
  </si>
  <si>
    <t>Tecnologia de destino turistica inteligente creada e implementada</t>
  </si>
  <si>
    <t>Alianzas con universidades para la formacion y profesionalizacion de actores turisticos implementado</t>
  </si>
  <si>
    <t>Número de eventos turísticos náuticos promovidos y desarrollados en la zona insular y urbana del Distrito</t>
  </si>
  <si>
    <t>Campañas de divulgación para la promoción y conectividad</t>
  </si>
  <si>
    <t>CORPOTURISMO - SECRETARÍA DE TURISMO</t>
  </si>
  <si>
    <t>Eventos especializados con participación del Distrito</t>
  </si>
  <si>
    <t>Productos turísticos desarrollados</t>
  </si>
  <si>
    <t>Eventos de ciudad con impacto nacional e internacional implementados en Cartagena</t>
  </si>
  <si>
    <t xml:space="preserve">Infraestructura turística dotada, adecuada, mejorada, mantenida y/o construida (infraestructura marino costera, embarcaderos)
</t>
  </si>
  <si>
    <t>SECRETARÍA DE INFRAESTRUCTURA - SECRETARÍA DE TURISMO</t>
  </si>
  <si>
    <t>Estudios de preinversión para proyectos turísticos elaborados</t>
  </si>
  <si>
    <t>Número de señalizaciones turísticas instaladas, (incluye playas y espacios turísticos que lo requieran)</t>
  </si>
  <si>
    <t>Acciones de mantenimiento infraestructuras turística para prestar servicios de vigilancia, control y seguridad a los turistas implementadas</t>
  </si>
  <si>
    <t>Entidad para el desarrollo y sostenibilidad turística consolidada</t>
  </si>
  <si>
    <t>Observatorio de Turismo creado</t>
  </si>
  <si>
    <t>Documentos de Planificación de Ordenamiento de Playas elaborado</t>
  </si>
  <si>
    <t>Número de procesos productivos de agricultura campesina familiar y comunitaria desarrollados</t>
  </si>
  <si>
    <t>UMATA</t>
  </si>
  <si>
    <t>Número de mujeres rurales atendidas con servicios de extensión agropecuaria</t>
  </si>
  <si>
    <t>Número de mujeres afros rurales atendidas con servicios de extensión agropecuaria</t>
  </si>
  <si>
    <t>Número de mujeres indígena atendidas en las actividades propias</t>
  </si>
  <si>
    <t>Número de circuitos cortos de comercialización implementados (mercados campesinos, ferias de negocios, HORECA, Mercado Virtual)</t>
  </si>
  <si>
    <t>Número de Planes de Extensión Agropecuaria del Distrito formulados y/o ejecutados</t>
  </si>
  <si>
    <t>Número de productores atendidos con servicios de extensión agropecuaria</t>
  </si>
  <si>
    <t>Número de encadenamientos y/o cadenas productivas para garantizar el derecho humano a la alimentación priorizadas, consolidadas y en funcionamiento</t>
  </si>
  <si>
    <t>Número de organizaciones de pescadores (pertenecientes a grupos étnicos) dotadas</t>
  </si>
  <si>
    <t>Número de procesos productivos en producción, reproducción y mejoramiento genético (bovina y/o especies menores) formulados y/o ejecutados</t>
  </si>
  <si>
    <t>Número de procesos asociativos para fortalecer las capacidades y competencias agropecuarias creados</t>
  </si>
  <si>
    <t>Número de emprendimientos rurales orientados a la generación de valor agregado asistido</t>
  </si>
  <si>
    <t>Número de alianzas y/o convenios interadministrativos para la dotación de infraestructura física y/o activos productivos de carácter público implementadas</t>
  </si>
  <si>
    <t>SECRETARÍA DE INFRAESTRUCTURA - CORVIVIENDA - UMATA</t>
  </si>
  <si>
    <t>Número de soluciones alternativas de fuentes de agua en zonas de producción agrícolas para mitigar el cambio climático implementadas</t>
  </si>
  <si>
    <t>SECRETARÍA DE INFRAESTRUCTURA - UMATA</t>
  </si>
  <si>
    <t>PROGRAMA: CARTAGENA CIUDAD DE PESCADORES</t>
  </si>
  <si>
    <t>Proyectos de maricultura implementados y formulados</t>
  </si>
  <si>
    <t>Acciones para el fortalecimiento de la mujer en el ejercicio de la pesca desarrolladas</t>
  </si>
  <si>
    <t>Centro de Acopio Integral creado</t>
  </si>
  <si>
    <t>Escuelas de pescadores de saberes ancestrales creadas</t>
  </si>
  <si>
    <t>Número de pruebas bromatológicas en los peces de la Bahía de Cartagena</t>
  </si>
  <si>
    <t>Número de pruebas ambientales en los peces de la Bahía de Cartagena</t>
  </si>
  <si>
    <t>EPA</t>
  </si>
  <si>
    <t>Fases del proceso de traslado del Mercado de Bazurto al nuevo sistema de mercados implementadas</t>
  </si>
  <si>
    <t>SECRETARÍA GENERAL - SECRETARÍA DE INFRAESTRUCTURA - DATT</t>
  </si>
  <si>
    <t>Número de Ocupantes del Espacio Público (O.E.P.) que fueron reubicados en zonas al interior del mercado formalizados (tramo 5A Transcaribe y otros)</t>
  </si>
  <si>
    <t>GEPM</t>
  </si>
  <si>
    <t>Número de Ocupantes del Espacio Público (O.E.P.) de zonas no intervenidas en el mercado de Bazurto pendientes por formalizar en mercados sectoriales</t>
  </si>
  <si>
    <t>Documentos normativos que rigen la operación de la plaza de mercados actualizados</t>
  </si>
  <si>
    <t>Plan de Gestión Sostenible del Sistema de Mercados del Distrito implementado</t>
  </si>
  <si>
    <t>Metros cuadrados de infraestructura de las plazas de mercado que conforman el Sistema Integral de Abastecimiento del Distrito intervenidos o mantenidos</t>
  </si>
  <si>
    <t>Plan de Ordenamiento Territorial revisado, actualizado, ajustado y presentado ante el Concejo para su adopción</t>
  </si>
  <si>
    <t>Plan Especial de Manejo y Protección del Centro Histórico y su área de influencia revisado, actualizado, ajustado y presentado ante el Ministerio de Cultura para su adopción</t>
  </si>
  <si>
    <t>Actuación Urbana Integral A.U.I – 12 / Recuperación Integral del Cerro de la Popa formulada</t>
  </si>
  <si>
    <t>SECRETARÍA DE PLANEACIÓN – GERENCIA DE ESPACIO PÚBLICO Y MOVILIDAD</t>
  </si>
  <si>
    <t>Actuación Urbana Integral A.U.I – 13 / Recuperación Integral del Cerro de Albornoz - Cospique formulada</t>
  </si>
  <si>
    <t>Nueva Actuación Urbana Integral Reordenamiento de los asentamientos de Nelson Mandela y Villa Hermosa formulada</t>
  </si>
  <si>
    <t>Planes Maestros de equipamientos formulado</t>
  </si>
  <si>
    <t>Plan Local Portuario formulado</t>
  </si>
  <si>
    <t>Plan Parcial de Renovación Urbana de Bazurto reformulado, adoptado y con seguimiento</t>
  </si>
  <si>
    <t>Planes Parciales en suelo de expansión de los Centros Poblados de Bayunca y Pasacaballos adoptados</t>
  </si>
  <si>
    <t>Plan Parcial de Reordenamiento de los Asentamientos de la Zona Industrial de Mamonal: Policarpa, Arroz Barato y Puerta de Hierro reformulado, adoptado y con seguimiento</t>
  </si>
  <si>
    <t>Plan Parcial de Reordenamiento de La Loma, Zaragocilla y Marión reformulado, adoptado y con seguimiento</t>
  </si>
  <si>
    <t>SECRETARÍA DE PLANEACIÓN - CORVIVIENDA</t>
  </si>
  <si>
    <t>Proyectos de legalización urbanística tramitados</t>
  </si>
  <si>
    <t>Plan Estratégico para el traslado de Marlinda y Villa Gloria diseñado y ejecutado</t>
  </si>
  <si>
    <t>Planes de Mejoramiento Integral de los Centros Poblados de los corregimientos continentales formulados y ejecutados</t>
  </si>
  <si>
    <t>Lineamientos técnicos y pedagógicos para garantizar el derecho a la ciudad de niñas y mujeres en el entorno urbano diseñados</t>
  </si>
  <si>
    <t>Plan Estratégico Prospectivo Cartagena 2050 formulado</t>
  </si>
  <si>
    <t>Metros cuadrados de espacios públicos recuperados y mantenidos</t>
  </si>
  <si>
    <t>GERENCIA DE ESPACIO PÚBLICO Y MOVILIDAD</t>
  </si>
  <si>
    <t>Metros cuadrados de espacio público habilitados para aprovechamiento económic</t>
  </si>
  <si>
    <t>Número de querellas presentadas para la recuperación del espacio público</t>
  </si>
  <si>
    <t>Política Pública de Legalización de Asentamientos Humanos y del Control Urbano formulada</t>
  </si>
  <si>
    <t>Documentos de planeación para la implementación la curaduría pública y de nuevas curadurías urbanas formulados</t>
  </si>
  <si>
    <t>Estudio para dar viabilidad para la creación de nuevas curadurías urbanas formulado</t>
  </si>
  <si>
    <t>Obras de demoliciones derivadas de fallos, sentencias y sanciones elaboradas</t>
  </si>
  <si>
    <t>SECRETARÍA DE INFRAESTRUCTURA</t>
  </si>
  <si>
    <t>Equipo de reacción inmediata para reducción, intervención y control de invasiones ilegales conformado</t>
  </si>
  <si>
    <t>Defensores Urbanos Barriales para la cultura urbanística certificados</t>
  </si>
  <si>
    <t>Inspecciones de Policía especializadas en temas urbanísticos</t>
  </si>
  <si>
    <t>Documentos normativos realizados</t>
  </si>
  <si>
    <t>Número de actividades desarrolladas por año para promover la protección y bienestar animal en sectores turísticos de la ciudad</t>
  </si>
  <si>
    <t>Número total de animales atendidos por año en las jornadas de salud, prevención y protección animal</t>
  </si>
  <si>
    <t>Número de protocolos estandarizados para la atención a animales domésticos y silvestres</t>
  </si>
  <si>
    <t>Número de animales domésticos censados</t>
  </si>
  <si>
    <t>Número de módulos o aplicativos funcionales de software integrados en una plataforma web de acceso abierto.</t>
  </si>
  <si>
    <t>Centro de Bienestar Animal del Distrito creado y en operación</t>
  </si>
  <si>
    <t>UMATA - DADIS</t>
  </si>
  <si>
    <t>Número de unidades móviles de atención veterinaria dotadas</t>
  </si>
  <si>
    <t>UMATA - EPA</t>
  </si>
  <si>
    <t>Árboles plantados en la ciudad</t>
  </si>
  <si>
    <t>Áreas degradadas en proceso de restauración</t>
  </si>
  <si>
    <t>Centro de Atención y Valoración de fauna silvestre construido y dotado</t>
  </si>
  <si>
    <t>Sistemas de información implementados para el Centro Inteligente de Monitoreo Ambiental de Cartagena</t>
  </si>
  <si>
    <t>Estaciones para el monitoreo de la calidad del aire implementadas</t>
  </si>
  <si>
    <t>Estrategias de educación ambiental implementadas</t>
  </si>
  <si>
    <t>Documentos de investigación ambiental realizados</t>
  </si>
  <si>
    <t>Política Pública de Educación Ambiental formulada</t>
  </si>
  <si>
    <t>Metros lineales de senderos peatonales diseñados</t>
  </si>
  <si>
    <t>Megaproyectos de parques con criterios de adaptación al cambio climático diseñados y construidos</t>
  </si>
  <si>
    <t>Documentos de lineamientos técnicos para la conservación de la biodiversidad y sus servicios ecosistémicos elaborados</t>
  </si>
  <si>
    <t>Plan 4C: Cartagena Competitiva y Compatible con el Clima actualizado</t>
  </si>
  <si>
    <t>Plan Distrital de Gestión de Riesgo actualizado y adoptado</t>
  </si>
  <si>
    <t>OFICINA ASESORA PARA LA GESTIÓN DE RIESGO DE DESASTRE</t>
  </si>
  <si>
    <t>Sistema de información de conocimiento del riesgo actualizado</t>
  </si>
  <si>
    <t>Inventarios de asentamientos en zonas de alto riesgo elaborados</t>
  </si>
  <si>
    <t>Sistema de comunicación de gestión del riesgo implementado</t>
  </si>
  <si>
    <t>Número de acciones para mitigación y atención a desastres coordinadas</t>
  </si>
  <si>
    <t>Número de organizaciones comunitarias capacitadas en prevención y gestión de los riesgos</t>
  </si>
  <si>
    <t>Número de Acciones de protección de laderas para reducción del riesgo en cerros de Cartagena</t>
  </si>
  <si>
    <t>Estrategia de respuestas a emergencias actualizada, formulada y adoptada </t>
  </si>
  <si>
    <t>Emergencias de riesgo atendidas</t>
  </si>
  <si>
    <t>Número de beneficios económicos a las familias afectadas en los distintos eventos entregados</t>
  </si>
  <si>
    <t>Número de kilómetros de construcción de protección costera.</t>
  </si>
  <si>
    <t>VALORIZACIÓN</t>
  </si>
  <si>
    <t>Plan Integral de Parques y Zonas Verdes formulado e implementado</t>
  </si>
  <si>
    <t>Orillas mejoradas para uso recreativo en caños, lagos y lagunas</t>
  </si>
  <si>
    <t>Plan Especial de Movilidad y Peatonalización del Centro Histórico formulado e implementado</t>
  </si>
  <si>
    <t>GERENCIA DE ESPACIO PÚBLICO Y MOVILIDAD - DATT- SECRETARÍAS DE INFRAESTRUCTURA</t>
  </si>
  <si>
    <t>Metros lineales de andenes y bordillos del Centro Histórico mejorados</t>
  </si>
  <si>
    <t>Plazas, parques y plazoletas del Centro Histórico mejorada</t>
  </si>
  <si>
    <t>Estudio de Capacidad de Carga del Espacio Público Patrimonial elaborado</t>
  </si>
  <si>
    <t>GERENCIA DE ESPACIO PÚBLICO Y MOVILIDAD - IPCC</t>
  </si>
  <si>
    <t>Estudio de las nuevas Tipologías Arquitectónicas del Centro Histórico elaborado</t>
  </si>
  <si>
    <t>SECRETARÍA DE PLANEACIÓN - IPCC</t>
  </si>
  <si>
    <t>Cartilla del Espacio Público Patrimonial elaborada</t>
  </si>
  <si>
    <t>GERENCIA DE ESPACIO PÚBLICO Y MOVILIDAD - DATT- SECRETARÍA DE PLANEACIÓN - ESCUELA TALLER ETCAR</t>
  </si>
  <si>
    <t>Número de parques del Centro Histórico recuperados y mejorados</t>
  </si>
  <si>
    <t>SECRETARÍA GENERAL - DIRECCIÓN ADMINISTRATIVA DE APOYO LOGISTICO</t>
  </si>
  <si>
    <t>Espacios públicos rehabilitados que comunican el Centro Histórico y Castillo de San Felipe</t>
  </si>
  <si>
    <t xml:space="preserve">ESCUELA TALLER CARTAGENA DE INDIAS - GERENCIA DE ESPACIO PÚBLICO Y MOVILIDAD - SECRETARÍA DE INFRAESTRUCTURA
</t>
  </si>
  <si>
    <t>Número de zonas del espacio público adecuadas para la recreación y el deporte en el paisaje fortificado</t>
  </si>
  <si>
    <t>Enlaces peatonales de cordón amurallado construidos</t>
  </si>
  <si>
    <t>ESCUELA TALLER CARTAGENA DE INDIAS - GERENCIA DE ESPACIO PÚBLICO Y MOVILIDAD - SECRETARÍA DE INFRAESTRUCTURA</t>
  </si>
  <si>
    <t>Número de actividades de para la apropiación colectiva del patrimonio y la gobernanza territorial desarrolladas</t>
  </si>
  <si>
    <t xml:space="preserve">ESCUELA TALLER CARTAGENA DE INDIAS (ETCAR)
</t>
  </si>
  <si>
    <t>PROGRAMA: INTERVENCIONES URBANAS INTEGRALES</t>
  </si>
  <si>
    <t>Obras construidas para la competitividad diferente a vías</t>
  </si>
  <si>
    <t>PROGRAMA: REHABILITACIÓN, MANTENIMIENTO, ADECUACIÓN, Y OBRA NUEVA PARA EL SISTEMA VIAL Y ESTRUCTURAS DE PASO</t>
  </si>
  <si>
    <t>Kilómetros carriles  rehabilitados de la malla vial</t>
  </si>
  <si>
    <t>Kilómetros carriles  construidos de la malla vial</t>
  </si>
  <si>
    <t>Puentes nuevos construidos en la ciudad</t>
  </si>
  <si>
    <t>Corredor vial de la troncal del sur construido</t>
  </si>
  <si>
    <t>Número de kilómetros de construcción de vías Urbanas por contribución de valorización.</t>
  </si>
  <si>
    <t>Número de kilómetros de construcción de vías rurales</t>
  </si>
  <si>
    <t>Número de metros cuadrados de andenes construidos</t>
  </si>
  <si>
    <t>Señales verticales instaladas</t>
  </si>
  <si>
    <t>Marcas longitudinales demarcadas</t>
  </si>
  <si>
    <t>Kilómetros de ciclorutas diseñadas y demarcadas</t>
  </si>
  <si>
    <t>Red semafórica ampliada</t>
  </si>
  <si>
    <t>Rutas del Transporte Público Colectivo actualizadas y normalizadas</t>
  </si>
  <si>
    <t>Estaciones satélites de transporte informal erradicadas</t>
  </si>
  <si>
    <t>Puntos críticos intervenidos</t>
  </si>
  <si>
    <t>Zonas de Estacionamiento Regulado (ZER) diseñados y demarcados</t>
  </si>
  <si>
    <t>Vehículos de tracción animal dedicados al transporte de cargas livianas sustituidos</t>
  </si>
  <si>
    <t>Vehículos de tracción animal dedicados al servicio turístico sustituidos</t>
  </si>
  <si>
    <t>Caracterización socioeconómica de mototrabajadores elaborada</t>
  </si>
  <si>
    <t>Estaciones Renovadas</t>
  </si>
  <si>
    <t>TRANSCARIBE</t>
  </si>
  <si>
    <t>Patio Portal Renovado</t>
  </si>
  <si>
    <t>Carril de solobus renovado</t>
  </si>
  <si>
    <t>Servicio de seguridad ciudadana implementado en el SITM</t>
  </si>
  <si>
    <t>Paraderos Renovados</t>
  </si>
  <si>
    <t>Modernización de los servicios conexos al sistema de recaudo, gestión de flota, información al usuario</t>
  </si>
  <si>
    <t>Estrategias para la promoción de la cultura ciudadana y el uso del sistema</t>
  </si>
  <si>
    <t>Estudios técnicos para la evaluación de operación diseñados</t>
  </si>
  <si>
    <t>TRANSCARIBE - SECRETARÍA DE INFRAESTRUCTURA</t>
  </si>
  <si>
    <t>Fases de ejecución del proyecto de transporte acuático</t>
  </si>
  <si>
    <t>SECRETARÍA DE INFRAESTRUCTURA - TRANSCARIBE</t>
  </si>
  <si>
    <t>Embarcaderos para el transporte acuático construidos o recuperados</t>
  </si>
  <si>
    <t>Estudio para la implementación de la tarifa diferencial en el Sistema</t>
  </si>
  <si>
    <t>Estrategia para la lucha contra el acoso en el Sistema Integrado de Transporte Masivo implementada</t>
  </si>
  <si>
    <t>Pasajeros movilizados</t>
  </si>
  <si>
    <t>Número de hectáreas de manglar en proceso de recuperación</t>
  </si>
  <si>
    <t>Metros cúbicos extraídos mediante relimpia realizada en cuerpos de agua internos en el perímetro urbano de Cartagena</t>
  </si>
  <si>
    <t>EPA - EDURBE</t>
  </si>
  <si>
    <t>Estudios de prefactibilidad para la implementación de laboratorio interactivo</t>
  </si>
  <si>
    <t>Kilómetros diseño de canales </t>
  </si>
  <si>
    <t>VALORIZACIÓN - SECRETARÍA DE INFRAESTRUCTURA</t>
  </si>
  <si>
    <t>Kilómetros canales construidos.</t>
  </si>
  <si>
    <t>Metros cúbicos limpieza y/o rectificación de canales.</t>
  </si>
  <si>
    <t>Kilómetros recuperados de bordes de costa de cuerpos de agua</t>
  </si>
  <si>
    <t>Documento de acotamiento y priorización de ronda hídrica elaborado</t>
  </si>
  <si>
    <t>Rondas hídricas priorizadas a través del documento de acotamiento recuperadas</t>
  </si>
  <si>
    <t>Plan Parcial de Chambacú, Torices, La Unión formulado, adoptado y con seguimiento</t>
  </si>
  <si>
    <t>Plan Maestro de Caños, Lagunas y Ciénagas interiores de la ciudad y la Bahía de Cartagen</t>
  </si>
  <si>
    <t>Número de afluentes principales que derivan en la Ciénaga de la Virgen recuperadas</t>
  </si>
  <si>
    <t>EPA </t>
  </si>
  <si>
    <t>Campañas de educación ambiental y participación implementadas a los ciudadanos aledaños a la Ciénaga de la Virgen, sobre la conservación y protección del espacio verde</t>
  </si>
  <si>
    <t>Proyectos para el mejoramiento de la calidad del recurso hídrico formulados en Sistema Estabilizadora de Mareas desarrollados</t>
  </si>
  <si>
    <t>Plan de Gestión Social y Ambiental de la Ciénaga de la Virgen formulado e implementado</t>
  </si>
  <si>
    <t>Estudios y diseños actualizados red urbana formulados</t>
  </si>
  <si>
    <t>Planes Parciales de Renovación Urbana adoptados</t>
  </si>
  <si>
    <t>Plan de Mejoramiento Integral de la Boquilla formulado</t>
  </si>
  <si>
    <t>Estudios detallados de amenaza y riesgo para territorios delimitados en Planes Parciales elaborados</t>
  </si>
  <si>
    <t>Operación Territorial – O.T-5 / Frente Costero y Protección formulada</t>
  </si>
  <si>
    <t>Operación Territorial – O.T-6 / Bahía de Cartagena – Canal del Dique formulada</t>
  </si>
  <si>
    <t>Operación Territorial – O.T-12 / Zona Insular formulada</t>
  </si>
  <si>
    <t>Planes de Mejoramiento Integral de los Centros Poblados insulares formulados y ejecutados</t>
  </si>
  <si>
    <t>Cartilla de Tipologías de Vivienda Insular o Costera adaptada a los eventos de cambio climático diseñada</t>
  </si>
  <si>
    <t>Proyectos estratégicos para el mantenimiento de los cuerpos de agua de la ciudad implementados</t>
  </si>
  <si>
    <t>Proyectos estratégicos para el mantenimiento de los cuerpos de agua de la ciudad formulados en fase de prefactibilidad</t>
  </si>
  <si>
    <t>Estudio de clúster para la competitividad regional elaborado</t>
  </si>
  <si>
    <t>Iniciativa regional de infraestructura de transporte y conectividad para la productividad</t>
  </si>
  <si>
    <t>SECRETARÍA DE PLANEACIÓN - TRANSCARIBE</t>
  </si>
  <si>
    <t>Servicio de protección del recurso hídrico</t>
  </si>
  <si>
    <t>Trámites y otros procedimientos administrativos racionalizados</t>
  </si>
  <si>
    <t>Centro Integral Ciudadano creado</t>
  </si>
  <si>
    <t>Ventanillas de atención al ciudadano optimizadas en su funcionamiento</t>
  </si>
  <si>
    <t>Estrategias para responder a transparencia activa y pasiva, los instrumentos de gestión de la información con criterios de accesibilidad</t>
  </si>
  <si>
    <t>Número de rendiciones de cuentas desarrolladas</t>
  </si>
  <si>
    <t>SECRETARÍA GENERAL - SECRETARÍA DE PLANEACIÓN</t>
  </si>
  <si>
    <t>Personas formadas en uso de Tecnologías de Información y Comunicaciones (TIC)</t>
  </si>
  <si>
    <t xml:space="preserve">OFICINA ASESORA DE INFORMATICA - ESCUELA DE GOBIERNO Y LIDERAZGO
</t>
  </si>
  <si>
    <t>Sistemas de información institucionales actualizados</t>
  </si>
  <si>
    <t>OFICINA ASESORA DE INFORMATICA</t>
  </si>
  <si>
    <t>Sistemas de información institucionales nuevos implementados</t>
  </si>
  <si>
    <t>Número de zonas wifi-gratuitas instaladas y mantenidas</t>
  </si>
  <si>
    <t>Estrategia para la simplificación de procesos en el Distrito implementada</t>
  </si>
  <si>
    <t>Estrategia para la gestión del conocimiento y la innovación creada e implementada</t>
  </si>
  <si>
    <t>SECRETARÍA GENERAL Dirección Administrativa de Talento Humano</t>
  </si>
  <si>
    <t>Herramientas Tecnológicas para el uso, apropiación y fortalecimiento institucional implementadas</t>
  </si>
  <si>
    <t>Documentos de diagnóstico e implementación del Modelo Integrado de Planeación y Gestión – MIPG implementado</t>
  </si>
  <si>
    <t>Agenda regulatoria anual elaborada e implementada</t>
  </si>
  <si>
    <t>Procesos de depuración normativa distrital implementados</t>
  </si>
  <si>
    <t>Número de predios del inventario de bienes inmuebles del Distrito actualizados</t>
  </si>
  <si>
    <t>SECRETARÍA GENERAL Dirección Administrativa de Apoyo Logístico</t>
  </si>
  <si>
    <t>intervenciones a los bienes inmuebles y predios del Distrito</t>
  </si>
  <si>
    <t>Inventario de bienes muebles actualizado</t>
  </si>
  <si>
    <t>Fases del proceso de rediseño institucional implementadas</t>
  </si>
  <si>
    <t>Plan Estratégico Tratamiento de Riesgo de Seguridad y Privacidad de la información implementado</t>
  </si>
  <si>
    <t>Plan Estratégico de Seguridad y Privacidad de la información implementado</t>
  </si>
  <si>
    <t>Cloud Data Center implementado en el Distrito</t>
  </si>
  <si>
    <t>Servicios de gestión documental implementados</t>
  </si>
  <si>
    <t>Servicio de sistemas de gestión implementado</t>
  </si>
  <si>
    <t>Sistema de Gestión de Archivos Electrónicos – SGDEA implementado en cinco fases</t>
  </si>
  <si>
    <t>Plan de Formación sobre el Sistema de Control Interno y Control Interno Contable diseñado e implementado</t>
  </si>
  <si>
    <t>Software de Auditoría Basada en Riesgos para procesos y sistemas de información implementado</t>
  </si>
  <si>
    <t>Sedes del DATT dotadas con logística para mejorar la gestión administrativa y operativa en la prestación del servicio</t>
  </si>
  <si>
    <t>Portafolio virtual para oferta de trámites y servicios diseñado</t>
  </si>
  <si>
    <t>Cartera el DATT recuperada</t>
  </si>
  <si>
    <t>Puntos de la ciudad con sistema de monitoreo, control y fiscalización electrónica del tránsito instalados</t>
  </si>
  <si>
    <t>Impuesto Predial Unificado recaudado</t>
  </si>
  <si>
    <t>Impuesto Industria, Comercio y complementarios recaudado</t>
  </si>
  <si>
    <t>Impuesto delineación urbana recaudado</t>
  </si>
  <si>
    <t>Sobretasa a la gasolina recaudado</t>
  </si>
  <si>
    <t>Estrategias de fortalecimiento tributario en el Distrito diseñadas e implementadas</t>
  </si>
  <si>
    <t>Proyecto de modernización de la Secretaría de Hacienda implementado</t>
  </si>
  <si>
    <t>Número de servidores públicos y contratistas del Distrito formados y cualificados en enfoques diferenciales</t>
  </si>
  <si>
    <t>ESCUELA DE GOBIERNO Y LIDERAZGO</t>
  </si>
  <si>
    <t>Número de estrategias de formación en cultura tributarias dirigidas servidores públicos y contratistas del distrito creadas e implementadas</t>
  </si>
  <si>
    <t>Número de procesos de formación a ciudadanos desarrollados</t>
  </si>
  <si>
    <t>Número de procesos de formación a ciudadanos pertenecientes a grupos étnicos desarrollados</t>
  </si>
  <si>
    <t>Número de mesas de planeación y participación elaboradas con personas de los distintos grupos de población con enfoque inclusivo, diferencial y territorial</t>
  </si>
  <si>
    <t>Número de procesos de formación a ciudadanos con enfoque inclusivo, diferencial y territorial desarrollados</t>
  </si>
  <si>
    <t>Número de estrategias pedagógicas implementadas para promover el orgullo y el sentido de pertenencia por la ciudad</t>
  </si>
  <si>
    <t>Numero de iniciativas de cultura ciudadana implementadas</t>
  </si>
  <si>
    <t>Número de estrategias pedagógicas implementadas para fortalecer la cultura vial y el adecuado uso del Sistema Integardo de Transoporte Masivo</t>
  </si>
  <si>
    <t>Numero de estrategias de promocion de practicas para el cuidado y el desarrollo integral del ser humano implementadas</t>
  </si>
  <si>
    <t>Numero de estartegias para fomentar el respeto y la prevencion del maltrato contra la mujer implementadas</t>
  </si>
  <si>
    <t>Número de mesas de gobernanza elaboradas para el seguimiento a indicadores de ciudad</t>
  </si>
  <si>
    <t>Número de procesos de formación en gobernanza e innovación pública desarrollados</t>
  </si>
  <si>
    <t>Número de organismos de acción comunal asesoradas y acompañados para el trámite exitoso de su Registro Único Tributario (RUT) ante la DIAN</t>
  </si>
  <si>
    <t>Instituto Distrital de Acción Comunal</t>
  </si>
  <si>
    <t>Numero de organismos de accion comunal asesorados y acompañados para eñ tramite exitoso de su registro unico comunal (RUC) ante el Ministerio del Interior</t>
  </si>
  <si>
    <t>Numero de organismos de accion comunal asesorados y acompañados en procesos de actualizacion estatutaria</t>
  </si>
  <si>
    <t>Guia Metodologica para la formulacion de planes de desarrollo estrategicos comunales PDEC creada e implementada</t>
  </si>
  <si>
    <t>Ruta para garantizar la proteccion y acompañamiento de lideres y lideresas sociales, dignatarios y/o afiliados a organismos comunales de la ciudad en situacion de riesgo diseñada</t>
  </si>
  <si>
    <t>Plataforma web de seguimiento a procesos y procedimientos de organismos comunales y organinazciones sociales de base creada y en funcionamiento</t>
  </si>
  <si>
    <t>Numero de obras de interes comunitarias con organismos de acción comunal financiadas a través de convenios solidarios</t>
  </si>
  <si>
    <t>Número de sedes de organismos comunales dotadas y/o adecuadas</t>
  </si>
  <si>
    <t>Sedes de organismos comunales construidas</t>
  </si>
  <si>
    <t>Banco de proyectos de iniciativa comunal y comunitaria creado</t>
  </si>
  <si>
    <t>Número de acciones de cambio y transformación del entorno desarrolladas con organismos de acción comunal y la cuadrilla comunal en los barrios de la ciudad</t>
  </si>
  <si>
    <t>Número de fondos de financiamiento y apalancamiento para la ejecución de iniciativas y proyectos de organizaciones comunales, comunitarias y/o sociales de base creados</t>
  </si>
  <si>
    <t>Cantidad de recursos para presupuestos participativos invertidos</t>
  </si>
  <si>
    <t>SECRETARÍA DEL INTERIOR Instituto Distrital de Acción Comunal</t>
  </si>
  <si>
    <t>Número de ciudadanos participando en la construcción de instrumentos de gestión y de políticas públicas.</t>
  </si>
  <si>
    <t>Campañas para la promoción de la participación ciudadana creadas</t>
  </si>
  <si>
    <t>Número de encuentros comunales y/o comunitarios de intercambio de experiencias, construcción de ciudad y promoción de la participación ciudadana desarrollados</t>
  </si>
  <si>
    <t>Número de afiliados y afiliadas a organismos comunales del Distrito certificados bajo la metodología del programa Formador de Formadores para la Acción Comunal</t>
  </si>
  <si>
    <t>Número de voluntariados juveniles distritales conformados</t>
  </si>
  <si>
    <t>Número de escuelas de formación en liderazgo juvenil</t>
  </si>
  <si>
    <t>Número de jóvenes vinculados en programas de formación sociopolítica y habilidades para la vida</t>
  </si>
  <si>
    <t>Programas para el fortalecimiento de los derechos de la Juventud implementado</t>
  </si>
  <si>
    <t>Consejo Distrital de Juventud y Plataforma de Juventudes acompañados</t>
  </si>
  <si>
    <t>Mecanismo de promoción de la participación política y organización de las mujeres creado</t>
  </si>
  <si>
    <t>Número de mujeres formadas para la participación sociopolítica, liderazgo e incidencia política en el Distrito</t>
  </si>
  <si>
    <t>Casa de la Mujer en operación y/o funcionamiento</t>
  </si>
  <si>
    <t>Estudios socioeconómicos y poblacionales elaborados</t>
  </si>
  <si>
    <t>Estudios de focalización territorial de beneficiarios de Programas Sociales elaborados</t>
  </si>
  <si>
    <t>Productos de generación de nuevo conocimiento desarrollados</t>
  </si>
  <si>
    <t>Actividades científicas de apropiación social del conocimiento desarrollados</t>
  </si>
  <si>
    <t>Encuesta Multipropósito desarrollada</t>
  </si>
  <si>
    <t>Mapa Interactivo de Asuntos del Suelo - MIDAS 
actualizado y optimizado</t>
  </si>
  <si>
    <t>Sistema de Información Geográfico y Estadístico Distrital con infraestructura de datos espaciales creado</t>
  </si>
  <si>
    <t>Base de datos de estratificación actualizada</t>
  </si>
  <si>
    <t>Política de Gestión Estadística implementada en el marco del MIPG</t>
  </si>
  <si>
    <t>Base de datos del Sistema de Identificación de Potenciales Beneficiarios de Programas Sociales - SISBEN IV actualizada en la fase de demanda</t>
  </si>
  <si>
    <t>Oficina Administrativa y puntos de atención del Sistema de Identificación de Potenciales Beneficiarios de Programas Sociales - SISBEN IV mejorados</t>
  </si>
  <si>
    <t>Informes periódicos seguimiento de Inversión Pública</t>
  </si>
  <si>
    <t>Asistencias técnicas a entidades del Distrito elaboradas</t>
  </si>
  <si>
    <t>Soportes técnicos a usuarios en temas de proyectos de inversión elaborados</t>
  </si>
  <si>
    <t>Planes de Desarrollo Locales formulados y con seguimiento</t>
  </si>
  <si>
    <t>Estrategia de asistencia técnica para la formulación de los Planes de Desarrollo Estratégicos Comunales formulada</t>
  </si>
  <si>
    <t>Planes de Acción formulados y con seguimiento</t>
  </si>
  <si>
    <t>Proyectos estratégicos de ciudad formulados</t>
  </si>
  <si>
    <t>Políticas públicas formuladas y acompañadas en su evaluación y seguimiento</t>
  </si>
  <si>
    <t>Políticas públicas finalizadas en su formulación</t>
  </si>
  <si>
    <t>Estudios técnicos para la creación de nuevas localidades</t>
  </si>
  <si>
    <t>SECRETARÍA DE PLANEACIÓN - SECRETARÍA DEL INTERIOR Y CONVIVENCIA CIUDADANA</t>
  </si>
  <si>
    <t>Proyecto de acuerdo presentado al Concejo para la creación de localidades</t>
  </si>
  <si>
    <t>Asistencia tecnica y seguimiento a la ejecucion de los fondos de desarrollo local desarrolladas</t>
  </si>
  <si>
    <t>Instancias del Sistema Distrital de Planeación Participativa acompañadas con apoyo técnico, administrativo y logístico</t>
  </si>
  <si>
    <t>Sistema de Información catastral actualizad</t>
  </si>
  <si>
    <t>SECRETARÍA DE HACIENDA - SECRETARÍA DE PLANEACIÓN</t>
  </si>
  <si>
    <t>Plan de fortalecimiento para la prestación efectiva del servicio público de gestión catastral formulado</t>
  </si>
  <si>
    <t>Consejos Comunitarios y Organizaciones de Base de las Comunidades Negras, Afrocolombianas, Raizales y Palenqueras formados en temas de gobernabilidad</t>
  </si>
  <si>
    <t>Formar en temas de legislación, derechos humanos y el fortalecimiento organizacional a sesenta (60) Consejos Comunitarios y Organizaciones de Base de las Comunidades Negras, Afrocolombianas, Raizales y Palenqueras</t>
  </si>
  <si>
    <t xml:space="preserve">SECRETARÍA DEL INTERIOR Y CONVIVENCIA CIUDADANA - SECRETARÍA GENERAL - Oficina Asesora de Asuntos Étnicos
</t>
  </si>
  <si>
    <t>Número de funcionarios del Distrito formados en enfoque étnico</t>
  </si>
  <si>
    <t>Formar a quinientos (500) funcionarios de la Alcaldía Distrital entre ellos los operadores de justicia en enfoque étnico</t>
  </si>
  <si>
    <t>SECRETARÍA DEL INTERIOR Y CONVIVENCIA CIUDADANA - SECRETARÍA GENERAL - Oficina 
Asesora de 
Asuntos 
Étnicos</t>
  </si>
  <si>
    <t>Ruta y modelo de atención psicosocial para atención de situaciones de antirracismo y víctimas del racismo diseñada e implementada</t>
  </si>
  <si>
    <t>Diseñar e implementar una (1) ruta y modelo de atención psicosocial para atención de situaciones de antirracismo y víctimas del racismo</t>
  </si>
  <si>
    <t>Programa para participación ciudadana de las comunidades Negra, Afrocolombiana, Raizales y Palenquera en estrategia de Seguridad Humana creado e implementado</t>
  </si>
  <si>
    <t>Crear e implementar un (1) Programa para Participación Ciudadana de las Comunidades Negra, Afrocolombiana, Raizales y Palenquera, en la estrategia de Seguridad Humana</t>
  </si>
  <si>
    <t>Observatorio del Desarrollo de Comunidades Negras del Distrito creado e implementado</t>
  </si>
  <si>
    <t>Crear e implementar un (1) Observatorio del Desarrollo de Comunidades Negras del Distrito</t>
  </si>
  <si>
    <t>Número de Consejos Comunitarios con Resolución de Autoaceptación de titulación colectiva obtenida de comunidades negras del Distrito</t>
  </si>
  <si>
    <t>Obtener cuatro (4) Resoluciones de Autoaceptación de titulación colectiva de comunidades negras en el Distrito</t>
  </si>
  <si>
    <t>Consejos Comunitarios con solicitudes nuevas de Títulos Colectivos presentados ante la Agencia Nacional de Tierras</t>
  </si>
  <si>
    <t>Presentar seis (6) nuevas solicitudes nuevas de Títulos Colectivos ante la Agencia Nacional de Tierras</t>
  </si>
  <si>
    <t>Ruta de atención para víctimas del conflicto armado para comunidades Negras, Afrocolombiana, Raizal y Palenquera en los 33 Consejos Comunitarios de Cartagena implementada</t>
  </si>
  <si>
    <t>Implementar en los treinta y tres (33) Consejos Comunitarios del Distrito la ruta de atención de acuerdo con la reglamentación o normativa del conflicto (T- 025 2004, Decreto 4635 de 2011 y el auto 005 2009)</t>
  </si>
  <si>
    <t>Redes Étnicas Diferenciadas para adecuación sociocultural, de promoción y mantenimiento de salud conformadas</t>
  </si>
  <si>
    <t>Conformar cuatro (4) Redes Étnicas Diferenciadas (1 organización urbanas y 3 rurales con Consejos Comunitarios) para adecuación sociocultural de promoción y mantenimiento de salud</t>
  </si>
  <si>
    <t>Estrategia de apropiación social del conocimiento para la reducción de la incidencia de los factores toxicológicos y epidemiológicos de las comunidades negras del</t>
  </si>
  <si>
    <t>Diseñar e implementar una (1) estrategia de apropiación social del conocimiento para la reducción de la incidencia de los factores toxicológicos y epidemiológicos de las comunidades Negras del Distrito</t>
  </si>
  <si>
    <t>Torneos intercomunitarios de juegos tradicionales desarrollados</t>
  </si>
  <si>
    <t>Desarrollar cuatro (4) torneos intercomunitarios de juegos tradicionales, concertado con los Consejos Comunitarios (bate de tapita, bola de trapo, trompo, dominó, entre otros)</t>
  </si>
  <si>
    <t>Torneos de competencias del mar desarrollados con los Consejos Comunitarios</t>
  </si>
  <si>
    <t>Desarrollar cuatro (4) torneos de competencias del mar concertado con los Consejos Comunitarios (canotaje, competencia de atarrayas, pesca, tejidos, entre otros)</t>
  </si>
  <si>
    <t>Mesa de Expertos creada, implementada y con seguimiento de la implementación de la cátedra de estudios afroamericanos, transición de PEI a PEC e implementación de la resemantización en Instituciones Educativas Oficiales del Distrito</t>
  </si>
  <si>
    <t>Crear, implementar y hacer seguimiento a una (1) Mesa de Expertos para el seguimiento de la implementación de la cátedra de estudios afroamericanos, transición de PEI a PEC e implementación de la resemantización en Instituciones Educativas Oficiales del Distrito</t>
  </si>
  <si>
    <t>Becas inclusivas para estudiantes de comunidades negra, afrocolombiana, raizales y palenquera otorgadas</t>
  </si>
  <si>
    <t>Otorgar trescientas noventa y seis (396) becas inclusivas a estudiantes de los Consejos Comunitarios</t>
  </si>
  <si>
    <t>Subsidios para mejoramiento de vivienda otorgados a comunidades negra, afrocolombiana, raizales y palenqueras de los Consejos Comunitarios del Distrito</t>
  </si>
  <si>
    <t>Otorgar cuatrocientos cincuenta (450) subsidios para mejoramiento de vivienda focalizado en las comunidades negras, afrodescendientes, raizales y palenqueros del Distrito</t>
  </si>
  <si>
    <t>Espacios de participación promovidos de las comunidades negras, afro, raizales y palenqueras en procesos de elaboración de los instrumentos de planificación y macroproyectos de la ciudad</t>
  </si>
  <si>
    <t>Promover espacios de participación de las comunidades negras, afro, raizales y palenqueras en los cinco (5) procesos de elaboración de los instrumentos de planificación (POT, PEMP, Planes Parciales, macroproyectos)</t>
  </si>
  <si>
    <t>Programa de Monitoreo Comunitario de Restauración de Ecosistemas Marino - Costeros diseñado y operando</t>
  </si>
  <si>
    <t>Crear e implementar un (1) Programa de Monitoreo Comunitario de Restauración de Ecosistemas Marino-Costeros de los Consejos Comunitarios asentados en la zona marino costera y la Ciénaga de la Virgen</t>
  </si>
  <si>
    <t>Programa de Salvaguarda y Recuperación de los Bienes de Interés de Cultural de los Territorios negros, afrocolombiano, raizales y palenqueros creado e implementado</t>
  </si>
  <si>
    <t>Crear e implementar un (1) Programa de Salvaguarda y Recuperación de los Bienes de Interés de Cultural de los Territorios negros, afrocolombiano, raizales y palenqueros</t>
  </si>
  <si>
    <t>Estudio de viabilidad del transporte acuático con las comunidades en concordancia con el Artículo 40 de la Ley 70 de 1992 actualizado</t>
  </si>
  <si>
    <t>Actualizar un (1) estudio de viabilidad del transporte acuático con las comunidades negras, afrocolombiana, raizales y palenqueros</t>
  </si>
  <si>
    <t>Ecosistemas Empresariales para el cambio en las comunidades negras del Distrito de Cartagena: Aceleración de Impacto a través de creación de nuevos negocios desarrollado</t>
  </si>
  <si>
    <t>Desarrollar un (1) Ecosistema Empresarial para el cambio en las comunidades negras, afrocolombianas, raizal y palenquero del Distrito de Cartagena: Aceleración de Impacto a través de creación de nuevos negocios</t>
  </si>
  <si>
    <t>SECRETARÍA DE TURÍSMO SECRETARÍA DEL INTERIOR Y CONVIVENCIA CIUDADANA - Oficina Asesora de Asuntos Étnicos</t>
  </si>
  <si>
    <t>Espacios de participación promovidos de las comunidades negras, afro, raizales y palenqueras en la elaboración de la Política Pública de Lucha contra la Pobreza y Seguridad Alimentari</t>
  </si>
  <si>
    <t>Promover un (1) espacio de participación de las comunidades negras, afro, raizales y palenqueras en la elaboración de la Política Pública de Lucha contra la Pobreza y Seguridad Alimentaria</t>
  </si>
  <si>
    <t>SECRETARÍA GENERAL - Oficina Asesora de Asuntos Étnicos</t>
  </si>
  <si>
    <t>Seguimientos anuales desarrollados al trazador presupuestal para los recursos de inversión en territorios de comunidades negras</t>
  </si>
  <si>
    <t>Desarrollar cuatro (4) seguimientos anuales al trazador presupuestal para los recursos de inversión en territorios de comunidades negras</t>
  </si>
  <si>
    <t>Asistencia técnica brindada para la adquisición de hectáreas para la constitución de un Territorio Indígena que cobija los tres pueblos indígenas: ZENU, INGA, KANKUAMO</t>
  </si>
  <si>
    <t>Brindar asistencia técnica a cinco (5) cabildos indígenas para la adquisición de hectáreas para la constitución de un Territorio Indígena que cobija los tres pueblos indígenas: ZENÚ, INGA, KANKUAMO</t>
  </si>
  <si>
    <t>Lote para la reubicación de Cabildo Indígena CAIZEM asentado en Membrillal adquirido</t>
  </si>
  <si>
    <t>Adquirir un (1) lote para la reubicación de Cabildo indígena CAIZEM asentado en Membrillal</t>
  </si>
  <si>
    <t>Subsidios para mejoramiento de vivienda otorgados a miembros de los cabildos indígenas
ubicados en el Distrito</t>
  </si>
  <si>
    <t>Otorgar cuatrocientos cincuenta (450) de subsidios para mejoramiento de vivienda a miembros de los cabildos indígenas ubicados en el Distrito</t>
  </si>
  <si>
    <t>Cabildos indígenas asesorados en gobernanza y legislación indígena</t>
  </si>
  <si>
    <t>Asesorar a seis (6) cabildos indígenas en gobernanza y legislación indígena</t>
  </si>
  <si>
    <t>Planes de Vida de cabildos indígenas elaborados</t>
  </si>
  <si>
    <t>Elaborar los Planes de Vida de cinco (5) cabildos indígenas asentados en el Distrito de Cartagena (Zenú Zhandero, Zenu Bayunca, Zenu Pasacaballos, Kankuamo e Inga)</t>
  </si>
  <si>
    <t>Elementos patrimoniales y tecnológicos dotados a la Guardia Indígena Ancestral de los 6 cabildos como Sistema de Aplicación de Justicia al interior de las comunidades indígenas</t>
  </si>
  <si>
    <t>Dotar de elementos patrimoniales y tecnológicos a la Guardia Indígena Ancestral de los seis (6) cabildos como Sistema de Aplicación de Justicia al interior de las comunidades indígenas</t>
  </si>
  <si>
    <t>Espacio para la implementación del Centro de Estudio de Pensamiento Mayor Indígena-CEMI mantenido</t>
  </si>
  <si>
    <t>Mantener un (1) espacio para la implementación del Centro de Estudio de Pensamiento Mayor Indígena Intercultural-CEMI donde se permita el diálogo intercultural</t>
  </si>
  <si>
    <t>Ruta de atención para víctimas del conflicto armado de cabildos indígenas de Cartagena implementada</t>
  </si>
  <si>
    <t>Implementar en los seis (6) cabildos indígenas del Distrito la ruta de atención de acuerdo con la reglamentación o normativa del conflicto (T-025 del 2004, Decreto 4635 del 2011 y auto 005 del 2009)</t>
  </si>
  <si>
    <t>Cabildos Indígenas articulados con la ESE Hospital Local para la atención intercultural indígena de conformidad a los componentes del SISPI</t>
  </si>
  <si>
    <t>Articular con la ESE Hospital Local la atención intercultural indígena en seis (6) Cabildos Indígenas, de conformidad a los componentes del SISPI</t>
  </si>
  <si>
    <t>Programa de atención psicosocial y salud integral a víctimas implementado y mantenido anualmente</t>
  </si>
  <si>
    <t>Implementar y mantener anualmente un (1) programa de atención psicosocial y salud integral a víctimas en los 6 Cabildos Indígenas</t>
  </si>
  <si>
    <t>Niños, niñas y adolescentes indígenas vinculados en actividades lúdicas extramurales y del ejercicio del derecho al juego</t>
  </si>
  <si>
    <t>Vincular a quinientos (500) niños, niñas y adolescentes indígenas en actividades lúdicas extramurales y del ejercicio del derecho al juego</t>
  </si>
  <si>
    <t>Torneos de juegos ancestrales y convencionales indígenas realizados en los seis cabildos indígenas asentados en el Distrito desarrollados</t>
  </si>
  <si>
    <t>Desarrollar cuatro (4) torneos de juegos ancestrales y convencionales indígenas en los seis Cabildos Indígenas asentados en el Distrito</t>
  </si>
  <si>
    <t>Programa de protección, divulgación, preservación y salvaguarda de las prácticas, costumbres y saberes ancestrales de los pueblos originarios de los 6 cabildos indígenas presentes en el Distrito creado e implementado</t>
  </si>
  <si>
    <t>Crear e implementar un (1) programa de protección, divulgación, preservación y salvaguarda de las prácticas, costumbres y saberes ancestrales de los pueblos originarios de los 6 Cabildos Indígenas presentes en el Distrito</t>
  </si>
  <si>
    <t>Becas inclusivas para estudiantes de los cabildos indígenas asentados en el Distrito</t>
  </si>
  <si>
    <t>Otorgar sesenta (60) becas inclusivas para estudiantes de los cabildos indígenas</t>
  </si>
  <si>
    <t>Emprendimiento s de mujeres indígenas distribuidas en los 6 cabildos del Distrito financiados</t>
  </si>
  <si>
    <t>Financiar sesenta (60) emprendimientos de mujeres indígenas distribuidas en los 6 Cabildos del Distrito</t>
  </si>
  <si>
    <t>Unidades productivas en cabildos indígenas con asistencias técnicas y apoyo financiero</t>
  </si>
  <si>
    <t>Brindar asistencia técnica y apoyo financiero a doscientas (200) unidades productivas de los Cabildos Indígenas presentes en el Distrito</t>
  </si>
  <si>
    <t>PES</t>
  </si>
  <si>
    <t>torgados en el Laboratorio Cultural de Mercados Sectoriales a unidades productivas de las comunidades indígenas</t>
  </si>
  <si>
    <t>Otorgar ocho (8) espacios a unidades productivas de comunidades indígenas en el Laboratorio Cultural de los Mercados Sectoriales como mecanismo de generación de ingresos</t>
  </si>
  <si>
    <t>Mujeres indígenas atendidas en el fortalecimiento de las actividades propias</t>
  </si>
  <si>
    <t>Atender a cien (100) mujeres indígenas en el fortalecimiento de sus actividades propias</t>
  </si>
  <si>
    <t>Unidad Municipal de Asistencia Técnica Agropecuaria</t>
  </si>
  <si>
    <t>Mujeres indígenas atendidas con servicios de extensión agropecuaria</t>
  </si>
  <si>
    <t>Atender a cien (100) mujeres indígenas con servicios de extensión agropecuaria</t>
  </si>
  <si>
    <t>PORCENTAJE  ALCANZADO DICIEMBRE  RESPECTO A LO PROGRAMADO 2024</t>
  </si>
  <si>
    <t xml:space="preserve">LOGRO ALCANZADO DICIEMBRE RESPECTO AL CUATRIENIO  </t>
  </si>
  <si>
    <t xml:space="preserve">PONDERADOR </t>
  </si>
  <si>
    <t>AVANCE  VIGENCIA 2024 CUARTO TRIMESTRE RESPECTO A PROGRAMADO CUATRIENIO (ACUMULADO AÑO 2024)</t>
  </si>
  <si>
    <t>AVANCE RESPECTO AL PROGRAMADO VIGENCIA  2024  CUARTO TRIMESTRE (ACUMULADO AÑO 2024)</t>
  </si>
  <si>
    <t>PLAN DE DESARROLLO CARTAGENA CIUDAD DE DERECHOS 20224 - 2027</t>
  </si>
  <si>
    <t xml:space="preserve">Implementar cuatrocientos cuarenta  (440) sistemas de información para la seguridad (alarmas comunitarias, drones, totem) 
</t>
  </si>
  <si>
    <t>PONDERADOR LINEA ESTRATEGICA</t>
  </si>
  <si>
    <t>Racionalizar cuarenta (40)  nuevos trámites y/o procesos administrativos </t>
  </si>
  <si>
    <t>Crear un (1) Centro Integral de Atención Ciudadano (CIAC)</t>
  </si>
  <si>
    <t>Optimizar tres (3) ventanillas de atención ciudadana en su funcionamiento</t>
  </si>
  <si>
    <t>Implementar una (1) estrategia de acceso para respuesta a transparencia activa y pasiva, los instrumentos de gestión de la información con criterios de accesibilidad</t>
  </si>
  <si>
    <t>Desarrollar ocho (8) rendiciones públicas de cuentas a la ciudadanía</t>
  </si>
  <si>
    <t>Formar a tres mil (3.000) personas en el uso de Tecnologías de Información y Comunicaciones (TIC)</t>
  </si>
  <si>
    <t>Actualizar seis (6) sistemas de información de la entidad</t>
  </si>
  <si>
    <t>Implementar seis (6) nuevos sistemas de información institucionales</t>
  </si>
  <si>
    <t>Instalar treinta y dos (32) nuevas zonas Wi-Fi y mantener las 18 actuales</t>
  </si>
  <si>
    <t>Implementar una (1) estrategia para la simplificación de procesos</t>
  </si>
  <si>
    <t>Crear e implementar una (1) estrategia para la gestión del conocimiento y la innovación</t>
  </si>
  <si>
    <t>Implementar tres (3) herramientas tecnológicas para el uso, apropiación y fortalecimiento institucional implementadas</t>
  </si>
  <si>
    <t>Implementar cuatro (4) documentos de diagnóstico e implementación del Modelo Integrado de Planeación y Gestión – MIPG</t>
  </si>
  <si>
    <t>Elaborar e implementar cuatro (4) agendas regulatorias</t>
  </si>
  <si>
    <t>Implementar cuatro (4) procesos de depuración normativa</t>
  </si>
  <si>
    <t>Actualizar diez mil seiscientos treinta y cinco (10.635) predios del inventario de bienes inmuebles pertenecientes al Distrito</t>
  </si>
  <si>
    <t>Intervenir seiscientos (600) bienes inmuebles y predios del Distrito</t>
  </si>
  <si>
    <t>Actualizar un (1) inventario de bienes muebles pertenecientes al Distrito</t>
  </si>
  <si>
    <t>Implementar cinco (5) fases del proceso de rediseño organizacional (Acuerdo Inicial, Diagnóstico, Diseño, Implementación, Supresión y/o liquidación)</t>
  </si>
  <si>
    <t>Implementar (1) Un Plan Estratégico  de Tratamiento de Riesgo de Seguridad y Privacidad de la Información.</t>
  </si>
  <si>
    <t>Implementar (1) Un Plan Estratégico  de Seguridad y Privacidad de la información.</t>
  </si>
  <si>
    <t>Implementar un (1) Cloud Data Center para la protección y seguridad de la información en el Distrito de Cartagena</t>
  </si>
  <si>
    <t>Implementar cinco (5) servicios de gestión documental</t>
  </si>
  <si>
    <t>Implementar dos (2) servicios de sistemas de gestión</t>
  </si>
  <si>
    <t>Implementar un (1) Sistema de Gestión de Archivos Electrónicos – SGDEA en sus 5 fases: (Planeación, análisis, diseño, implementación y evaluacion, monitoreo y control)</t>
  </si>
  <si>
    <t>Diseñar e implementar un (1) Plan de Formación sobre el Sistema de Control Interno y Control Interno Contable</t>
  </si>
  <si>
    <t>Implementar un (1) Software de Auditoría Basada en Riesgos para procesos y sistemas de información</t>
  </si>
  <si>
    <t>Dotar tres (3) sedes del DATT con logística para mejorar la gestión administrativa y operativa en la prestación del servicio</t>
  </si>
  <si>
    <t>Diseñar un (1) portafolio virtual para oferta de trámites y servicios</t>
  </si>
  <si>
    <t>Recuperar ciento diecisiete mil dos ($ 117.002) millones de pesos de la cartera del DATT</t>
  </si>
  <si>
    <t>Instalar en treinta (30) puntos de la ciudad con sistema de monitoreo, control y fiscalización electrónica del tránsito</t>
  </si>
  <si>
    <t>Recaudar $1.727.905.000.000 pesos por impuesto predial unificado</t>
  </si>
  <si>
    <t>Recaudar $2.912.805.184.493 pesos por Impuesto de Industria y Comercio y complementarios</t>
  </si>
  <si>
    <t>Recaudar 34.797.802.428 de Impuesto delineación urbana en el cuatrienio</t>
  </si>
  <si>
    <t>Recaudar 238.874.034.451 de Sobretasa a la gasolina en el cuatrienio</t>
  </si>
  <si>
    <t>Implementar un (1) proyecto de modernización integral en la Secretaría de Hacienda</t>
  </si>
  <si>
    <t>Formar y cualificar dos mil ciento noventa y ocho (2.198) servidores públicos y contratistas del Distrito en enfoques diferenciales</t>
  </si>
  <si>
    <t>Crear e implementar cuatro (4) estrategias de formación en cultura tributaria dirigidas a servidores públicos y contratistas del Distrito</t>
  </si>
  <si>
    <t>Desarrollar ochenta (80) procesos de formación a ciudadanos</t>
  </si>
  <si>
    <t>Desarrollar veinte (20) procesos de formación a ciudadanos pertenecientes a grupos étnicos</t>
  </si>
  <si>
    <t>Elaborar dieciséis (16) mesas de planeación y participación dirigidas a distintos grupos de población con enfoque inclusivo, diferencial y territorial</t>
  </si>
  <si>
    <t>Desarrollar cuarenta (40) procesos de formación con enfoque inclusivo, diferencial y territorial</t>
  </si>
  <si>
    <t>Implementar cuatro (4) estrategias pedagógicas para promover el orgullo y el sentido de pertenencia por la ciudad</t>
  </si>
  <si>
    <t>Implementar ciento treina y ocho (138) iniciativas de cultura ciudadana</t>
  </si>
  <si>
    <t>Implementar ocho (8) estrategias pedagógicas para fortalecer la cultura vial y el adecuado uso del Sistema Integrado de Transporte Masivo</t>
  </si>
  <si>
    <t>Implementar cuatro (4) estrategias de promocion de practicas para el cuidado y el desarrollo integral del ser humano</t>
  </si>
  <si>
    <t>Implementar cuatro (4) estartegias para fomentar el respeto y la prevencion del maltrato contra la mujer</t>
  </si>
  <si>
    <t>Realizar doce (12) mesas de gobernanza para el seguimiento a indicadores de ciudad</t>
  </si>
  <si>
    <t>Desarrollar cuatro (4) procesos de formación en gobernanza e innovación pública</t>
  </si>
  <si>
    <t>Asesorar y acompañar doscientos nueve (209) organismos de acción comunal para el trámite exitoso de su Registro Único Tributario (RUT) ante la DIAN</t>
  </si>
  <si>
    <t>Asesorar y acompañar trescientos veintiocho (328) organismos de accion comunal asesorados y acompañados para eñ tramite exitoso de su registro unico comunal (RUC)</t>
  </si>
  <si>
    <t>Asesorar y acompañar cuatrocientos dos (402) rganismos de accion comunal en procesos de actualizacion estatutaria</t>
  </si>
  <si>
    <t>Crear e implementar una (1) Guia Metodologica para la formulacion de planes de desarrollo estrategicos comunales PDEC</t>
  </si>
  <si>
    <t>Diseñar una (1) ruta para garantizar la proteccion y acompañamiento de lideres y lideresas sociales, dignatarios y/o afiliados a organismos comunales de la ciudad en situacion de riesgo</t>
  </si>
  <si>
    <t>Crear y poner en funcionamiento una (1) Plataforma web de seguimiento a procesos y procedimientos de organismos comunales y organinazciones sociales de base</t>
  </si>
  <si>
    <t>Financiar trescientas (300) obras de interes comunitario con organismos de acción comunal a través de convenios solidarios</t>
  </si>
  <si>
    <t>Dotar y/o adecuar cien (100) sedes comunales en el Distrit</t>
  </si>
  <si>
    <t>Construir tres (3) sedes comunales en el Distrito</t>
  </si>
  <si>
    <t>Crear un (1) banco de proyectos de iniciativas comunales y comunitarias</t>
  </si>
  <si>
    <t>Desarrollar doscientas (200) actividades de cambio y transformación del entorno con organismos de acción comunal y la cuadrilla comunal</t>
  </si>
  <si>
    <t>Crear un (1) fondo de financiamiento y apalancamiento para la ejecución de iniciativas y proyectos de organizaciones comunales, comunitarias y/o sociales de base</t>
  </si>
  <si>
    <t>Invertir seis mil millones de pesos ($6.000.000.000) pesos para presupuestos participativos por año</t>
  </si>
  <si>
    <t>Vincular a cincuenta mil (50.000) ciudadanos a procesos de construcción de instrumentos de gestión y de políticas públicas</t>
  </si>
  <si>
    <t>Crear cuatro (4) campañas para la promoción de la participación ciudadana</t>
  </si>
  <si>
    <t>Desarrollar veinte (20) encuentros comunales y/o comunitarios de intercambio de experiencias, construcción de ciudad y promoción de la participación ciudadana</t>
  </si>
  <si>
    <t>Certificar mil quinientos (1.500) afiliados y afiliadas a organismos comunales del Distrito bajo la metodología del programa Formador de Formadores para la Acción Comunal</t>
  </si>
  <si>
    <t>Conformar un (1) voluntariado juvenil distrital</t>
  </si>
  <si>
    <t>Crear una (1) escuela de formación en liderazgo juvenil</t>
  </si>
  <si>
    <t>Vincular ocho mil (8.000) jóvenes en programas de formación sociopolítica y habilidades para la vida</t>
  </si>
  <si>
    <t>Implementar cuatro (4) programas (uno por año) para el fortalecimiento de los derechos de la Juventud</t>
  </si>
  <si>
    <t>Acompañar con apoyo técnico, administrativo y logístico al Consejo Distrital de Juventud y Plataforma de Juventudes</t>
  </si>
  <si>
    <t>Crear un (1) Consejo Consultivo de Mujeres y Equidad de Género</t>
  </si>
  <si>
    <t>Formar a tres mil (3.000) mujeres para la participación sociopolítica, liderazgo e incidencia política en el Distrito</t>
  </si>
  <si>
    <t>Diseñar, construir y dotar una (1) Casa de la Mujer para su operación y/o funcionamiento</t>
  </si>
  <si>
    <t>Elaborar cuatro (4) estudios socioeconómicos y poblacionales</t>
  </si>
  <si>
    <t>Elaborar seis (6) estudios de focalización territorial de beneficiarios de Programas Sociales</t>
  </si>
  <si>
    <t>Desarrollar seis (6) productos de generación de nuevo conocimiento</t>
  </si>
  <si>
    <t>Desarrollar diez (10) actividades científicas de apropiación social del conocimiento</t>
  </si>
  <si>
    <t>Desarrollar una (1) Encuesta Multipropósito</t>
  </si>
  <si>
    <t>Actualizar y optimizar un (1) Mapa Interactivo de Asuntos del Suelo - MIDAS</t>
  </si>
  <si>
    <t>Crear e implementar un (1) Sistema de Información Geográfico y Estadístico Distrital potenciado con infraestructura de datos espaciales</t>
  </si>
  <si>
    <t>Mantener actualizada una (1) base de datos de estratificación del Distrito</t>
  </si>
  <si>
    <t>Implementar una (1) Política de Gestión Estadística en el marco de MIPG</t>
  </si>
  <si>
    <t>Mantener actualizada una (1) base de datos del SISBEN IV en la fase de demanda</t>
  </si>
  <si>
    <t>Mejorar una (1) Oficina Administrativa y diez (10) puntos de atención del SISBEN IV</t>
  </si>
  <si>
    <t>Elaborar dieciséis (16) informes periódicos seguimiento de inversión pública</t>
  </si>
  <si>
    <t>Elaborar noventa y dos (92) asistencias técnicas entidades del Distrito</t>
  </si>
  <si>
    <t>Elaborar mil quinientos (1.500) soportes técnicos a usuarios en temas de proyectos de inversión</t>
  </si>
  <si>
    <t>Formular y hacer seguimiento a los Planes de Desarrollo Local</t>
  </si>
  <si>
    <t>Formular una (1) estrategia de asistencia técnica para la formulación de los Planes de Desarrollo Estratégicos Comunales</t>
  </si>
  <si>
    <t>Formular y hacer seguimiento a veintiun (21) Planes de Acción</t>
  </si>
  <si>
    <t>Formular en sus tres fases siete (7) proyectos estratégicos de ciudad</t>
  </si>
  <si>
    <t>Formular y acompañar en su evaluación y seguimiento a nueve (9) políticas públicas</t>
  </si>
  <si>
    <t>Finalizar la formulación y acompañar en la evaluación y seguimiento a tres (3) políticas públicas</t>
  </si>
  <si>
    <t>Elaborar un (1) estudio técnico para la creación de nuevas localidades</t>
  </si>
  <si>
    <t>Presentar un (1) proyecto de acuerdo al Concejo para la creación de dos localidades</t>
  </si>
  <si>
    <t>Desarrollar Asistencia tecnica y seguimiento a la ejecucion de los fondos de desarrollo local</t>
  </si>
  <si>
    <t>Acompañar con apoyo técnico, administrativo y logístico anualmente a cinco (5) instancias de planeación (Consejo Territorial de Planeación, el Consejo Consultivo de Ordenamiento Territorial y el Consejo de Participación Ciudadana)</t>
  </si>
  <si>
    <t>Implementar una (1) operación del servicio público de catastro multipropósito</t>
  </si>
  <si>
    <t>Formular un (1) plan de fortalecimiento para la prestación efectiva del servicio público de gestión catastral</t>
  </si>
  <si>
    <t>Revisar, actualizar y ajustar un (1) Plan de Ordenamiento Territorial para presentarlo ante el Concejo para su adopción</t>
  </si>
  <si>
    <t>Revisar, actualizar y ajustar un (1) Plan Especial de Manejo y Protección del Centro Histórico y su área de influencia para presentarlo ante el Ministerio de Cultura para su adopción</t>
  </si>
  <si>
    <t>Formular una (1) Actuación Urbana Integral A.U.I -12 / Recuperación Integral del Cerro de la Popa</t>
  </si>
  <si>
    <t>Formular una (1) Actuación Urbana Integral A.U.I -13 / Recuperación Integral del Cerro de Albornoz – Cospique</t>
  </si>
  <si>
    <t>Formular una (1) nueva Actuación Urbana Integral A.U.I / Desarrollo de un Plan Parcial de mejoramiento de vivienda con un proyecto multipropósito de espacios públicos y mixtos para el mejoramiento del hábitat de los asentamientos de Nelson y Villa Hermosa</t>
  </si>
  <si>
    <t>Formular dos (2) Planes: un (1) Plan Maestro de Servicios Urbanos e Institucionales al ciudadano, y un (1) Plan Maestro de Equipamientos Colectivos y Hábitat</t>
  </si>
  <si>
    <t>Formular un (1) Plan Local Portuario, articulado a los instrumentos de planeación territorial y a la Política Pública Nacional Portuaria</t>
  </si>
  <si>
    <t>Reformular, adoptar y dar seguimiento a un (1) Plan Parcial de Renovación Urbana de Bazurto</t>
  </si>
  <si>
    <t>Adoptar dos (2) Planes Parciales en suelo de expansión de los Centros Poblados de Bayunca y Pasacaballos</t>
  </si>
  <si>
    <t>Reformular, adoptar y dar seguimiento a un (1) Plan Parcial del Sector Policarpa, Arroz Barato y Puerta de Hierro</t>
  </si>
  <si>
    <t>Reformular, adoptar y dar seguimiento a un (1) Plan Parcial de Reordenamiento de las Lomas del Marión y Zaragocilla</t>
  </si>
  <si>
    <t>Tramitar la totalidad de los proyectos de legalización urbanística presentados a la administración distrital</t>
  </si>
  <si>
    <t>Diseñar y ejecutar un (1) Plan Estratégico para el traslado de Marlinda y Villa Gloria</t>
  </si>
  <si>
    <t>Formular y ejecutar diez (10) Planes de Mejoramiento Integral de Centros Poblados (Arroyo Grande, Arroyo de las Canoas, Punta Canoas, Manzanillo, Puerto Rey, Tierrabaja, Pontezuela, Membrillal, Leticia y Recreo)</t>
  </si>
  <si>
    <t>Diseñar cuatro (4) lineamientos técnicos y pedagógicos para garantizar el derecho a la ciudad de niñas y mujeres en el entorno urbano</t>
  </si>
  <si>
    <t>Formular un (1) Plan Estratégico Prospectivo Cartagena 2050</t>
  </si>
  <si>
    <t>Recuperar y mantener ciento ochenta y cinco mil (185.000) metros cuadrados de espacios públicos</t>
  </si>
  <si>
    <t>Habilitar once mil (11.000) metros cuadrados de espacio público nuevos para el aprovechamiento económico</t>
  </si>
  <si>
    <t>Presentar doscientas (200) querellas para la recuperación del espacio público</t>
  </si>
  <si>
    <t>Formular una (1) Política Pública de Legalización de Asentamientos Humanos y del Control Urbano</t>
  </si>
  <si>
    <t>Formular y presentar dos (2) documentos de planeación para la implementación de la curaduría pública y de nuevas curadurías urbanas</t>
  </si>
  <si>
    <t>Formular un (1) estudio para dar viabilidad para la creación de nuevas curadurías urbanas</t>
  </si>
  <si>
    <t>Elaborar ocho (8) obras de demolición derivadas de fallos, sentencias y sanciones</t>
  </si>
  <si>
    <t>Conformar un (1) equipo de reacción inmediata para la reducción, intervención y control de invasiones ilegales</t>
  </si>
  <si>
    <t>Certificar dos mil ochocientos (2.800) defensores urbanos barriales en normas urbanísticas</t>
  </si>
  <si>
    <t>Especializar y dotar siete (6) sedes de inspecciones en temas urbanísticos con herramientas tecnológicas</t>
  </si>
  <si>
    <t>Generar seiscientos (600) documentos normativos</t>
  </si>
  <si>
    <t>Desarrollar doce (12) actividades por año para promover la protección y bienestar animal en sectores turísticos</t>
  </si>
  <si>
    <t>Atender a veinte mil (20.000) animales por año en jornadas de salud, prevención y protección animal</t>
  </si>
  <si>
    <t>Estandarizar tres (3) protocolos para la atención a animales domésticos y silvestres</t>
  </si>
  <si>
    <t>Censar cien mil (100.000) animales domésticos</t>
  </si>
  <si>
    <t>Crear tres (3) módulos o aplicativos funcionales de software integrados en una plataforma web de acceso abierto</t>
  </si>
  <si>
    <t>Crear y poner en operación un (1) Centro de Bienestar Animal del Distrito</t>
  </si>
  <si>
    <t>Dotar tres (3) unidades móviles de atención veterinaria</t>
  </si>
  <si>
    <t>Plantar trescientos mil (300.000) árboles en el Distrito de Cartagena</t>
  </si>
  <si>
    <t>Restaurar ocho (8) hectáreas de áreas degradadas</t>
  </si>
  <si>
    <t>Construir y dotar un (1) Centro de Atención y Valoración de Fauna Silvestre nuevo</t>
  </si>
  <si>
    <t>Crear y poner en funcionamiento un (1) Centro Inteligente para el Monitoreo Ambiental de Cartagena</t>
  </si>
  <si>
    <t>Implementar dos (2) estaciones de monitoreo de la calidad del aire</t>
  </si>
  <si>
    <t>Elaborar cuatro (4) documentos de investigación para la gestión de la información y el conocimiento ambiental</t>
  </si>
  <si>
    <t>Formular una (1) Política Pública de Educación Ambiental</t>
  </si>
  <si>
    <t>Diseñar diez mil (10.000) metros lineales de senderos peatonales</t>
  </si>
  <si>
    <t>Diseñar y construir seis (6) megaproyectos de parques con criterios de adaptación al cambio climático</t>
  </si>
  <si>
    <t>Elaborar seis (6) documentos de lineamientos técnicos para determinantes ambientales</t>
  </si>
  <si>
    <t>Actualizar e implementar un (1) Plan 4C: Cartagena Competitiva y Compatible con el Clima</t>
  </si>
  <si>
    <t>Actualizar y adoptar un (1) Plan Distrital de Gestión de Riesgo</t>
  </si>
  <si>
    <t>Mantener actualizado un (1) Sistema de informacion de conocimiento del riesgo</t>
  </si>
  <si>
    <t>Llevar a ciento ocho (108) el número de inventarios de asentamientos en zonas de alto riesgo elaborados</t>
  </si>
  <si>
    <t>Implementar un (1) sistema de comunicación de gestión del riesgo con todos los actores que integran la gestión de riesgo del Distrito</t>
  </si>
  <si>
    <t>Coordinar veintitrés (23) acciones para mitigación y atención de desastres</t>
  </si>
  <si>
    <t>Formar ciento treinta y dos (132) organizaciones comunitarias en prevención y gestión de los riesgos</t>
  </si>
  <si>
    <t>Desarrollar tres (3) Acciones de protección de laderas para reducción del riesgo en el Cerro Lefran, Cerro la Popa y Cerro de Albornoz</t>
  </si>
  <si>
    <t>Actualizar y adoptar una (1) Estrategia de Respuesta a Emergencias del Distrito de Cartagena</t>
  </si>
  <si>
    <t>Atender dos mil (2.000) emergencias de riesgo que se presenten en el Distrito</t>
  </si>
  <si>
    <t>Entregar mil cuatrocientos cincuenta (1.450) beneficios económicos a familias afectadas en los distintos eventos manejados por la Oficina Asesora para la Gestión de Riesgo de Desastres</t>
  </si>
  <si>
    <t>Construir siete (7) km de protección costera para llegar a los 13.2 km</t>
  </si>
  <si>
    <t>Formular e implementar un (1) Plan Integral de Parques y Zonas Verdes</t>
  </si>
  <si>
    <t>Mejorar cinco (5) kilómetros de orillas para uso recreativo en caños, lagos y lagunas</t>
  </si>
  <si>
    <t>Formular e implementar un (1) Plan Especial de Movilidad y Peatonalización del Centro Histórico</t>
  </si>
  <si>
    <t>Mejorar catorce mil (14.000) metros lineales de andenes y bordillos del Centro Histórico</t>
  </si>
  <si>
    <t>Mejorar quince (15) plazas, parques y plazoletas del Centro Histórico</t>
  </si>
  <si>
    <t>Elaborar un (1) Estudio de Capacidad de Carga del Espacio Público Patrimonial</t>
  </si>
  <si>
    <t>Elaborar un (1) Estudio y dar lineamientos técnicos de las nuevas Tipologías Arquitectónicas del Centro Histórico</t>
  </si>
  <si>
    <t>Elaborar una (1) Cartilla del Espacio Público Patrimonial</t>
  </si>
  <si>
    <t>Recuperar y mantener dos parques: (parque Espíritu del Manglar y Parque del Centenario).</t>
  </si>
  <si>
    <t>Rehabilitar cuatro (4) espacios públicos que comunican el Centro Histórico y Castillo de San Felipe</t>
  </si>
  <si>
    <t>Adecuar tres (3) zonas del espacio público para la recreación y el deporte en el paisaje fortificado</t>
  </si>
  <si>
    <t>Construir dos (2) enlaces peatonales de cordon amurallado</t>
  </si>
  <si>
    <t>Desarrollar dieciséis (16) actividades para la apropiación colectiva del patrimonio y la gobernanza territorial</t>
  </si>
  <si>
    <t>Construir diez (10) obras para la competitividad distintas a vías</t>
  </si>
  <si>
    <t>Rehabilitar sesenta (60) km/carril de la malla vial</t>
  </si>
  <si>
    <t>Construir cuatro (4) km/carril de malla vial</t>
  </si>
  <si>
    <t>Construir tres (3) puentes nuevos en la ciudad</t>
  </si>
  <si>
    <t>Construir un (1) corredor vial de la troncal del sur</t>
  </si>
  <si>
    <t>Construir dos (2) kilómetros de vías urbanas por contribución de Valorización.</t>
  </si>
  <si>
    <t>Construir diez (10) kilómetros de vías rurales</t>
  </si>
  <si>
    <t>Construir diez mil (10.000) metros cuadrados de andenes y/o áreas peatonales</t>
  </si>
  <si>
    <t>Instalar dos mil doscientos ochenta y nueve (2.289) señales verticales</t>
  </si>
  <si>
    <t>Diseñar y demarcar veinte (20) kilómetros de ciclorutas</t>
  </si>
  <si>
    <t>Ampliar una (1) red semafórica de la ciudad</t>
  </si>
  <si>
    <t>Actualizar y normalizar catorce (14) rutas del Transporte Público Colectivo</t>
  </si>
  <si>
    <t>Erradicar diez (10) estaciones de transporte informal</t>
  </si>
  <si>
    <t>Intervenir y mejorar dieciocho (18) puntos críticos de movilidad</t>
  </si>
  <si>
    <t>Diseñar y demarcar Veinte (20) zonas de estacionamiento regulado (ZER)</t>
  </si>
  <si>
    <t>Sustituir ciento diecinueve (119) vehículos de tracción animal dedicados al transporte de cargas livianas</t>
  </si>
  <si>
    <t>Sustituir sesenta (60) vehículos de tracción animal dedicados al servicio turístico</t>
  </si>
  <si>
    <t>Elaborar una (1) caracterización socioeconómica de mototrabajadores</t>
  </si>
  <si>
    <t>Renovar dieciocho (18) estaciones del sistema</t>
  </si>
  <si>
    <t>Renovar un (1) Patio Portal</t>
  </si>
  <si>
    <t>Renovar un (1) carril de solobus</t>
  </si>
  <si>
    <t>Implementar un (1) servicio de seguridad ciudadana en el Sistema Integrado de Transporte Masivo</t>
  </si>
  <si>
    <t>Renovar cuatrocientos ochenta y dos (482) paraderos</t>
  </si>
  <si>
    <t>Modernizar un (1) sistema de recaudo, gestión de flota, información al usuario</t>
  </si>
  <si>
    <t>Implementar veinticinco (25) estrategias para la promoción de la cultura ciudadana y el uso del sistema</t>
  </si>
  <si>
    <t>Diseñar tres (3) estudios técnicos para la evaluación de operación de flota eléctrica, transporte acuático, transporte por cable aéreo</t>
  </si>
  <si>
    <t>Ejecutar tres (3) fases del proyecto de transporte acuático</t>
  </si>
  <si>
    <t>Construir o recuperar diez (10) embarcaderos para el transporte acuático</t>
  </si>
  <si>
    <t>Elaborar estudio para la implementación de la tarifa diferencial en el Sistema</t>
  </si>
  <si>
    <t>Implementar una (1) estrategia para la lucha contra el acoso en el Sistema Integrado de Transporte Masivo</t>
  </si>
  <si>
    <t>Movilizar ciento treinta y siete millones trescientos dos mil novecientos noventa y ocho (137.302.998) pasajeros en el cuatrienio</t>
  </si>
  <si>
    <t>Recuperar cuarenta (40) hectáreas de manglares</t>
  </si>
  <si>
    <t>Extraer ciento cuarenta mil (140.000) metros cúbicos de sedimentos en la Bocana y laguna de Chambacú</t>
  </si>
  <si>
    <t>Formular un (1) estudios de prefactibilidad para la implementación de laboratorio interactivo en un sector del caño Juan Angola</t>
  </si>
  <si>
    <t>Diseñar diez (10) kilómetros de canales.</t>
  </si>
  <si>
    <t>Construir un (1) km de canales.</t>
  </si>
  <si>
    <t>Retirar cien mil (100.000) m3 de material de limpieza en el cuatrienio.</t>
  </si>
  <si>
    <t>Recuperar diez (10) km de bordes de costa de cuerpos de agua</t>
  </si>
  <si>
    <t>Elaborar un (1) documento de acotamiento y priorización de ronda hídrica</t>
  </si>
  <si>
    <t>Recuperar una (1) ronda hídrica priorizada a través del documento de acotamiento</t>
  </si>
  <si>
    <t>Formular, adoptar y hacer seguimiento a un (1) Plan Parcial de Chambacú, Torices, La Unión</t>
  </si>
  <si>
    <t>Formular un (1) Plan Maestro de Caños, Laguna y Ciénagas interiores de la Ciudad y la Bahía de Cartagena</t>
  </si>
  <si>
    <t>Recuperar diez (10) afluentes principales que derivan en la Ciénaga de la Virgen</t>
  </si>
  <si>
    <t>Desarrollar veinte (20) campañas de educación ambiental sobre conservación y protección del espacio verde  para habitantes de zonas aledañas a la Ciénaga de la Virgen</t>
  </si>
  <si>
    <t>Desarrollar dos (2) proyectos de mejoramiento del Sistema Estabilizadora de Mareas</t>
  </si>
  <si>
    <t>Formular e implementar un (1) Plan de Gestión Social y Ambiental de la Ciénaga de la Virgen</t>
  </si>
  <si>
    <t>Formular un (1) estudio y diseño de fase III (factibilidad) para la construcción de la Vía Perimetral</t>
  </si>
  <si>
    <t>Formular y adoptar tres (3) Planes Parciales de Renovación Urbana: R4, R7 y R8</t>
  </si>
  <si>
    <t>Formular un (1) Plan de Mejoramiento Integral de la Boquilla</t>
  </si>
  <si>
    <t>Elaborar estudios detallados de amenaza y riesgo para los territorios delimitados en los Planes Parciales R1, R2, R3, R5 y R6</t>
  </si>
  <si>
    <t>Formular una (1) Operación Territorial – O.T-5 / Frente Costero y Protección de Playas</t>
  </si>
  <si>
    <t>Formular una (1) Operación Territorial – O.T-6 / Bahía de Cartagena – Canal del Dique</t>
  </si>
  <si>
    <t>Formular una (1) Operación Territorial – O.T 12 / Zona Insular</t>
  </si>
  <si>
    <t>Formular y ejecutar los Planes de Mejoramiento Integral de los Centros Poblados insulares de Bocachica, Caño del Oro, Punta Arena, Tierrabomba, Barú, Isla Grande, Santa Cruz del Islote, e Isla Fuerte</t>
  </si>
  <si>
    <t>Diseñar (1) Cartilla de Tipologías de Vivienda Insular o Costera adaptada a los eventos de cambio climático</t>
  </si>
  <si>
    <t>Implementar dos (2) proyectos estratégicos para el mantenimiento de los cuerpos de agua de la ciudad (Borde Social Ambiental Caño Juan Angola y Parque Pescadores de la Bocana)</t>
  </si>
  <si>
    <t>Formular en fase de prefactibilidad cuatro (4) proyectos estratégicos para el mantenimiento de los cuerpos de agua de la ciudad (Restauración ecosocial de cuenca Arroyo Matute, Zona de los canales, Zona de los arroyos, Zona de Caños y Lagos)</t>
  </si>
  <si>
    <t>Elaborar un (1) estudio de clúster para la competitividad regional</t>
  </si>
  <si>
    <t>Diseñar una (1) iniciativa regional de infraestructura de transporte abastecimiento y logística</t>
  </si>
  <si>
    <t>Desarrollar un (1) Servicio de protección del recurso hídrico para Promover inversiones supramunicipales</t>
  </si>
  <si>
    <t>Actualizar un (1) Plan Regional de Competitividad</t>
  </si>
  <si>
    <t>Implementar cuatro (4) acciones que fortalezcan el mejoramiento del clima de negocios</t>
  </si>
  <si>
    <t>Ejecutar cuatro (8) estrategias de acompañamiento de iniciativas clúster y apuestas productivas promisorias</t>
  </si>
  <si>
    <t xml:space="preserve">Beneficiar a mil (1.000)
personas a través del diseño y ejecución de 4 planes de fomento de la cultura de la innovación
</t>
  </si>
  <si>
    <t>Actualizar un (1) Sistema Distrital de Innovación a través de acciones anuales</t>
  </si>
  <si>
    <t>Implementar cuatro (4) Estrategias de posicionamiento “Cartagena Plataforma Exportadora”</t>
  </si>
  <si>
    <t>Asistir cien (100) empresas en programas de exportaciones</t>
  </si>
  <si>
    <t>Generar cuatro (4) alianzas para la promoción de Cartagena como “destino internacional en inversiones y apuestas productivas”</t>
  </si>
  <si>
    <t>Implementar cuatro (4) rutas para la diversificación económica y el desarrollo empresarial</t>
  </si>
  <si>
    <t>Ejecutar cuatro (4) estrategias de fortalecimiento empresarial y generación de encadenamientos productivos</t>
  </si>
  <si>
    <t>Impactar cuatrocientos (400) MiPymes con servicios de fortalecimiento empresarial</t>
  </si>
  <si>
    <t>Implementar un (1) programa de fortalecimiento de comerciantes de sectores estratégicos</t>
  </si>
  <si>
    <t>Habilitar y consolidar sesenta (60) alianzas de cooperantes nacionales e internacionales</t>
  </si>
  <si>
    <t>Habilitar y mapear mil doscientas (1.200) organizaciones para cooperar</t>
  </si>
  <si>
    <t>Consolidar sesenta (60) nuevos negocios verdes</t>
  </si>
  <si>
    <t>Implementar dos (2) plantas para la revalorización de residuos en zonas de tratamiento integral (acopio, transformación, aprovechamiento y comercialización).</t>
  </si>
  <si>
    <t>Implementar cinco (5) proyectos específicos de economía circular con apoyo de cooperantes</t>
  </si>
  <si>
    <t>Desarrollar una (1) investigación para evaluar y redefinir las apuestas productivas de la ciudad en el marco de las tendencias futuras de la economía mundial</t>
  </si>
  <si>
    <t>Elaborar (1) estudio sobre mercado laboral y pertinencia educativa</t>
  </si>
  <si>
    <t>Crear un (1) fondo para la reconversión productiva a emprendimientos de pequeñas y medianas empresas</t>
  </si>
  <si>
    <t>Crear una (1) estrategia de encadenamientos productivos a nivel intersectorial e intrasectorial entre las grandes, medianas y pequeñas empresas</t>
  </si>
  <si>
    <t>Crear y poner en funcionamiento tres (3) Centros de Formación para el Empleo con Enfoque en Ciencia, Tecnología, Innovación y Bilingüismo</t>
  </si>
  <si>
    <t>Vincular a quinientos (500) jóvenes (mujeres, grupos étnicos y víctimas) a estrategias de formación relacionadas a la innovación y la Cuarta Revolución Industrial</t>
  </si>
  <si>
    <t>Implementar cuatro (4) estrategias de acceso a oportunidades del mercado laboral (trabajo formal y formalización del trabajo informal)</t>
  </si>
  <si>
    <t>Crear tres (3) cooperativas que vinculen a: (2) Organizaciones Comunales y (1) organizaciones de víctimas en el desarrollo de oportunidades del mercado laboral</t>
  </si>
  <si>
    <t>Vincular a diez mil (10.000) personas a rutas de empleo y capital humano (al menos 50% mujeres)</t>
  </si>
  <si>
    <t>Vincular cuatrocientos (400) jóvenes estudiantes en la realización de las prácticas laborales y recibiendo auxilios como incentivos, con criterios de paridad de género</t>
  </si>
  <si>
    <t>Vincular cuatrocientos (400) jóvenes graduados sin experiencia laboral a la administración distrital, con criterios de paridad de género</t>
  </si>
  <si>
    <t>Cualificar mil trescientos (1.300) mujeres para la inserción laboral acorde a la pertinencia y necesidades del mercado laboral de la ciudad</t>
  </si>
  <si>
    <t>Implementar cuatro (4) rutas de emprendimiento</t>
  </si>
  <si>
    <t>Ejecutar cuatro (4) planes de comercialización y visibilización de productos de emprendedores</t>
  </si>
  <si>
    <t>Elaborar cuatro (4) estrategias de acompañamiento a emprendimientos y MiPymes para acceso a mecanismos de financiación</t>
  </si>
  <si>
    <t>Intervenir a dos mil (2000) emprendedores con capacidad para emprender</t>
  </si>
  <si>
    <t>Diseñar y ejecutar una (1) estrategia de proveeduría de sectores administrados por el Distrito que vincule la participación de emprendimientos, negocios y/o proyectos productivos liderado por mujeres</t>
  </si>
  <si>
    <t xml:space="preserve">Implementar cuatro (4) estrategias para la promoción de ecosistemas de emprendimiento e innovación
</t>
  </si>
  <si>
    <t>Crear dos (2) microcentros de inteligencia artificial</t>
  </si>
  <si>
    <t>Elaborar una (1) Caracterización socio empresarial de familias vulnerables atendidas en el Distrito.</t>
  </si>
  <si>
    <t>Formar y asistir con fortalecimiento productivo a cuatro mil (4.000) personas vulnerables</t>
  </si>
  <si>
    <t>Desarrollar una (1) feria anual de emprendimiento en el Distrito priorizando mujeres y jóvenes</t>
  </si>
  <si>
    <t>Financiar y formalizar cien (100) negocios y/o proyectos productivos liderados por mujere</t>
  </si>
  <si>
    <t>Formar a dos mil (2.000) jóvenes en emprendimientos e inclusión productiva</t>
  </si>
  <si>
    <t>Apoyar financieramente seiscientos (600) emprendimientos juvenile</t>
  </si>
  <si>
    <t>Formar y certificar a cuatrocientos (400) jóvenes para la vinculación e inserción en el mercado labora</t>
  </si>
  <si>
    <t>Crear cuatro (4) espacios o acciones de promoción para la vinculación laboral de jóvenes al trabajo formal y promoción del primer empleo</t>
  </si>
  <si>
    <t>Formalizar seiscientos (600) vendedores con emprendimiento y creación de pequeña empresa</t>
  </si>
  <si>
    <t>Diseñar seis (6) mobiliarios urbanos para el emprendimiento económico</t>
  </si>
  <si>
    <t>Elaborar cuatro (4) documentos de linemientos para el manejo del sector turismo</t>
  </si>
  <si>
    <t>Poner en funcionamiento seis (6) Centros de Atención al Turista en el Distrito (zona insular y urbana)</t>
  </si>
  <si>
    <t>Entregar trescientos sesenta (360) equipamientos para brigadistas y guardavidas del Distrito</t>
  </si>
  <si>
    <t xml:space="preserve">Vincular a trescientos veinte (320) personas líderes y autoridades turísticas a procesos de formación
</t>
  </si>
  <si>
    <t>Vincular cuatro mil ochocientas veintisiete (4.827) personas a procesos de formación y capacitación formal e informal en asuntos turísticos</t>
  </si>
  <si>
    <t>Vincular a cuatrocientas (400) personas con oportunidades de acceso a rutas de empleo y capital humano en turismo sostenible con paridad de genero</t>
  </si>
  <si>
    <t>Crear e implementar ocho (8) rutas comunitarias</t>
  </si>
  <si>
    <t>Vincular a ochenta (80) personas a asistencia técnica para el fortalecimiento de la actividad artesanal</t>
  </si>
  <si>
    <t>Entregar quinientos (500) activos productivos a prestadores de servicios turísticos</t>
  </si>
  <si>
    <t>Implementar acciones de sostenibilidad ambiental en dos (2) atractivos turísticos</t>
  </si>
  <si>
    <t>Cofinanciar cuatro (4) proyectos para la actividad turística</t>
  </si>
  <si>
    <t>Obtener dos (2) certificaciones turísticas</t>
  </si>
  <si>
    <t>Crear un (1) Portal Único de Información Turística sobre la Oferta Turística</t>
  </si>
  <si>
    <t>Crear e implementar una (1) Tecnologia de destino turistica inteligente</t>
  </si>
  <si>
    <t>Implementar cinco (5) alianzas con universidades para la formacion y profesionalizacion de actores turisticos</t>
  </si>
  <si>
    <t>Promover y desarrollar ocho (8) eventos turísticos náuticos en la zona insular y urbana del Distrito</t>
  </si>
  <si>
    <t>Desarrollar cuatro (4) campañas de divulgación para la promoción turística y conectividad</t>
  </si>
  <si>
    <t>Participar en sesenta (60) eventos especializados</t>
  </si>
  <si>
    <t>Desarrollar cuatro (4) productos turísticos</t>
  </si>
  <si>
    <t>Implementar cinco (5) eventos de ciudad</t>
  </si>
  <si>
    <t>Dotar, adecuar, mejorar, mantener y/o construir nueve (9) infraestructuras turísticas</t>
  </si>
  <si>
    <t>Elaborar dos (2) estudios de preinversión para proyectos turísticos</t>
  </si>
  <si>
    <t>Instalar ochenta (80) señalizaciones turísticas en 2 playas y/o espacios turísticos</t>
  </si>
  <si>
    <t>Implementar acciones de mantenimiento en veinticinco (25) infraestructuras turísticas para prestar servicios de vigilancia, control y seguridad a los turistas</t>
  </si>
  <si>
    <t>Consolidar una (1) entidad para el desarrollo y sostenibilidad turística</t>
  </si>
  <si>
    <t>Crear un (1) Observatorio de Turismo</t>
  </si>
  <si>
    <t>Elaborar un (1) documento de Planificación de Ordenamiento de Playas</t>
  </si>
  <si>
    <t>Desarrollar diez (10) procesos productivos de agricultura campesina familiar y comunitaria</t>
  </si>
  <si>
    <t>Atender a mil setecientos sesenta y siete (1.767) mujeres rurales con servicios de extensión agropecuari</t>
  </si>
  <si>
    <t>Atender a doscientas (200) mujeres afro rurales con servicios de extensión agropecuaria</t>
  </si>
  <si>
    <t>Atender a cien (100) mujeres indígena en el fortalecimiento de las actividades propias</t>
  </si>
  <si>
    <t>Implementar tres (3) circuitos cortos de comercialización</t>
  </si>
  <si>
    <t>Formular y ejecutar un (1) Plan de Extensión Agropecuaria del Distrito</t>
  </si>
  <si>
    <t>Atender a tres mil seiscientos cincuenta y dos (3.652) productores con servicios de extensión agropecuaria</t>
  </si>
  <si>
    <t>Consolidar dos (2) encadenamientos y/o cadenas productivas para garantizar el derecho humano a la alimentación</t>
  </si>
  <si>
    <t>Dotar veinte (20) de pescadores (pertenecientes a grupos étnicos)</t>
  </si>
  <si>
    <t>Formular y ejecutar tres (3) procesos productivos en producción, reproducción y mejoramiento genético (bovina y/o especies menores)</t>
  </si>
  <si>
    <t>Crear cuatro (4) procesos asociativos para fortalecer las capacidades y competencias agropecuarias</t>
  </si>
  <si>
    <t>Asistir veinte (20) emprendimientos rurales orientados a la generación de valor agregad</t>
  </si>
  <si>
    <t>Implementar cuatro (4) alianzas y/o convenios interadministrativos para la dotación de infraestructura física y/o activos productivos de carácter público</t>
  </si>
  <si>
    <t>Implementar una (1) solución alternativa de fuentes de agua en zonas de producción agrícola para mitigar el cambio climático</t>
  </si>
  <si>
    <t>Formular e implementar dos (2) proyectos de maricultura</t>
  </si>
  <si>
    <t>Desarrollar cuatro (4) acciones para el fortalecimiento de la mujer en el ejercicio de la pesca</t>
  </si>
  <si>
    <t>Crear un (1) Centro de Acopio Integral</t>
  </si>
  <si>
    <t>Crear una (1) escuela de pescadores de saberes ancestrales</t>
  </si>
  <si>
    <t>Elaborar (1) prueba bromatológica en los peces de la bahía de Cartagena.</t>
  </si>
  <si>
    <t>Elaborar (1) prueba ambientales en los peces de la bahía de Cartagena.</t>
  </si>
  <si>
    <t xml:space="preserve">Implementar tres (3) fases del proceso de traslado del Mercado de Bazurto 
(1. Levantamiento, recopilación y revisión de información. 
2. Estudio de preinversion para el desarrollo de la estructuración técnica, social, ambiental, predial, financiera, jurídica y operativa del nuevo sistema de abastecimiento 
3. Ejecución) 
</t>
  </si>
  <si>
    <t>Formalizar a ciento setenta y seis (176) O.E.P. reubicados al interior del mercado</t>
  </si>
  <si>
    <t>Formalizar a seiscientos cuarenta y siete (647) O.E.P. de zonas no intervenidas en el mercado de Bazurto pendientes por formalizar en mercados sectoriales</t>
  </si>
  <si>
    <t>Actualizar dos (2) documentos normativos que rigen la operación de la plaza de mercados</t>
  </si>
  <si>
    <t>Implementar dos (2) Plan Gestión: 1. Ambiental, 2. Administrativa operativa y jurídica del Sistema de Mercados</t>
  </si>
  <si>
    <t>Intervenir o mantener quinientos (500) metros cuadrados de infraestructura de las plazas de mercado que conforman el Sistema Integral de Abastecimiento del Distrito</t>
  </si>
  <si>
    <t>TABLERO DE CONTROL PARA PLANES DE ACCIÓN - RANGOS POR TRIMESTRE AJUSTADOS SEGÚN EL PERIODO DE CORTE.</t>
  </si>
  <si>
    <t>Criterio de Seguimiento</t>
  </si>
  <si>
    <t>Rango de Seguimiento</t>
  </si>
  <si>
    <t>Primer Trimestre</t>
  </si>
  <si>
    <t>Segundo Trimestre</t>
  </si>
  <si>
    <t>Tercer Trimestre</t>
  </si>
  <si>
    <t>Cuarto Trimestre</t>
  </si>
  <si>
    <t>Sobresaliente</t>
  </si>
  <si>
    <t>90,1% - 100%</t>
  </si>
  <si>
    <t>22,51% - 25%</t>
  </si>
  <si>
    <t>45,1% - 50%</t>
  </si>
  <si>
    <t>67,51% - 75%</t>
  </si>
  <si>
    <t>Aceptable</t>
  </si>
  <si>
    <t>75,1% - 90%</t>
  </si>
  <si>
    <t>18,76% - 22,5%</t>
  </si>
  <si>
    <t>37,51% - 45%</t>
  </si>
  <si>
    <t>56,26% - 67,5%</t>
  </si>
  <si>
    <t>Medio</t>
  </si>
  <si>
    <t>50,1% - 75%</t>
  </si>
  <si>
    <t>12,51% - 18,75%</t>
  </si>
  <si>
    <t>25,1% - 37,5%</t>
  </si>
  <si>
    <t>37,51% - 56,25%</t>
  </si>
  <si>
    <t>Deficiente</t>
  </si>
  <si>
    <t>25,1% - 50%</t>
  </si>
  <si>
    <t>6,26% - 12,5%</t>
  </si>
  <si>
    <t>12,51% - 25%</t>
  </si>
  <si>
    <t>18,76% - 37,5%</t>
  </si>
  <si>
    <t>Crítico</t>
  </si>
  <si>
    <t>0%  - 25%</t>
  </si>
  <si>
    <t>0% - 6,25%</t>
  </si>
  <si>
    <t>0% - 12,5%</t>
  </si>
  <si>
    <t>0% - 18,75%</t>
  </si>
  <si>
    <t>0% - 25%</t>
  </si>
  <si>
    <t>PLAN DE ACCIÓN METAS PRODUCTO</t>
  </si>
  <si>
    <t>NIVEL DE EFICACIA</t>
  </si>
  <si>
    <t>ESTADO INDICADORES TABLERO DE CONTROL</t>
  </si>
  <si>
    <t>CALIFICACIÓN</t>
  </si>
  <si>
    <t>Muy Alto</t>
  </si>
  <si>
    <t>Mayor o igual a 90%</t>
  </si>
  <si>
    <t>Alto</t>
  </si>
  <si>
    <t>Igual o mayor al 70%  hasta el  89,9%</t>
  </si>
  <si>
    <t>Igual o mayor al 50% hasta el  69,9%</t>
  </si>
  <si>
    <t>Bajo</t>
  </si>
  <si>
    <t>Igual o mayor al 30% hasta el  49,9%</t>
  </si>
  <si>
    <t>Muy Bajo</t>
  </si>
  <si>
    <t>Menor al 29,9%</t>
  </si>
  <si>
    <t>Demarcar ciento noventa (190,58) kilómetros de marcas longitudinales</t>
  </si>
  <si>
    <t>SECRETARÍA DE INFRAESTRUCTURA - EDURBE</t>
  </si>
  <si>
    <t>TOTAL METAS PRODUCTO PDD 2024 -2027</t>
  </si>
  <si>
    <t xml:space="preserve">PARTICIPACIÓN DE METAS PRODUCTO </t>
  </si>
  <si>
    <t>GEPM (GERENCIA DE ESPACIO PÚBLICO Y MOVILIDAD)</t>
  </si>
  <si>
    <t>GEPM (GERENCIA DE ESPACIO PÚBLICO Y MOVILIDAD) - SECRETARÍA DE INFRAESTRUCTURA</t>
  </si>
  <si>
    <t>DATT - GEPM (GERENCIA DE ESPACIO PÚBLICO Y MOVILIDAD)</t>
  </si>
  <si>
    <t>SECRETARÍA DE PLANEACIÓN - EPA</t>
  </si>
  <si>
    <t>Crear e implementar cuatro (4) estrategias de formación en cultura tributaria</t>
  </si>
  <si>
    <t>Número de estrategias de formación en cultura tributaria creadas e implementadas</t>
  </si>
  <si>
    <t>Revisar con enlace el cumplimiento de esa meta producto</t>
  </si>
  <si>
    <t xml:space="preserve">SECRETARÍA GENERAL
COOPERACIÓN INTERNACIONAL
</t>
  </si>
  <si>
    <t>SECRETARÍA GENERAL  - COOPERACIÓN INTERNACIONAL</t>
  </si>
  <si>
    <t>SECRETARÍA GENERAL - Corporación Museo Histórico de Cartagena</t>
  </si>
  <si>
    <t>ESCUELA DE GOBIERNO Y LIDERAZGO - Oficina Asesora de Control Interno</t>
  </si>
  <si>
    <t>SECRETARÍA GENERAL - Oficina Asesora Jurídica</t>
  </si>
  <si>
    <t>No Programada por el Colegio Mayor para la vigencia  2024</t>
  </si>
  <si>
    <t>OFICINA ASESORA PARA LA GESTIÓN DE RIESGO DE DESASTRE  / Oficina de Informática de la Alcaldía Distrital de Cartagena</t>
  </si>
  <si>
    <t xml:space="preserve">OFICINA ASESORA PARA LA GESTIÓN DE RIESGO DE DESASTRE - SECRETARÍA DE INFRAESTRUCTURA </t>
  </si>
  <si>
    <t>DISTRISEGURIDAD - SECRETARÍA DEL INTERIOR Y CONVIVENCIA CIUDADANA</t>
  </si>
  <si>
    <t>Diseñar e implementar anualmente cuatro (4) nuevas estrategias de fortalecimiento tributario en el Distrito</t>
  </si>
  <si>
    <t>No programado SED para la vigencia 2024</t>
  </si>
  <si>
    <t xml:space="preserve"> SECRETARÍA DEL INTERIOR Y CONVIVENCIA CIUDADANA - DISTRISEGURIDAD </t>
  </si>
  <si>
    <t>No programada DADIS para la vigencia 2025</t>
  </si>
  <si>
    <t>Revisar esta meta ya que cuenta con reporte de GEPM (programó 0,5 para esta vigencia) y tiene como reponsable ETCAR</t>
  </si>
  <si>
    <t>Número de personas con discapacidad vinculadas a rutas de empleo</t>
  </si>
  <si>
    <t>Vincular a sesenta (60) personas con discapacidad a rutas de empleo</t>
  </si>
  <si>
    <t>SECRETARÍA DE PARTICIPACIÓN Y DESARROLLO SOCIAL - SECRETARÍA DEL INTERIOR Y CONVIVENCIA CIUDADANA</t>
  </si>
  <si>
    <t>Revisa con enlace - No reportada por la Secretaría de Participación  para este trimestre</t>
  </si>
  <si>
    <t>Revisar porque la meta producto es anual y no fue  programada DADIS para la vigencia 2026</t>
  </si>
  <si>
    <t>Revisar reporte de Secretaría del Interior - El Intituto Comunal tambien reporta</t>
  </si>
  <si>
    <t>No Programada por el Instituto Comunal para la vigencia 2026</t>
  </si>
  <si>
    <t>No Programada por el Instituto Comunal para la vigencia 2027</t>
  </si>
  <si>
    <t>Revisar con enlace, ya que esta meta no la reportaron</t>
  </si>
  <si>
    <t>SECRETARÍA DE INFRAESTRUCTURA -  EDURBE</t>
  </si>
  <si>
    <t>Esta meta no fue programada por el EPA para la vigencia 2024</t>
  </si>
  <si>
    <t xml:space="preserve">GEPM (GERENCIA DE ESPACIO PÚBLICO Y MOVILIDAD) - SECRETARÍA DE INTERIOR </t>
  </si>
  <si>
    <t>Esta meta no fue reportada ni programada por Transcaribe o Secretaría de Infraestructura  para la vigencia 2025</t>
  </si>
  <si>
    <t>Esta meta no fue ni reportada ni programada por la Secreatría de Infraestructura para la vigencia 2024.</t>
  </si>
  <si>
    <t>Esta meta no fue ni reportada ni programada por el EPA para la vigencia 2024.</t>
  </si>
  <si>
    <t>No programado ni reportado por la Secretaría de Turismo se programa cero para esta vigencia al igual que el reporte</t>
  </si>
  <si>
    <t>Esta meta no fue programada ni reportada por la Secretaría de Infraestructura ni la Secretaría de Turismo para esta vigencia 2024</t>
  </si>
  <si>
    <t>PROGRAMADO CORTE  2024 RESPECTO AL CUATRIENIO 2024 -2027 (PONDERADOR)</t>
  </si>
  <si>
    <t>Secretaría General  no programó de esta meta Producto para vigencia 2024</t>
  </si>
  <si>
    <t xml:space="preserve"> Corvivienda no Programó esta meta para esta Linea Estrategica para la vigencia</t>
  </si>
  <si>
    <t>Esta meta no se Programó por el IPCC para la vigencia 2025</t>
  </si>
  <si>
    <t>Esta meta Secretaría de Turismo  no reportó ni programó para esta vigencia</t>
  </si>
  <si>
    <t xml:space="preserve"> Corvivienda Programó esta meta para esta Linea Estrategica para la vigencia en el reporte</t>
  </si>
  <si>
    <t xml:space="preserve"> Esta meta no se reportó ni programó por parte de la Secretaría de Hacienda para la vigencia 2024</t>
  </si>
  <si>
    <t xml:space="preserve">
</t>
  </si>
  <si>
    <t>RESPONSABLES</t>
  </si>
  <si>
    <t xml:space="preserve">Componente Impulsor del avance: Transparencia y Gobierno Abierto
</t>
  </si>
  <si>
    <t>PLAN DE DESARROLLO CARTAGENA CIUDAD DE DERECHOS 2024 - 2027</t>
  </si>
  <si>
    <t>Meta Cumplida</t>
  </si>
  <si>
    <t>Ete programa se ajusta el avance, ya que para el primer año, solo se programaron dos metas, por lo tanto, solo se  incluye el avance sobre 12 metas y no 2, para la priemra vigencia 2024. se colocó 12,5% de avance en el cuatrienio</t>
  </si>
  <si>
    <t>META CUMPLIDA</t>
  </si>
  <si>
    <t xml:space="preserve"> SEGURIDAD HUMANA
</t>
  </si>
  <si>
    <t xml:space="preserve"> PLAN ESTRATÉGICO DE SEGURIDAD INTEGRAL TITAN 24</t>
  </si>
  <si>
    <t>EL CUERPO DE BOMBEROS AVANZA</t>
  </si>
  <si>
    <t>SEGURIDAD YA CON DOTACIÓN A LOS ORGANISMOS DE SEGURIDAD, SOCORRO, JUSTICIA Y CONVIVENCIA Y TECNOLOGÍA PARA LA PREVENCIÓN</t>
  </si>
  <si>
    <t xml:space="preserve"> SEGURIDAD YA EN LAS PLAYAS DE CARTAGENA</t>
  </si>
  <si>
    <t xml:space="preserve"> EDUCACIÓN, CULTURA Y SEGURIDAD VIAL PARA AVANZAR</t>
  </si>
  <si>
    <t xml:space="preserve"> UNA VIDA LIBRE DE VIOLENCIA PARA LAS MUJERES</t>
  </si>
  <si>
    <t xml:space="preserve"> DERECHO A LA PAZ Y CONVIVENCIA CON EQUIDAD DE GÉNERO</t>
  </si>
  <si>
    <t>CARTAGENA AVANZA EN CONVIVENCIA</t>
  </si>
  <si>
    <t xml:space="preserve"> AVANZANDO EN EL FORTALECIMIENTO DE CASAS DE JUSTICIA, COMISARÍAS DE FAMILIA E INSPECCIONES DE POLICÍA</t>
  </si>
  <si>
    <t xml:space="preserve"> ATENCIÓN INTEGRAL A JÓVENES EN SITUACIÓN DE RIESGO SOCIAL</t>
  </si>
  <si>
    <t>ASISTENCIA, ATENCIÓN Y REPARACIÓN EFECTIVA E INTEGRAL A LAS VÍCTIMAS DEL CONFLICTO ARMADO</t>
  </si>
  <si>
    <t>DERECHOS HUMANOS PARA LA VIDA DIGNA</t>
  </si>
  <si>
    <t>SISTEMA PENITENCIARIO Y CARCELARIO EN EL MARCO DE LOS DERECHOS HUMANOS</t>
  </si>
  <si>
    <t xml:space="preserve"> SALUD CON COBERTURA, ACCESIBILIDAD, CALIDAD E INCLUSIÓN</t>
  </si>
  <si>
    <t xml:space="preserve"> DERECHOS EN SALUD Y PROMOCIÓN SOCIAL</t>
  </si>
  <si>
    <t xml:space="preserve"> FORTALECIMIENTO DEL CENTRO REGULADOR DE URGENCIAS, EMERGENCIAS Y DESASTRES EN EL DISTRITO DE CARTAGENA - CRUED</t>
  </si>
  <si>
    <t xml:space="preserve"> SALUD PÚBLICA</t>
  </si>
  <si>
    <t xml:space="preserve"> CEMENTERIOS</t>
  </si>
  <si>
    <t xml:space="preserve"> FORTALECIMIENTO A LA PROTECCIÓN DIGNA DE LAS PERSONAS MAYORES EN EL DISTRITO DE CARTAGENA</t>
  </si>
  <si>
    <t xml:space="preserve"> ASISTENCIA SOCIAL E INCLUYENTE A LAS PERSONAS CON DISCAPACIDAD Y/O SU FAMILIA O CUIDADORES PARA LA SEGURIDAD HUMANA Y BIENESTAR SOCIAL</t>
  </si>
  <si>
    <t xml:space="preserve"> UNIDOS PARA LA INCLUSIÓN PRODUCTIVA DE LAS PERSONAS CON DISCAPACIDAD</t>
  </si>
  <si>
    <t xml:space="preserve"> CIUDADANOS HABITANTES DE CALLE CON PROTECCIÓN SOCIAL Y GARANTÍA DE DERECHOS</t>
  </si>
  <si>
    <t>ATENCIÓN INTEGRAL AL MIGRANTE</t>
  </si>
  <si>
    <t>CARTAGENA DIVERSA</t>
  </si>
  <si>
    <t>SISTEMA DISTRITAL DEL CUIDADO</t>
  </si>
  <si>
    <t xml:space="preserve"> IDENTIFICACIÓN PARA LA SUPERACIÓN DE LA POBREZA EXTREMA</t>
  </si>
  <si>
    <t xml:space="preserve"> SALUD PARA LA SUPERACIÓN DE LA POBREZA EXTREMA</t>
  </si>
  <si>
    <t>EDUCACIÓN PARA LA SUPERACIÓN DE LA POBREZA EXTREMA</t>
  </si>
  <si>
    <t>HABITABILIDAD PARA LA SUPERACIÓN DE LA POBREZA EXTREMA</t>
  </si>
  <si>
    <t>INGRESO Y TRABAJO PARA LA SUPERACIÓN DE LA POBREZA EXTREMA</t>
  </si>
  <si>
    <t xml:space="preserve"> BANCARIZACIÓN PARA LA SUPERACIÓN DE LA POBREZA EXTREMA</t>
  </si>
  <si>
    <t xml:space="preserve"> DINÁMICA FAMILIAR PARA LA SUPERACIÓN DE LA POBREZA EXTREMA</t>
  </si>
  <si>
    <t xml:space="preserve"> SEGURIDAD ALIMENTARIA Y NUTRICIÓN PARA LA SUPERACIÓN DE LA POBREZA EXTREMA</t>
  </si>
  <si>
    <t>ACCESO A LA JUSTICIA PARA LA SUPERACIÓN DE LA POBREZA EXTREMA</t>
  </si>
  <si>
    <t xml:space="preserve"> FORTALECIMIENTO INSTITUCIONAL DE RENTA CIUDADANA, RENTA JOVEN Y COLOMBIA MAYOR PARA LA SUPERACIÓN DE LA POBREZA EXTREMA</t>
  </si>
  <si>
    <t xml:space="preserve"> FORTALECIMIENTO INSTITUCIONAL PARA LA SUPERACIÓN DE LA POBREZA EXTREMA</t>
  </si>
  <si>
    <t>SALUD PÚBLICA</t>
  </si>
  <si>
    <t>CEMENTERIOS</t>
  </si>
  <si>
    <t xml:space="preserve"> ATENCIÓN INTEGRAL AL MIGRANTE</t>
  </si>
  <si>
    <t xml:space="preserve"> CARTAGENA DIVERSA</t>
  </si>
  <si>
    <t xml:space="preserve"> SISTEMA DISTRITAL DEL CUIDADO</t>
  </si>
  <si>
    <t xml:space="preserve"> EDUCACIÓN PARA LA SUPERACIÓN DE LA POBREZA EXTREMA</t>
  </si>
  <si>
    <t xml:space="preserve"> HABITABILIDAD PARA LA SUPERACIÓN DE LA POBREZA EXTREMA</t>
  </si>
  <si>
    <t xml:space="preserve"> INGRESO Y TRABAJO PARA LA SUPERACIÓN DE LA POBREZA EXTREMA</t>
  </si>
  <si>
    <t xml:space="preserve"> ACCESO A LA JUSTICIA PARA LA SUPERACIÓN DE LA POBREZA EXTREMA</t>
  </si>
  <si>
    <t xml:space="preserve"> Educación
</t>
  </si>
  <si>
    <t xml:space="preserve"> VIDA DIGNA
</t>
  </si>
  <si>
    <t>MODERNIZACIÓN DE LA INFRAESTRUCTURA EDUCATIVA</t>
  </si>
  <si>
    <t xml:space="preserve"> AVANZANDO DESDE EL COMIENZO</t>
  </si>
  <si>
    <t>ME QUEDO PORQUE ME QUEDO</t>
  </si>
  <si>
    <t xml:space="preserve"> YO CUENTO</t>
  </si>
  <si>
    <t xml:space="preserve"> ESCUELA HOGAR</t>
  </si>
  <si>
    <t xml:space="preserve"> CARTAGENA TERRITORIO PLURILINGÜE</t>
  </si>
  <si>
    <t>CARTAGENA MEJOR EDUCADA</t>
  </si>
  <si>
    <t xml:space="preserve"> LEVANTEMOS LA VOZ</t>
  </si>
  <si>
    <t xml:space="preserve"> AULA GLOBAL</t>
  </si>
  <si>
    <t xml:space="preserve"> FORMACIÓN Y CUALIFICACIÓN DE DOCENTES Y DIRECTIVOS DOCENTES</t>
  </si>
  <si>
    <t xml:space="preserve"> FORTALECIMIENTO DE LA GESTIÓN ESCOLAR EN LAS INSTITUCIONES EDUCATIVAS OFICIALES</t>
  </si>
  <si>
    <t>UNIDOS POR EL SUEÑO SUPERIOR</t>
  </si>
  <si>
    <t>CARTAGENA, TERRITORIO DIGITAL</t>
  </si>
  <si>
    <t>OFERTA ACADÉMICA SUPERIOR CON CALIDAD</t>
  </si>
  <si>
    <t>FORMACIÓN TÉCNICA Y COMPLEMENTARIA EN OFICIOS</t>
  </si>
  <si>
    <t xml:space="preserve"> Acceso a Servicios Básicos
</t>
  </si>
  <si>
    <t>ACCESO AL AGUA POTABLE Y SANEAMIENTO BÁSICO</t>
  </si>
  <si>
    <t>AVANZAMOS POR UNA CARTAGENA ILUMINADA Y LA TRANSICIÓN ENERGÉTICA</t>
  </si>
  <si>
    <t>UNIDOS POR LA GESTIÓN DE LOS RESIDUOS Y EL DESARROLLO SOSTENIBLE</t>
  </si>
  <si>
    <t xml:space="preserve"> Vivienda Digna y Hábitat
</t>
  </si>
  <si>
    <t xml:space="preserve"> UNIDOS POR UNA VIVIENDA PARA TI</t>
  </si>
  <si>
    <t>MI CASA AVANZA</t>
  </si>
  <si>
    <t>MI CASA CON PROPIEDAD</t>
  </si>
  <si>
    <t xml:space="preserve"> MI TERRITORIO EN ORDEN</t>
  </si>
  <si>
    <t xml:space="preserve">Artes, Cultura y Patrimonio
</t>
  </si>
  <si>
    <t xml:space="preserve"> ESCENARIOS CULTURALES VIVOS PARA TRANSFORMAR</t>
  </si>
  <si>
    <t xml:space="preserve"> DEMOCRATIZACIÓN DE LA CULTURA: ESTÍMULOS PARA EL FOMENTO Y DESARROLLO ARTÍSTICO, CULTURAL Y CREATIVO.</t>
  </si>
  <si>
    <t xml:space="preserve"> FORMACIÓN ARTÍSTICA Y CULTURAL</t>
  </si>
  <si>
    <t xml:space="preserve"> DERECHOS CULTURALES Y FORTALECIMIENTO INSTITUCIONAL PARA LA GOBERNANZA</t>
  </si>
  <si>
    <t xml:space="preserve"> CARTAGENA BRILLA CON SU CULTURA Y PATRIMONIO MATERIAL E INMATERIAL</t>
  </si>
  <si>
    <t xml:space="preserve"> MEMORIA Y PATRIMONIO AL SERVICIO DE LA CIUDADANÍA</t>
  </si>
  <si>
    <t xml:space="preserve">Deporte y Recreación
</t>
  </si>
  <si>
    <t xml:space="preserve"> FORTALECIMIENTO Y MANTENIMIENTO DE LA RED DE INFRAESTRUCTURA DEPORTIVA DEL DISTRITO</t>
  </si>
  <si>
    <t xml:space="preserve"> FOMENTO AL DEPORTE DE ALTO RENDIMIENTO</t>
  </si>
  <si>
    <t>FORTALECIMIENTO DEL CAPITAL HUMANO A TRAVÉS DE LAS CIENCIAS APLICADAS AL DEPORTE Y LA RECREACIÓN.</t>
  </si>
  <si>
    <t xml:space="preserve"> FORTALECIMIENTO DEL DEPORTE FORMATIVO, ESTUDIANTIL Y LA EDUCACIÓN FÍSICA EXTRAESCOLAR</t>
  </si>
  <si>
    <t xml:space="preserve"> FORTALECIMIENTO DEL DEPORTE SOCIAL COMUNITARIO, AVANZAR EN NUESTRO TERRITORIO</t>
  </si>
  <si>
    <t>PROMOCIÓN DE HÁBITOS Y ESTILOS DE VIDA SALUDABLE, RECREACIÓN, ACTIVIDAD FÍSICA Y EL APROVECHAMIENTO DEL TIEMPO LIBRE EN EL DISTRITO DE CARTAGENA</t>
  </si>
  <si>
    <t xml:space="preserve"> CARTAGENA CIUDAD DESTINO DE TURISMO DEPORTIVO</t>
  </si>
  <si>
    <t xml:space="preserve"> Infancia, Adolescencia y Familia
</t>
  </si>
  <si>
    <t xml:space="preserve"> ENTORNOS SEGUROS PARA LA PRIMERA INFANCIA</t>
  </si>
  <si>
    <t>AVANZANDO HACIA UNA INFANCIA Y ADOLESCENCIA PROTEGIDA Y SIN VIOLENCIAS</t>
  </si>
  <si>
    <t>JUGANDO Y PARTICIPANDO LOS DERECHOS DE LA NIÑEZ VAMOS IMPULSANDO</t>
  </si>
  <si>
    <t xml:space="preserve"> MODERNIZACIÓN DE LA INFRAESTRUCTURA EDUCATIVA</t>
  </si>
  <si>
    <t xml:space="preserve"> ME QUEDO PORQUE ME QUEDO</t>
  </si>
  <si>
    <t xml:space="preserve"> CARTAGENA MEJOR EDUCADA</t>
  </si>
  <si>
    <t xml:space="preserve"> UNIDOS POR EL SUEÑO SUPERIOR</t>
  </si>
  <si>
    <t xml:space="preserve"> AVANZAMOS EN EL FORTALECIMIENTO INSTITUCIONAL DE LA SECRETARÍA DE EDUCACIÓN</t>
  </si>
  <si>
    <t xml:space="preserve"> CARTAGENA, TERRITORIO DIGITAL</t>
  </si>
  <si>
    <t xml:space="preserve"> OFERTA ACADÉMICA SUPERIOR CON CALIDAD</t>
  </si>
  <si>
    <t xml:space="preserve"> FORMACIÓN TÉCNICA Y COMPLEMENTARIA EN OFICIOS</t>
  </si>
  <si>
    <t xml:space="preserve"> ACCESO AL AGUA POTABLE Y SANEAMIENTO BÁSICO</t>
  </si>
  <si>
    <t xml:space="preserve"> AVANZAMOS POR UNA CARTAGENA ILUMINADA Y LA TRANSICIÓN ENERGÉTICA</t>
  </si>
  <si>
    <t xml:space="preserve"> UNIDOS POR LA GESTIÓN DE LOS RESIDUOS Y EL DESARROLLO SOSTENIBLE</t>
  </si>
  <si>
    <t xml:space="preserve"> MI CASA AVANZA</t>
  </si>
  <si>
    <t xml:space="preserve"> MI CASA CON PROPIEDAD</t>
  </si>
  <si>
    <t xml:space="preserve"> FORTALECIMIENTO DEL CAPITAL HUMANO A TRAVÉS DE LAS CIENCIAS APLICADAS AL DEPORTE Y LA RECREACIÓN.</t>
  </si>
  <si>
    <t xml:space="preserve"> PROMOCIÓN DE HÁBITOS Y ESTILOS DE VIDA SALUDABLE, RECREACIÓN, ACTIVIDAD FÍSICA Y EL APROVECHAMIENTO DEL TIEMPO LIBRE EN EL DISTRITO DE CARTAGENA</t>
  </si>
  <si>
    <t xml:space="preserve"> AVANZANDO HACIA UNA INFANCIA Y ADOLESCENCIA PROTEGIDA Y SIN VIOLENCIAS</t>
  </si>
  <si>
    <t xml:space="preserve"> JUGANDO Y PARTICIPANDO LOS DERECHOS DE LA NIÑEZ VAMOS IMPULSANDO</t>
  </si>
  <si>
    <t xml:space="preserve"> UNIDOS POR UNA CARTAGENA COMPETITIVA E INNOVADORA</t>
  </si>
  <si>
    <t xml:space="preserve"> CARTAGENA GLOBAL</t>
  </si>
  <si>
    <t xml:space="preserve"> UNIDOS POR LA DIVERSIFICACIÓN ECONÓMICA Y EL DESARROLLO EMPRESARIAL</t>
  </si>
  <si>
    <t xml:space="preserve"> COOPERACIÓN PARA AVANZAR</t>
  </si>
  <si>
    <t xml:space="preserve"> ECONOMÍA CIRCULAR Y NEGOCIOS VERDES</t>
  </si>
  <si>
    <t xml:space="preserve"> TRANSFORMACIÓN PRODUCTIVA</t>
  </si>
  <si>
    <t xml:space="preserve"> EMPLEO Y CAPITAL HUMANO</t>
  </si>
  <si>
    <t xml:space="preserve"> MI PRIMERA CHAMBA</t>
  </si>
  <si>
    <t xml:space="preserve"> DERECHO AL TRABAJO EN CONDICIONES DE IGUALDAD Y DIGNIDAD PARA LA MUJER</t>
  </si>
  <si>
    <t xml:space="preserve"> AVANZAMOS CON CAPACIDADES EMPRENDEDORAS</t>
  </si>
  <si>
    <t xml:space="preserve"> AVANZAMOS PARA FORTALECER LA ECONOMÍA POPULAR Y GENERAR MEJORES INGRESOS PARA NUESTRAS FAMILIAS</t>
  </si>
  <si>
    <t xml:space="preserve"> CARTAGENA FOMENTA LA INCLUSIÓN PRODUCTIVA JUVENIL</t>
  </si>
  <si>
    <t xml:space="preserve"> FOMENTO EMPRESARIAL Y DESARROLLO SOSTENIBLE</t>
  </si>
  <si>
    <t xml:space="preserve"> SEGURIDAD, VIGILANCIA Y CONTROL PARA UN TURISMO RESPONSABLE</t>
  </si>
  <si>
    <t xml:space="preserve"> TURISMO SOSTENIBLE E INCLUYENTE CON LAS COMUNIDADES</t>
  </si>
  <si>
    <t xml:space="preserve"> PROMOCIÓN TURÍSTICA</t>
  </si>
  <si>
    <t xml:space="preserve"> INFRAESTRUCTURA TURÍSTICA PARA EL DESARROLLO</t>
  </si>
  <si>
    <t xml:space="preserve"> GOBERNANZA Y FORTALECIMIENTO INSTITUCIONAL PARA UNA CIUDAD DE DERECHOS, RESPONSABLE Y COMPETITIVA</t>
  </si>
  <si>
    <t xml:space="preserve"> INCLUSIÓN PRODUCTIVA Y SOCIAL DE LA AGRICULTURA CAMPESINA, FAMILIAR Y COMUNITARIA</t>
  </si>
  <si>
    <t xml:space="preserve"> EXTENSIÓN AGROPECUARIA, INFRAESTRUCTURA Y ACTIVOS PRODUCTIVOS PARA LA COMPETITIVIDAD AGROPECUARIA Y LA SOBERANÍA ALIMENTARIA</t>
  </si>
  <si>
    <t xml:space="preserve"> CARTAGENA CIUDAD DE PESCADORES</t>
  </si>
  <si>
    <t xml:space="preserve"> DESARROLLO DEL NUEVO SISTEMA DE MERCADOS DEL DISTRITO</t>
  </si>
  <si>
    <t xml:space="preserve"> GESTIÓN INTEGRAL DEL SISTEMA DE MERCADOS</t>
  </si>
  <si>
    <t xml:space="preserve"> INSTRUMENTOS DE PLANIFICACIÓN TERRITORIAL</t>
  </si>
  <si>
    <t xml:space="preserve"> RECUPERACIÓN Y TRANSFORMACIÓN DEL ESPACIO PÚBLICO</t>
  </si>
  <si>
    <t xml:space="preserve"> RECUPERANDO LA GOBERNANZA URBANÍSTICA, CARTAGENA VUELVE A BRILLAR</t>
  </si>
  <si>
    <t xml:space="preserve"> CARTAGENA AVANZA EN EL FORTALECIMIENTO DEL PLAN DE NORMALIZACIÓN URBANÍSTICA</t>
  </si>
  <si>
    <t xml:space="preserve"> BIENESTAR ANIMAL Y PROTECCIÓN DE LA VIDA SILVESTRE</t>
  </si>
  <si>
    <t xml:space="preserve"> GESTIÓN Y CONSERVACIÓN DE LA VEGETACIÓN Y LA BIODIVERSIDAD</t>
  </si>
  <si>
    <t xml:space="preserve"> ALERTAS TEMPRANAS</t>
  </si>
  <si>
    <t xml:space="preserve"> INVESTIGACIÓN, EDUCACIÓN Y CULTURA AMBIENTAL</t>
  </si>
  <si>
    <t xml:space="preserve"> GENERACIÓN DE ESPACIOS PÚBLICOS REVITALIZADOS Y ADAPTADOS PARA TODOS</t>
  </si>
  <si>
    <t xml:space="preserve"> ORDENAMIENTO Y SOSTENIBILIDAD AMBIENTAL</t>
  </si>
  <si>
    <t xml:space="preserve"> CONOCIMIENTO DEL RIESGO</t>
  </si>
  <si>
    <t xml:space="preserve"> REDUCCIÓN DEL RIESGO</t>
  </si>
  <si>
    <t xml:space="preserve"> MANEJO DE DESASTRES</t>
  </si>
  <si>
    <t xml:space="preserve"> PROTECCIÓN COSTERA</t>
  </si>
  <si>
    <t xml:space="preserve"> ADAPTACIÓN DEL ESPACIO PÚBLICO AL CAMBIO CLIMÁTICO</t>
  </si>
  <si>
    <t xml:space="preserve"> SOSTENIBILIDAD DEL ESPACIO PÚBLICO DEL CENTRO HISTÓRICO DE CARTAGENA DE INDIAS.</t>
  </si>
  <si>
    <t xml:space="preserve"> CONEXIÓN ENTRE EL CASTILLO DE SAN FELIPE DE BARAJAS Y SU ÁREA DE INFLUENCIA PARA LA RECUPERACIÓN DEL PATRIMONIO ARQUEOLÓGICO, MATERIAL E INMATERIAL</t>
  </si>
  <si>
    <t xml:space="preserve"> MURALLA PARA TODOS</t>
  </si>
  <si>
    <t xml:space="preserve"> INTERVENCIONES URBANAS INTEGRALES</t>
  </si>
  <si>
    <t xml:space="preserve"> REHABILITACIÓN, MANTENIMIENTO, ADECUACIÓN, Y OBRA NUEVA PARA EL SISTEMA VIAL Y ESTRUCTURAS DE PASO</t>
  </si>
  <si>
    <t xml:space="preserve"> SOLUCIONES VIALES PARA LA COMPETITIVIDAD A TRAVÉS DE CONTRIBUCIÓN POR VALORIZACIÓN</t>
  </si>
  <si>
    <t xml:space="preserve"> MOVILIDAD ORDENADA, SOSTENIBLE Y AMIGABLE CON EL MEDIO AMBIENTE</t>
  </si>
  <si>
    <t xml:space="preserve"> TRANSPORTE MASIVO CONFIABLE, EFICIENTE Y SOSTENIBLE</t>
  </si>
  <si>
    <t xml:space="preserve"> GESTIÓN Y CONSERVACIÓN DEL AGUA</t>
  </si>
  <si>
    <t xml:space="preserve"> RECUPERACIÓN DEL SISTEMA DE CANALES Y DRENAJES PLUVIALES</t>
  </si>
  <si>
    <t xml:space="preserve"> RECUPERACIÓN Y ESTABILIZACIÓN DEL SISTEMA HÍDRICO Y LITORAL DE CARTAGENA</t>
  </si>
  <si>
    <t xml:space="preserve"> PLAN DE RESTAURACIÓN INTEGRAL DE LA CIÉNAGA DE LA VIRGEN</t>
  </si>
  <si>
    <t xml:space="preserve"> GESTIÓN DEL TERRITORIO MARINO-COSTERO</t>
  </si>
  <si>
    <t xml:space="preserve"> PROMOCIÓN, CREACIÓN Y OPERACIÓN DE ESQUEMAS ASOCIATIVOS TERRITORIALES DE LA CIUDAD REGIÓN</t>
  </si>
  <si>
    <t xml:space="preserve"> PROCESOS ADMINISTRATIVOS ÓPTIMOS Y TRANSPARENTES</t>
  </si>
  <si>
    <t xml:space="preserve"> TRANSPARENCIA Y LUCHA CONTRA LA CORRUPCIÓN</t>
  </si>
  <si>
    <t xml:space="preserve"> CARTAGENA DIGITAL, INCLUSIVA Y CONECTADA</t>
  </si>
  <si>
    <t xml:space="preserve"> MODELO INTEGRADO DE PLANEACIÓN Y GESTIÓN - MIPG</t>
  </si>
  <si>
    <t xml:space="preserve"> MEJORA NORMATIVA EN EL DISTRITO DE CARTAGENA DE INDIAS</t>
  </si>
  <si>
    <t xml:space="preserve"> PATRIMONIO PÚBLICO AL SERVICIO DE CARTAGENA</t>
  </si>
  <si>
    <t xml:space="preserve"> REDISEÑO INSTITUCIONAL E INNOVACIÓN ADMINISTRATIVA DEL DISTRITO</t>
  </si>
  <si>
    <t xml:space="preserve"> SEGURIDAD DIGITAL</t>
  </si>
  <si>
    <t xml:space="preserve"> TRANSFORMACIÓN DIGITAL DEL SISTEMA DE ARCHIVO PARA LA GESTIÓN PÚBLICA EFICIENTE</t>
  </si>
  <si>
    <t xml:space="preserve"> FORTALECIMIENTO DEL SISTEMA DE CONTROL INTERNO, SCI</t>
  </si>
  <si>
    <t xml:space="preserve"> FORTALECIMIENTO DE LA GESTIÓN ADMINISTRATIVA Y OPERATIVA DEL DEPARTAMENTO ADMINISTRATIVO DE TRÁNSITO Y TRANSPORTE - DATT</t>
  </si>
  <si>
    <t xml:space="preserve"> GESTIÓN FISCAL Y FINANCIERA OPORTUNA</t>
  </si>
  <si>
    <t xml:space="preserve"> HACIENDA MODERNA Y DIGITAL</t>
  </si>
  <si>
    <t xml:space="preserve"> SERVIDORES CON ESPLENDOR CONSTRUYENDO CIUDAD</t>
  </si>
  <si>
    <t xml:space="preserve"> CIUDADANÍA DIVERSA, PARTICIPATIVA Y PROPULSORA DEL DESARROLLO</t>
  </si>
  <si>
    <t xml:space="preserve"> CARTAGENEIDAD CON ORGULLO Y ESPLENDOR</t>
  </si>
  <si>
    <t xml:space="preserve"> CARTAGENA BRILLA CON CULTURA CIUDADANA</t>
  </si>
  <si>
    <t xml:space="preserve"> ESCUELA DE GOBERNANZA E INNOVACIÓN PÚBLICA</t>
  </si>
  <si>
    <t xml:space="preserve"> ORGANISMOS COMUNALES TÉCNICOS Y ADMINISTRATIVAMENTE EFICIENTES</t>
  </si>
  <si>
    <t xml:space="preserve"> ORGANIZACIONES SOCIALES SÓLIDAS E INCIDENTES EN EL DESARROLLO LOCAL</t>
  </si>
  <si>
    <t xml:space="preserve"> PRESUPUESTO PARTICIPATIVO</t>
  </si>
  <si>
    <t xml:space="preserve"> PARTICIPANDO DECIDIMOS Y AVANZAMOS</t>
  </si>
  <si>
    <t xml:space="preserve"> PROMOCIÓN Y GARANTÍA PARA LA PARTICIPACIÓN SOCIOPOLÍTICA JUVENIL</t>
  </si>
  <si>
    <t xml:space="preserve"> DERECHO A LA PARTICIPACIÓN Y REPRESENTACIÓN CON EQUIDAD DE GÉNERO</t>
  </si>
  <si>
    <t xml:space="preserve"> CENTRO DE INVESTIGACIÓN DE INFORMACIÓN DE LA CIUDAD PARA LA TOMA DE DECISIONES (CIDI)</t>
  </si>
  <si>
    <t xml:space="preserve"> SISTEMAS DE INFORMACIÓN PARA EL DESARROLLO DE CARTAGENA</t>
  </si>
  <si>
    <t xml:space="preserve"> INVERSIÓN PÚBLICA EFICIENTE Y TRANSPARENTE</t>
  </si>
  <si>
    <t xml:space="preserve"> POLÍTICAS PÚBLICAS INTERSECTORIALES Y CON VISIÓN INTEGRAL</t>
  </si>
  <si>
    <t xml:space="preserve"> DESCENTRALIZACIÓN ADMINISTRATIVA</t>
  </si>
  <si>
    <t xml:space="preserve"> GESTIÓN CATASTRAL CON ENFOQUE MULTIPROPÓSITO</t>
  </si>
  <si>
    <t xml:space="preserve"> GOBERNANZA Y PARTICIPACIÓN DE LAS COMUNIDADES NEGRAS AFROCOLOMBIANAS, RAIZALES Y PALENQUERAS PARA EL FORTALECIMIENTO DE LA DEMOCRACIA EN EL DISTRITO</t>
  </si>
  <si>
    <t xml:space="preserve"> DESARROLLO HUMANO Y BIENESTAR SOCIAL DE LAS COMUNIDADES NEGRAS, AFROCOLOMBIANAS, RAIZALES Y PALENQUERAS</t>
  </si>
  <si>
    <t xml:space="preserve"> DESARROLLO LOCAL SOSTENIBLE Y PROSPERIDAD COLECTIVA EN LOS TERRITORIOS DE LAS COMUNIDADES NEGRAS DEL DISTRITO DE CARTAGENA</t>
  </si>
  <si>
    <t xml:space="preserve"> TERRITORIO PROPIO</t>
  </si>
  <si>
    <t xml:space="preserve"> ATENCIÓN INTEGRAL PARA LAS COMUNIDADES INDÍGENAS</t>
  </si>
  <si>
    <t xml:space="preserve"> MUJER INDÍGENA, FAMILIA Y GENERACIÓN DE INGRESOS</t>
  </si>
  <si>
    <t xml:space="preserve"> Competitividad e innovación
</t>
  </si>
  <si>
    <t xml:space="preserve"> DESARROLLO ECONÓMICO EQUITATIVO
</t>
  </si>
  <si>
    <t xml:space="preserve"> Diversificación Económica
</t>
  </si>
  <si>
    <t xml:space="preserve"> Trabajo Decente y Cierre de Brechas Laborales
</t>
  </si>
  <si>
    <t xml:space="preserve"> Economía Popular y Emprendimiento
</t>
  </si>
  <si>
    <t>AVANZAMOS PARA FORTALECER LA ECONOMÍA POPULAR Y GENERAR MEJORES INGRESOS PARA NUESTRAS FAMILIAS</t>
  </si>
  <si>
    <t>FOMENTO EMPRESARIAL Y DESARROLLO SOSTENIBLE</t>
  </si>
  <si>
    <t xml:space="preserve">Turismo Sostenible y Responsable
</t>
  </si>
  <si>
    <t>SEGURIDAD, VIGILANCIA Y CONTROL PARA UN TURISMO RESPONSABLE</t>
  </si>
  <si>
    <t>TURISMO SOSTENIBLE E INCLUYENTE CON LAS COMUNIDADES</t>
  </si>
  <si>
    <t>PROMOCIÓN TURÍSTICA</t>
  </si>
  <si>
    <t xml:space="preserve"> Desarrollo Agropecuario 
</t>
  </si>
  <si>
    <t xml:space="preserve">Sistema Integral de Abastecimiento del Distrito
</t>
  </si>
  <si>
    <t xml:space="preserve">CARTAGENA CIUDAD CONECTADA Y SOSTENIBLE
</t>
  </si>
  <si>
    <t xml:space="preserve"> Ordenamiento del Territorio y espacio público.
</t>
  </si>
  <si>
    <t>INSTRUMENTOS DE PLANIFICACIÓN TERRITORIAL</t>
  </si>
  <si>
    <t xml:space="preserve"> Control Urbanístico y Territorial
</t>
  </si>
  <si>
    <t xml:space="preserve"> Cartagena Amigable con el Ambiente 
</t>
  </si>
  <si>
    <t>GENERACIÓN DE ESPACIOS PÚBLICOS REVITALIZADOS Y ADAPTADOS PARA TODOS</t>
  </si>
  <si>
    <t xml:space="preserve"> Cartagena Adaptada al Clima y Resiliente a los Desastres
</t>
  </si>
  <si>
    <t>ORDENAMIENTO Y SOSTENIBILIDAD AMBIENTAL</t>
  </si>
  <si>
    <t>REDUCCIÓN DEL RIESGO</t>
  </si>
  <si>
    <t>PROTECCIÓN COSTERA</t>
  </si>
  <si>
    <t xml:space="preserve">Ciudad Histórica y Patrimonial
</t>
  </si>
  <si>
    <t>SOSTENIBILIDAD DEL ESPACIO PÚBLICO DEL CENTRO HISTÓRICO DE CARTAGENA DE INDIAS.</t>
  </si>
  <si>
    <t xml:space="preserve">Infraestructura, Movilidad Sostenible y Accesibilidad para Todos
</t>
  </si>
  <si>
    <t>SOLUCIONES VIALES PARA LA COMPETITIVIDAD A TRAVÉS DE CONTRIBUCIÓN POR VALORIZACIÓN</t>
  </si>
  <si>
    <t xml:space="preserve">Cartagena Ordenada Alrededor del Agua
</t>
  </si>
  <si>
    <t>GESTIÓN Y CONSERVACIÓN DEL AGUA</t>
  </si>
  <si>
    <t>RECUPERACIÓN DEL SISTEMA DE CANALES Y DRENAJES PLUVIALES</t>
  </si>
  <si>
    <t xml:space="preserve"> Integración Regional y Metropolitana
</t>
  </si>
  <si>
    <t xml:space="preserve"> INNOVACIÓN PÚBLICA Y PARTICIPACIÓN CIUDADANA
</t>
  </si>
  <si>
    <t>PROCESOS ADMINISTRATIVOS ÓPTIMOS Y TRANSPARENTES</t>
  </si>
  <si>
    <t>TRANSPARENCIA Y LUCHA CONTRA LA CORRUPCIÓN</t>
  </si>
  <si>
    <t>CARTAGENA DIGITAL, INCLUSIVA Y CONECTADA</t>
  </si>
  <si>
    <t xml:space="preserve">Fortalecimiento Institucional e Innovación Administrativa
</t>
  </si>
  <si>
    <t>MEJORA NORMATIVA EN EL DISTRITO DE CARTAGENA DE INDIAS</t>
  </si>
  <si>
    <t>PATRIMONIO PÚBLICO AL SERVICIO DE CARTAGENA</t>
  </si>
  <si>
    <t xml:space="preserve"> Finanzas Públicas
</t>
  </si>
  <si>
    <t xml:space="preserve">Cultura Ciudadana
</t>
  </si>
  <si>
    <t>CIUDADANÍA DIVERSA, PARTICIPATIVA Y PROPULSORA DEL DESARROLLO</t>
  </si>
  <si>
    <t>CARTAGENEIDAD CON ORGULLO Y ESPLENDOR</t>
  </si>
  <si>
    <t>CARTAGENA BRILLA CON CULTURA CIUDADANA</t>
  </si>
  <si>
    <t>ESCUELA DE GOBERNANZA E INNOVACIÓN PÚBLICA</t>
  </si>
  <si>
    <t xml:space="preserve">Participación Ciudadana y Acción Comunal
</t>
  </si>
  <si>
    <t>PRESUPUESTO PARTICIPATIVO</t>
  </si>
  <si>
    <t>PARTICIPANDO DECIDIMOS Y AVANZAMOS</t>
  </si>
  <si>
    <t xml:space="preserve">Sistema de Planeación Distrital
</t>
  </si>
  <si>
    <t>DESCENTRALIZACIÓN ADMINISTRATIVA</t>
  </si>
  <si>
    <t xml:space="preserve"> Fortalecimiento al Desarrollo Afro-Territorial de la Población Negra, Afrocolombiana, Raizal y Palenquera
</t>
  </si>
  <si>
    <t xml:space="preserve">Territorio Sitio de Paz y Pensamiento Colectivo
</t>
  </si>
  <si>
    <t>TERRITORIO PROPIO</t>
  </si>
  <si>
    <t>ATENCIÓN INTEGRAL PARA LAS COMUNIDADES INDÍGENAS</t>
  </si>
  <si>
    <t>MUJER INDÍGENA, FAMILIA Y GENERACIÓN DE INGRESOS</t>
  </si>
  <si>
    <t xml:space="preserve">CAPÍTULO DE LOS PUEBLOS Y COMUNIDADES ÉTNICAS
</t>
  </si>
  <si>
    <t>COMPONENTE IMPULSOR DE AVANCE</t>
  </si>
  <si>
    <t>PROGRAMAS EN ESTADO DE CUMPLIMIENTO BAJO O MUY BAJO.</t>
  </si>
  <si>
    <t xml:space="preserve">Transparencia y Gobierno Abierto
</t>
  </si>
  <si>
    <t>Para el reporte de diciembre, se desprogramó esta meta producto. Entonces para el ultico corte, se desprograma a cero</t>
  </si>
  <si>
    <t>AVANCE  NUMERICO META PRODUCTO  CORTE DICIEMBRE 2024</t>
  </si>
  <si>
    <t>LOGRO  (%) META PRODUCTO RESPECTO AL PROGRAMADO CUATRIENIO PARCIAL DICIEMBRE 2024</t>
  </si>
  <si>
    <t>LOGRO  (%) META PRODUCTO RESPECTO AL PROGRAMADO CUATRIENIO PARCIAL DICIEMBRE 2024 (PONDERADOR)</t>
  </si>
  <si>
    <t>REVISADO DIC 2024</t>
  </si>
  <si>
    <t>REPORTAN 4 A CORTE DICIEMBRE, CUANDO A 15 DE SEPTIEMBRE ERAN 8.</t>
  </si>
  <si>
    <t xml:space="preserve">REVISADO DIC 2024. </t>
  </si>
  <si>
    <t>REVISADO DIC 2024. La Gerencia de Espacio Publico la desprogramó para el 2024</t>
  </si>
  <si>
    <t>No programado por ETCAR ni por la Gerencia de espacio publico y movilidad GEPM para la vigencia 2024</t>
  </si>
  <si>
    <t xml:space="preserve">ESCUELA TALLER CARTAGENA DE INDIAS -  - GERENCIA DE ESPACIO PÚBLICO Y MOVILIDAD -  IDER
SECRETARÍA DE INFRAESTRUCTURA
</t>
  </si>
  <si>
    <t>REVISADO DIC 2024. La Gerencia de Espacio Publico la desprogramó para el 2024 y el DATT tampoco programó para la misma vigencia</t>
  </si>
  <si>
    <t>REVISADO DIC 2024. La Gerencia de Espacio Publico la desprogramó para el 2024. El DATT tampoco programó para la vigencia</t>
  </si>
  <si>
    <t>REVISADO DIC 2024. No programado  por el DATT para la vigencia 2024</t>
  </si>
  <si>
    <t>REVISADO DIC 2024. DESPROGRAMADO PARA LA VIGENCIA EN EL ULTIMO REPORTE</t>
  </si>
  <si>
    <t>REVISADO DIC 2024. Reportada por la IDACCC por 0,45</t>
  </si>
  <si>
    <t>REVISADO DIC 2024. Reportada por la IDACCC por 0,46</t>
  </si>
  <si>
    <t>Programas ajsutado en el cuatrienio, por tener solo dos metas producto programadas</t>
  </si>
  <si>
    <t>SE ESPERA PROGRAMAR PARA LAS VIGENCIAS 2025, 2026 Y 2027 POR PARTE DEL DADIS</t>
  </si>
  <si>
    <t>REVISAR CON ENLACE, YA QUE EL REPORTE  DEBE CONFIRMAR SUPERACIÓN DE LA META</t>
  </si>
  <si>
    <t>REVISAR CON ENLACE</t>
  </si>
  <si>
    <t>Se ajustan los esperado y los avances para eliminar el sesgo de los los no programados (Se colocaron 0% en los esperados como los no programados para la vigencia)</t>
  </si>
  <si>
    <t>REVISADO DIC 2024.  VERIFICAR PLAN DE ACCIÓN  2025</t>
  </si>
  <si>
    <t>Esta meta es compartida entre Gestión de Riesgo e Infraestructura y esta ultima reporta 6 de 5 que programó. PARA DICIEMBRE 2024 GESTION DE RIESGO PROGRAMÓ 2 Y EJECUTÓ 2. A DICIEMBRE SEC DE INFRAESTRUCTURA REPORTA ACUMUALDO DE 6</t>
  </si>
  <si>
    <t>REVISADO DIC 2024. REPORTADO POR SEC DE HACIENDA</t>
  </si>
  <si>
    <t xml:space="preserve">SECRETARÍA DEL INTERIOR Y CONVIVENCIA CIUDADANA
DISTRISEGURIDAD
ESTABLECIMIENTO PÚBLICO AMBIENTAL (FRANCISCO CASTILLO)
OFICINA ASESORA PARA LA GESTIÓN DEL RIESGO DE DESASTRES
GERENCIA DE ESPACIO PÚBLICO Y MOVILIDAD
</t>
  </si>
  <si>
    <t>Implementar cinco (5) estrategias de educación ambiental (PRAES, IDAU, PROCEDA, SOCIOEDUCACIÓN, ICEA)</t>
  </si>
  <si>
    <t>SECRETARÍA GENERAL  - ACUACAR -  SECRETARÍA DE PLANEACIÓN</t>
  </si>
  <si>
    <t>PROGRAMADO NUMERICO META PRODUCTO 2025</t>
  </si>
  <si>
    <t>ESPERADO PORCENTUAL META PRODUCTO CUATRIENIO EN LA VIGENCIA 2025</t>
  </si>
  <si>
    <t>ESPERADO PORCENTUAL META PRODUCTO CUATRIENIO EN LA VIGENCIA 2025 (PONDERADOR)</t>
  </si>
  <si>
    <t>AVANCE  NUMERICO META PRODUCTO  CORTE MARZO 2025</t>
  </si>
  <si>
    <t>AVANCE  NUMERICO META PRODUCTO  CORTE SEPTIEMBRE 2025</t>
  </si>
  <si>
    <t>AVANCE  NUMERICO META PRODUCTO  CORTE JUNIO 2025</t>
  </si>
  <si>
    <t>ACUMULADO PARCIAL 2025</t>
  </si>
  <si>
    <t>OBSERVACIONES DICIEMBRE 2025</t>
  </si>
  <si>
    <t>LOGRO  (%) META PRODUCTO RESPECTO AL PROGRAMADO CUATRIENIO  ACUMULADO DICIEMBRE  2024</t>
  </si>
  <si>
    <t>OBSERVACIONES MARZO 2025</t>
  </si>
  <si>
    <t>REVISAR CUANDO SE PROGRAME Y REPORTE PARA EL 2025</t>
  </si>
  <si>
    <t>REVISAR ESTA META CUMPLIDA PARA EL CUATRENIO</t>
  </si>
  <si>
    <t>REVISAR CUANDO SE CALCULE EL AVANCE DE ESTE PROGRAMA</t>
  </si>
  <si>
    <t>REVISAR CUANDO SE CALCULE EL AVANCE DE ESTE PROGRAMA SEGÚN LO QUE SE PROGRAME EN LOS PROGRAMAS NO PROGRAMADOS EN EL 2024</t>
  </si>
  <si>
    <t>REVISAR CUANDO SE REPORTE EL ULTIMO COMPONENTE IMPULSOR DE AVANCE</t>
  </si>
  <si>
    <t>REVISAR AL MOMENTO DE REPORTE SEGÚN LOS PROGRAMAS QUE NO SE PROGRAMARON EN EL 2024</t>
  </si>
  <si>
    <t>REVISAR AL MOMENTO DE REPORTE SEGÚN LOS PROGRAMAS QUE NO SE PROGRAMARON EN EL 2024, QUE EN EL 2024 ERAN 4 DE 8 DEL COMPONENTE</t>
  </si>
  <si>
    <t>REVISADO MARZO 2025. EL RESULTADO ACUMULADO SE AJUSTA CADA TRIMESTRE</t>
  </si>
  <si>
    <t xml:space="preserve">REVISADO MARZO 2025. </t>
  </si>
  <si>
    <t>REVISADO MARZO 2025</t>
  </si>
  <si>
    <t>REVISADO MARZO 2026</t>
  </si>
  <si>
    <t>REVISADO MARZO 2027</t>
  </si>
  <si>
    <t>REVISADO GEPM 2025 - REVISAR CON LOS REPORTES DE LAS DEMAS DEPENDENCIAS</t>
  </si>
  <si>
    <t>REVISADO MARZO 2028</t>
  </si>
  <si>
    <t>REVISAR PORQUE ESTA META YA SE CUMPLIÓ EN EL 2024</t>
  </si>
  <si>
    <t xml:space="preserve">REVISAR CON ENLACE EL REPORTE, EL INDICADOR Y EL PROGRAMADO PARA LA VIGENCIA </t>
  </si>
  <si>
    <t>REVISAR CON ENLACES PARA QUE ARTICULEN EL PROGRAMADO Y EL REPORTE, YA QUE DATT PROGRAMÓ 10 Y GEPM 4 PARA LA VIGENCIA 2024. PARA MARZO 2025 SOLO REPORTÓ GEPM 0,1, DATT NO REPORTA</t>
  </si>
  <si>
    <t>REVISAR CON ENLACES PARA QUE ARTICULEN EL PROGRAMADO Y EL REPORTE, YA QUE DATT PROGRAMÓ 5 Y GEPM 4 PARA LA VIGENCIA 2024. PARA MARZO 2025 SOLO REPORTÓ GEPM 0,1, DATT NO REPORTA</t>
  </si>
  <si>
    <t>REVISADO MARZO  2025</t>
  </si>
  <si>
    <t xml:space="preserve">REVISAR CON ENLACE, YA QUE NO SE INCLUYÓ EN EL PLAN DE ACCIÓN </t>
  </si>
  <si>
    <t>REVISAR CON ENLACE ESTA META NO ESTÁ INSCRITA EN EL PLAN DE ACCIÓN  2025</t>
  </si>
  <si>
    <t>ESTA  META LA REPORTAN DOS DEPENDENCIAS, HACIENDA PROGRAMÓ 1 Y SEC DE PLANEACIÓN 0,25; ESTA ULTIMA REPORTA A MARZO 0,05 Y HACIENDA, NO REPORTA</t>
  </si>
  <si>
    <t>ESTA  META LA REPORTAN DOS DEPENDENCIAS, HACIENDA NO PROGRMÓ Y SEC DE PLANEACIÓN 0,25; ESTA ULTIMA REPORTA A MARZO 0,05</t>
  </si>
  <si>
    <t>REVISADO DIC 2025</t>
  </si>
  <si>
    <t>META CUMPLIDA MARZO 2025</t>
  </si>
  <si>
    <t>REVISAR CALCULO DE AVANCE CON ENLACE</t>
  </si>
  <si>
    <t>REVISAR CON ENLACE YA QUE DA POR CUMPLIDA ESTA META CUANDO AUN FALTA PARA EL 100%</t>
  </si>
  <si>
    <t>REVISAR CON ENLACE LA META NUMERICA DEL CUATRIENIO</t>
  </si>
  <si>
    <t>REVISAR CON ENLACE, YA QUE ESTA META SE PROGRAMÓ EN 2024 Y EN EL REPORTE APARECE COMO ACUMUALDO CERO</t>
  </si>
  <si>
    <t xml:space="preserve">REVISAR ACUMULADO CUATRIENIO CON ENLACE </t>
  </si>
  <si>
    <t>REVISAR CON ENLACE YA QUE NO SE PROGRAMÓ PARA 2025</t>
  </si>
  <si>
    <t>REVISAR CON ENLACE YA QUE EL PROGRAMADO CUATRIENIO DEBE SER 20 Y EN EL PLAN DE ACCIÓN  EL PRROGRAMADO CUATRIENIO ES SOLO 5</t>
  </si>
  <si>
    <t>SE COLOCA ACUMULADO CUATRIENIO MANUAL HASTA  QUE SE REPORTE AVANCE DE LA PRIMERA Y SEGUNDA META PRODUCTO.</t>
  </si>
  <si>
    <t>REVISAR CON ENLACE YA QUE EL PROGRAMADO PARA LA VIGENCIA  2025 DEBE SER EN NUEMRIO Y LO TIENE EN PORCENTAJE</t>
  </si>
  <si>
    <t>SE AJUSTA CADA TRIMESTRE SEGÚN AVANCE REPORTADO</t>
  </si>
  <si>
    <t>SE INCLUYE EL AVANCE CUANDO EMPEICEN A REPORTAR EN LOS SIGUIENTES TRIMESTRES DEL 2025, YA QUE PARA MARZO 2025 NO HAY REPORTE</t>
  </si>
  <si>
    <t>SE INCLUYE EL AVANCE CUANDO EMPIECEN A REPORTAR EN LOS SIGUIENTES TRIMESTRES DEL 2025, YA QUE PARA MARZO 2025 NO HAY REPORTE</t>
  </si>
  <si>
    <t>REVISADO MARZO 2025. SE INCLUYE AVANCE CERO  EN MARZO 2025, PARA COMPENSAR REPORTE ACUMULADO DEL PROGRAMA A DICIEMBRE 2024</t>
  </si>
  <si>
    <t>REVISAR EL PROGRAMADO NUMERICO PARA EL 2025, YA QUE SEGÚN EL PLAN DE ACCIÓN SE´RIA 0,5. ADEMAS DE INCLUIR EL REPORTE DE ACUMULADO CUANDO REPORTEN EN LOS SIGUIENTES TRIMESTRESDE 2025</t>
  </si>
  <si>
    <t>SE INCLUYE EL AVANCE EN CERO PARA AJUSTAR EL ACUMULADO DEL PROGRAMA A CORTE MARZO 2025 HASTA QUE SE REPORTEN LOS SIGUIENTES TRIMESTRES LOS AVANCES</t>
  </si>
  <si>
    <t>REVISAR CON EL ENLACE YA QUE NO SE REPORTA NI PROGRAMADO NI AVANCE A MARZO 2025</t>
  </si>
  <si>
    <t>REVISAR CON EL ENLACE YA QUE NO SE REPORTA NI PROGRAMADO NI AVANCE A MARZO 2026</t>
  </si>
  <si>
    <t>REVISAR CON ENLACE YA QUE PROGRAMA  18 PARA LA VIGENCIA 2025,CUANDO ESTA ES LA MISMA META CUATRIENIO Y YA TIENE UN ACUMULADO DE 2  A DICIEMBRE DE 2024</t>
  </si>
  <si>
    <t>REVISAR CON ENLACE, YA QUE NO SE AJUSTA LA META ACUMULADA CON LA QUE ESTÁ REPORTADA A DICIEMBRE 2024 Y PORQUE TAMPOCO COINCIDE CON EL PROGRAMADO</t>
  </si>
  <si>
    <t>REVISAR EL PROGRAMDO Y AVANCE REPORTADO A MARZO 2025</t>
  </si>
  <si>
    <t>REVISAR EL PROGRAMADO Y AVANCE REPORTADO A MARZO 2025</t>
  </si>
  <si>
    <t>REVISAR EL PROGRAMADO Y AVANCE REPORTADO A MARZO 2025. PORQUE APARACE COMO CUMPLIDA A DICIEMBRE 2024</t>
  </si>
  <si>
    <t>SE INCLUYE EL AVANCE EN CERO PARA AJUSTAR EL ACUMULADO DEL PROGRAMA A CORTE MARZO 2025 HASTA QUE SE REPORTEN LOS SIGUIENTES TRIMESTRES LOS AVANCES. ADEMAS, SE INCLUYE EL PROGRAMADO POR LA SECRETARÍA DE PARTICIPACION PARA LA VIGENCIA 2025 EN MARZO EN 15</t>
  </si>
  <si>
    <t>SECRETARÍA DE PARTICIPACIÓN - SECRETARÍA DEL INTERIOR Y CONVIVENCIA CIUDADANA</t>
  </si>
  <si>
    <t>REVISAR CON ENLACE YA QUE NO PROGRAMÓ PARA LA VIGENCIA Y REPORTA EN MARZO 25 EN EL 2025</t>
  </si>
  <si>
    <t xml:space="preserve"> GEPM - SECRETARÍA DE HACIENDA - SECRETARÍA DE PARTICIPACIÓN Y DESARROLLO SOCIAL</t>
  </si>
  <si>
    <t>AJUSTADO CADA TRIMESTRE. SE ABREN CUPOS POR 80, POR LO TANTO PARA EFECTOS DE SEGUIMIENTO SE DISTRIBUYEN 20 POR CADA TRIMESTRE</t>
  </si>
  <si>
    <t>PROGRAMADO VIGENCIA  2025</t>
  </si>
  <si>
    <t>REVISADO MARZO 2025. LA ULTIMA META PRODUCTO SE INCLUYE AL MOMENTO DEL REPORTE EN LA VIGENICIA 2025</t>
  </si>
  <si>
    <t>REVISADO MARZO 2025. SE INCLUYE EL ACUMULADO AL MOMENTO DE REPORTE DE LA META EN LA VIGENCIA 2025</t>
  </si>
  <si>
    <t>REVISADO MARZO 2025. SE EMPIEZA  A CONTABILIZAR AL MOMENTO DE REPORTAR EN EL TRIMESTRE 2025</t>
  </si>
  <si>
    <t>REVISAR SI SECRETARÍA DEL INTERIOR PROGRAMÓ PARA EL 2025, YA QUE EL INSTITUTO COMUNAL NO PROGRAMÓ PARA ESTA VIGENCIA</t>
  </si>
  <si>
    <t>REVISAR CON ENLACE, YA QUE ESTA META LA REPORTARON COMO LOGARADA LA VIGENCIA ANTERIOR</t>
  </si>
  <si>
    <t>REVISAR CON ENLACE, YA QUE ESTA META LA REPORTARON COMO LOGARADA LA VIGENCIA ANTERIOR POR CORPOTURISMO</t>
  </si>
  <si>
    <t>REVISAR EL CALCULO DEL AVANCE, YA QUE TIENE 25% ACUMULADO CUATRIENIO Y DEBE SER 31,5% A CORTE MARZO 2025</t>
  </si>
  <si>
    <t>META CUMPLIDA DICIEMBRE 2024</t>
  </si>
  <si>
    <t>REVISADO MARZO  2025. SE LES INCLUYE CERO EN EL ACUMULADO PARA EQUILIBARA EL CALCULO, HASTA QUE REPORTEN EN LOS SIGUIENTES TRIMESTRES DEL 2025</t>
  </si>
  <si>
    <t>REVISADO MARZO  2025. SE LES INCLUYE CERO EN EL ACUMULADO PARA EQUILIBAR EL CALCULO, HASTA QUE REPORTEN EN LOS SIGUIENTES TRIMESTRES DEL 2025</t>
  </si>
  <si>
    <t>REVISADO MARZO  2025. SE LES INCLUYE CERO EN EL ACUMULADO PARA EQUILIBAR EL CALCULO, HASTA QUE REPORTEN EN LOS SIGUIENTES TRIMESTRES DEL 2026</t>
  </si>
  <si>
    <t>REVISADO MARZO  2025. SE LES INCLUYE CERO EN EL ACUMULADO PARA EQUILIBAR EL CALCULO, HASTA QUE REPORTEN EN LOS SIGUIENTES TRIMESTRES DEL 2027</t>
  </si>
  <si>
    <t>REVISAR CON ENLACE PORQUE SE AJUSTÓ EL AVANCE CUATRENIO. AJUSTAR EL AVANCE DEL AÑO 2025 PARCIALMENTE</t>
  </si>
  <si>
    <t>AJUSTADO EN SU ACUMUALDO CUATRIENIO A CORTE MATRZO 2025 DEL REPORTE DE DICIEMBRE DE 2024</t>
  </si>
  <si>
    <t>REVISAR CON ENLACELA META DE CUATRIENIO</t>
  </si>
  <si>
    <t>REVISAR YA QUE NO HAY PROGRAMACIÓN PARA LA VIGENCIA 2025</t>
  </si>
  <si>
    <t>META LOGRADA DICIEMBRE 2024</t>
  </si>
  <si>
    <t>REVISAR CON ENLACE, ESTA META PRODUCTO APARECE EN EL PLAN DE ACCIÓN A CORTE MARZO 2025 EN LA LINEA ESTRATEGICA DE DESARROLLO ECONOMICO Y CON OTRO PROGRAMA</t>
  </si>
  <si>
    <t>SE AJUSTA EN CADA CALCULO DE ACUMULADO CUATRIENIO YA QUE LA META CUATRIENIO NO ES 1200 SINO 262</t>
  </si>
  <si>
    <t>SE INCLUYE EL REPORTE EN CERO PARA EQUILIBRAR EL CALCULO DEL CUATRIENIO. AL MOMENTO DE LOS REPORTES TRIMESTRALES DE LA VIGENCIA 2025 SE AJUSTA AUTOMATICAMENTE</t>
  </si>
  <si>
    <t>REVISAR CON ENLACE, YA QUE ESTA META LA COLOCA COMO LOGRADA EN EL CUATRIENIO, CUANDO ES DE MANTENIMIENTO DE 300 CADA AÑO</t>
  </si>
  <si>
    <t>REVISAR EL REPORTE 2025 A MARZO, EL PROGRAMADO DE LA VIGENCIA 2025, EL PROGRAMADO DE LA VIGENCIA 2024 QUE NO COINCIDE CON EL REPORTE A MARZO 2025</t>
  </si>
  <si>
    <t>ESTA META PRODUCTO SE EMPEZARÁ A ACUMULAR DE ACUERDO A LOS AVANCES REPORTADOS  A LO LARGO DEL AÑO 2025. REVISAR EL PROGRAMADO REPORTADO A CORTE MARZO 2025, YA QUE NO COINCIDE CON EL SEGUIMIENTO DEL PLAN DE ACCIÓN A DICIEMBRE 2024</t>
  </si>
  <si>
    <t>REVISAR EL PROGRAMADO REPORTADO A CORTE MARZO 2025, YA QUE NO COINCIDE CON EL SEGUIMIENTO DEL PLAN DE ACCIÓN A DICIEMBRE 2024. TAMBIEN, REVISAR EL PROGRAMADO PARA LA VIGENCIA 2025</t>
  </si>
  <si>
    <t xml:space="preserve">REVISAR EL PROGRAMADO REPORTADO A CORTE MARZO 2025, YA QUE NO COINCIDE CON EL SEGUIMIENTO DEL PLAN DE ACCIÓN A DICIEMBRE 2024. </t>
  </si>
  <si>
    <t>SE AJUSTA EL ACUMULADO CUATRIENIO EN MARZO 2025 YA QUE SE CORRIGIÓ LA META CUATRIENIO A  879.</t>
  </si>
  <si>
    <t>META CUMPLIDA. PERO REVISAR PORQUE LA PROGRAMARON PARA EL 2025</t>
  </si>
  <si>
    <t>META CUMPLIDA. PERO REVISAR PORQUE SE PROGRAMARON 5 PARA LA VIGENCIA 2025</t>
  </si>
  <si>
    <t>NO PROGRAMADA PARA VIGENCIA 2025</t>
  </si>
  <si>
    <t xml:space="preserve">REVISAR CON ENLACE YA QUE EL AVANCE DEL PROGRAMA DEBE AJUSTARSE PARA QUE NO SE VAYA A SESGAR POR EL AVANCE DE UNA SOLA META, POR LO TANTO SE LE COLOCA DE MANERA IMPLICITA: 25% A LAS TRES METAS PRODUCTO QUE NO SE PROGRAMARON COMO AVANCE DEL CUATRIENIO AUNQUE ESTAS NO SE INCLUYAN. DE ESA MANERA SE EQUILIBRA </t>
  </si>
  <si>
    <t>REVISAR EL  PROGRAMADO DEL PROGRAMA  "FORTALECIMIENTO INSTITUCIONAL DE RENTA CIUDADANA, RENTA JOVEN Y COLOMBIA MAYOR PARA LA SUPERACIÓN DE LA POBREZA EXTREMA".</t>
  </si>
  <si>
    <t xml:space="preserve"> PARA EL AÑO 2024  ERAN 5 PROGRAMAS PROGRAMADOS, PARA EL 2025 SON 6 CON EL DE  MEMORIA Y PATRIMONIO AL SERVICIO DE LA CIUDADANÍA, QUE SE INCLUIRÁ COMO PROGRAMA 6 DEL DENOMINADOR CUANDO SE REPORTEN EN LA VIGENCIA PRESENTE</t>
  </si>
  <si>
    <t>SE INCLUYE EL AVANCE DEL PROGRAMA CUANDO EMPIECEN A REPORTAR EN LOS SIGUIENTES TRIMESTRES DEL 2025, YA QUE PARA MARZO 2025 NO HAY REPORTE</t>
  </si>
  <si>
    <t>PROGRAMADO CORTE  2025 RESPECTO AL CUATRIENIO 2024 -2027 (PONDERADOR)</t>
  </si>
  <si>
    <t>LOGRO ALCANZADO DICIEMBRE RESPECTO AL CUATRIENIO (PONDERADOR) 2024</t>
  </si>
  <si>
    <t>REVISADO MARZO 2025. NO PROGRAMADO POR VALORIZACIÓN, PERO SEC DE INFRAESTRUCTURA PROGRAMÓ 0,12 PARA LA VIGENCIA 2025. PERO REVISRA YA QUE EN EL PLAN DE ACCIÓN DE SEC DE INFRAESTRUCTRURA APARECE COMO CUMPLIDA AL 100%</t>
  </si>
  <si>
    <t>REVISADO MARZO 2025. GESTION DE RIESGO PROGRAMÓ 2 Y SEC DE INFRAESTRUCTURA 4 PARA LA VIGENCIA 2025 Y QUE PARA MARZO 2025 REPORTA EJECUCIÓN DE 3</t>
  </si>
  <si>
    <t>REVISAR CON ENLACE YA QUE EN EL ACUMUALDO DEL REPORTE A MARZO 2025 PRESENTA 6 Y EN EL ACUMUALDO DE DICIEMBRE 12</t>
  </si>
  <si>
    <t>REVISAR CON ENLACE YA QUE ESTA META PRODUCTO SE CUMPLIÓ</t>
  </si>
  <si>
    <t xml:space="preserve">REVISAR CON ENLACE </t>
  </si>
  <si>
    <t>ACUMULADO DICIEMBRE 2024</t>
  </si>
  <si>
    <t>ESPERADO A DICIEMBRE 2025</t>
  </si>
  <si>
    <t>ESPERADO PARCIAL POR TRIMESTRE 2025</t>
  </si>
  <si>
    <t>AVANCE ENERO - MARZO 2025</t>
  </si>
  <si>
    <t>DEFICIT O SUPERAVIT ENTRE ENERO - MARZO 2025</t>
  </si>
  <si>
    <t>LOGRO (%) RESPECTO AL PROGRAMADO PARA LA VIGENCIA 2025</t>
  </si>
  <si>
    <t>SE INCLUYE EN EL CALCULO DEL CUATRIENIO DEL COMPONENTE IMPULSO, AL MOMENTO DE EMPEZAR A REPORTAR</t>
  </si>
  <si>
    <t>ESPERADO ACUMULADO A  DICIEMBRE 2025</t>
  </si>
  <si>
    <t>ESPERADO ACUMULADO CUATRIENIO A DICIEMBRE 2025</t>
  </si>
  <si>
    <t>AULA GLOBAL</t>
  </si>
  <si>
    <t xml:space="preserve">AVANCE  CORTE DICIEMBRE  2024 RESPECTO AL CUATRIENIO </t>
  </si>
  <si>
    <t>SE INCLUYE CUANDO SE AVALEN LA CIFRA CON LA SED</t>
  </si>
  <si>
    <t>SECRETARÍA DE INFRAESTRUCTURA - EPA- SECRETARÍA DE PLANEACIÓN</t>
  </si>
  <si>
    <t>REVISAR PROGRAMADO PARA EL 2025 Y ACUMULADO DEL 2024 YA QUE NO COINCIDE CON EL REPORTADO EN EL 2024</t>
  </si>
  <si>
    <t>REVISAR CUANDO SE CALCULE EL AVANCE DE ESTE PROGRAMA PARA SACAR EL PROMEDIO MAXIMO ENTFRE LOS PROGRAMADO EN EL 2024 Y EL 2025 CON EL MAXIMO REPORTADO.</t>
  </si>
  <si>
    <t>COMPONENTE AJUSTADO</t>
  </si>
  <si>
    <t>PROGRAMA AJUSTADO</t>
  </si>
  <si>
    <t>CAPÍTULO DE LOS PUEBLOS Y COMUNIDADES ÉTNICAS</t>
  </si>
  <si>
    <t>Fortalecimiento al Desarrollo Afro-Territorial de la Población Negra, Afrocolombiana, Raizal y Palenquera</t>
  </si>
  <si>
    <t>DESARROLLO HUMANO Y BIENESTAR SOCIAL DE LAS COMUNIDADES NEGRAS, AFROCOLOMBIANAS, RAIZALES Y PALENQUERAS</t>
  </si>
  <si>
    <t>Valor Absoluto</t>
  </si>
  <si>
    <t>Territorio Sitio de Paz y Pensamiento Colectivo</t>
  </si>
  <si>
    <t>GOBERNANZA Y PARTICIPACIÓN DE LAS COMUNIDADES NEGRAS AFROCOLOMBIANAS, RAIZALES Y PALENQUERAS PARA EL FORTALECIMIENTO DE LA DEMOCRACIA EN EL DISTRITO</t>
  </si>
  <si>
    <t>SECRETARÍA DEL INTERIOR Y CONVIVENCIA CIUDADANA
SECRETARÍA GENERAL</t>
  </si>
  <si>
    <t>SECRETARÍA DEL INTERIOR Y CONVIVENCIA CIUDADANA
SECRETARÍA GENERAL
SECRETARÍA DEL INTERIOR Y CONVIVENCIA CIUDADANA</t>
  </si>
  <si>
    <t>Programa para participación ciudadana de las comunidades Negra, Afrocolombiana, Raizales y Palenquera en estrategia de SEGURIDAD HUMANA creado e implementado</t>
  </si>
  <si>
    <t>Crear e implementar un (1) Programa para Participación Ciudadana de las Comunidades Negra, Afrocolombiana, Raizales y Palenquera, en la estrategia de SEGURIDAD HUMANA</t>
  </si>
  <si>
    <t>DESARROLLO LOCAL SOSTENIBLE Y PROSPERIDAD COLECTIVA EN LOS TERRITORIOS DE LAS COMUNIDADES NEGRAS DEL DISTRITO DE CARTAGENA</t>
  </si>
  <si>
    <t>SECRETARÍA DE TURÍSMO
SECRETARÍA DEL INTERIOR Y CONVIVENCIA CIUDADANA</t>
  </si>
  <si>
    <t>SECRETARÍA GENERAL
SECRETARÍA DEL INTERIOR Y CONVIVENCIA CIUDADANA</t>
  </si>
  <si>
    <t>Subsidios para mejoramiento de vivienda otorgados a miembros de los cabildos indígenas_x000D_
ubicados en el Distrito</t>
  </si>
  <si>
    <t>LÍNEA ESTRATÉGICA</t>
  </si>
  <si>
    <t>Avance Plan de Desarrollo</t>
  </si>
  <si>
    <t>IMPULSOR DE AVANCE</t>
  </si>
  <si>
    <t>Avance del Impulsor</t>
  </si>
  <si>
    <t>PROGRAMA</t>
  </si>
  <si>
    <t>Avance del programa</t>
  </si>
  <si>
    <t>PRODUCTO</t>
  </si>
  <si>
    <t>META PRODUCTO</t>
  </si>
  <si>
    <t>ENTIDAD RESPONSABLE</t>
  </si>
  <si>
    <t>TIPO DE AVANCE</t>
  </si>
  <si>
    <t>CIUDAD CONECTADA Y SOSTENIBLE</t>
  </si>
  <si>
    <t>Ciudad Histórica y Patrimonial</t>
  </si>
  <si>
    <t>CONEXIÓN ENTRE EL CASTILLO DE SAN FELIPE DE BARAJAS Y SU ÁREA DE INFLUENCIA PARA LA RECUPERACIÓN DEL PATRIMONIO ARQUEOLÓGICO, MATERIAL E INMATERIAL</t>
  </si>
  <si>
    <t>ESCUELA TALLER CARTAGENA DE INDIAS
GERENCIA DE ESPACIO PÚBLICO Y MOVILIDAD
SECRETARÍA DE INFRAESTRUCTURA</t>
  </si>
  <si>
    <t>ESCUELA TALLER CARTAGENA DE INDIAS
GEPM (GERENCIA DE ESPACIO PÚBLICO Y MOVILIDAD)
IDER
SECRETARÍA DE INFRAESTRUCTURA</t>
  </si>
  <si>
    <t>ESCUELA TALLER CARTAGENA DE INDIAS
GEPM (GERENCIA DE ESPACIO PÚBLICO Y MOVILIDAD)
SECRETARÍA DE INFRAESTRUCTURA</t>
  </si>
  <si>
    <t>Infraestructura, Movilidad Sostenible y Accesibilidad para Todos</t>
  </si>
  <si>
    <t>INTERVENCIONES URBANAS INTEGRALES</t>
  </si>
  <si>
    <t>Cartagena Ordenada Alrededor del Agua</t>
  </si>
  <si>
    <t>GESTIÓN DEL TERRITORIO MARINO-COSTERO</t>
  </si>
  <si>
    <t>SECRETARÍA DE PLANEACIÓN
CORVIVIENDA</t>
  </si>
  <si>
    <t>REHABILITACIÓN, MANTENIMIENTO, ADECUACIÓN, Y OBRA NUEVA PARA EL SISTEMA VIAL Y ESTRUCTURAS DE PASO</t>
  </si>
  <si>
    <t>MOVILIDAD ORDENADA, SOSTENIBLE Y AMIGABLE CON EL MEDIO AMBIENTE</t>
  </si>
  <si>
    <t>DATT
GEPM (GERENCIA DE ESPACIO PÚBLICO Y MOVILIDAD)</t>
  </si>
  <si>
    <t>TRANSPORTE MASIVO CONFIABLE, EFICIENTE Y SOSTENIBLE</t>
  </si>
  <si>
    <t>TRANSCARIBE
SECRETARÍA DE INFRAESTRUCTURA</t>
  </si>
  <si>
    <t>SECRETARÍA DE INFRAESTRUCTURA
TRANSCARIBE</t>
  </si>
  <si>
    <t xml:space="preserve"> Integración Regional y Metropolitana</t>
  </si>
  <si>
    <t>ESTABLECIMIENTO PÚBLICO AMBIENTAL EPA
EDURBE</t>
  </si>
  <si>
    <t>SECRETARÍA DE INFRAESTRUCTURA
EDURBE</t>
  </si>
  <si>
    <t>VALORIZACIÓN
SECRETARÍA DE INFRAESTRUCTURA</t>
  </si>
  <si>
    <t>RECUPERACIÓN Y ESTABILIZACIÓN DEL SISTEMA HÍDRICO Y LITORAL DE CARTAGENA</t>
  </si>
  <si>
    <t>GEPM (GERENCIA DE ESPACIO PÚBLICO Y MOVILIDAD)
SECRETARÍA DE INTERIOR</t>
  </si>
  <si>
    <t>PLAN DE RESTAURACIÓN INTEGRAL DE LA CIÉNAGA DE LA VIRGEN</t>
  </si>
  <si>
    <t>Ordenamiento del Territorio y espacio público</t>
  </si>
  <si>
    <t>SECRETARÍA DE PLANEACIÓN
GERENCIA DE ESPACIO PÚBLICO Y MOVILIDAD</t>
  </si>
  <si>
    <t>RECUPERACIÓN Y TRANSFORMACIÓN DEL ESPACIO PÚBLICO</t>
  </si>
  <si>
    <t>Control Urbanístico y Territorial</t>
  </si>
  <si>
    <t>RECUPERANDO LA GOBERNANZA URBANÍSTICA, CARTAGENA VUELVE A BRILLAR</t>
  </si>
  <si>
    <t>CARTAGENA AVANZA EN EL FORTALECIMIENTO DEL PLAN DE NORMALIZACIÓN URBANÍSTICA</t>
  </si>
  <si>
    <t>Cartagena Amigable con el Ambiente</t>
  </si>
  <si>
    <t>BIENESTAR ANIMAL Y PROTECCIÓN DE LA VIDA SILVESTRE</t>
  </si>
  <si>
    <t>UMATA
DADIS</t>
  </si>
  <si>
    <t>UMATA 
ESTABLECIMIENTO PÚBLICO AMBIENTAL EPA</t>
  </si>
  <si>
    <t>GESTIÓN Y CONSERVACIÓN DE LA VEGETACIÓN Y LA BIODIVERSIDAD</t>
  </si>
  <si>
    <t>ALERTAS TEMPRANAS</t>
  </si>
  <si>
    <t>INVESTIGACIÓN, EDUCACIÓN Y CULTURA AMBIENTAL</t>
  </si>
  <si>
    <t>Cartagena Adaptada al Clima y Resiliente a los Desastres</t>
  </si>
  <si>
    <t>SECRETARÍA DE PLANEACIÓN
ESTABLECIMIENTO PÚBLICO AMBIENTAL EPA</t>
  </si>
  <si>
    <t>CONOCIMIENTO DEL RIESGO</t>
  </si>
  <si>
    <t>OFICINA ASESORA PARA LA GESTIÓN DE RIESGO DE DESASTRE
Oficina de Informática de la Alcaldía Distrital de Cartagena</t>
  </si>
  <si>
    <t>OFICINA ASESORA PARA LA GESTIÓN DE RIESGO DE DESASTRE
SECRETARÍA DE INFRAESTRUCTURA</t>
  </si>
  <si>
    <t>MANEJO DE DESASTRES</t>
  </si>
  <si>
    <t>ADAPTACIÓN DEL ESPACIO PÚBLICO AL CAMBIO CLIMÁTICO</t>
  </si>
  <si>
    <t>GEPM (GERENCIA DE ESPACIO PÚBLICO Y MOVILIDAD)
SECRETARÍA DE INFRAESTRUCTURA</t>
  </si>
  <si>
    <t>SOSTENIBILIDAD DEL ESPACIO PÚBLICO DEL CENTRO HISTÓRICO DE CARTAGENA DE INDIAS</t>
  </si>
  <si>
    <t>GERENCIA DE ESPACIO PÚBLICO Y MOVILIDAD
DATT
SECRETARÍAS DE INFRAESTRUCTURA</t>
  </si>
  <si>
    <t>GEPM (GERENCIA DE ESPACIO PÚBLICO Y MOVILIDAD)
IPCC</t>
  </si>
  <si>
    <t>SECRETARÍA DE PLANEACIÓN
IPCC</t>
  </si>
  <si>
    <t>GERENCIA DE ESPACIO PÚBLICO Y MOVILIDAD
DATT
SECRETARÍA DE PLANEACIÓN
ESCUELA TALLER ETCAR</t>
  </si>
  <si>
    <t>MURALLA PARA TODOS</t>
  </si>
  <si>
    <t>DESARROLLO ECONÓMICO EQUITATIVO</t>
  </si>
  <si>
    <t>Economía Popular y Emprendimiento</t>
  </si>
  <si>
    <t>Turismo Sostenible y Responsable</t>
  </si>
  <si>
    <t>Vincular a trescientos veinte (320) personas líderes y autoridades turísticas a procesos de formación</t>
  </si>
  <si>
    <t>SECRETARÍA DE TURISMO
SECRETARÍA DE HACIENDA</t>
  </si>
  <si>
    <t>INFRAESTRUCTURA TURÍSTICA PARA EL DESARROLLO</t>
  </si>
  <si>
    <t>Infraestructura turística dotada, adecuada, mejorada, mantenida y/o construida (infraestructura marino costera, embarcaderos)</t>
  </si>
  <si>
    <t>SECRETARÍA DE INFRAESTRUCTURA
SECRETARÍA DE TURISMO</t>
  </si>
  <si>
    <t>Competitividad e innovación</t>
  </si>
  <si>
    <t>UNIDOS POR UNA CARTAGENA COMPETITIVA E INNOVADORA</t>
  </si>
  <si>
    <t>Beneficiar a mil (1.000)_x000D_
personas a través del diseño y ejecución de 4 planes de fomento de la cultura de la innovación</t>
  </si>
  <si>
    <t>CARTAGENA GLOBAL</t>
  </si>
  <si>
    <t>Diversificación Económica</t>
  </si>
  <si>
    <t>UNIDOS POR LA DIVERSIFICACIÓN ECONÓMICA Y EL DESARROLLO EMPRESARIAL</t>
  </si>
  <si>
    <t>COOPERACIÓN PARA AVANZAR</t>
  </si>
  <si>
    <t>ECONOMÍA CIRCULAR Y NEGOCIOS VERDES</t>
  </si>
  <si>
    <t>SECRETARÍA GENERAL
SECRETARÍA DE HACIENDA</t>
  </si>
  <si>
    <t>TRANSFORMACIÓN PRODUCTIVA</t>
  </si>
  <si>
    <t>Trabajo Decente y Cierre de Brechas Laborales</t>
  </si>
  <si>
    <t>EMPLEO Y CAPITAL HUMANO</t>
  </si>
  <si>
    <t>MI PRIMERA CHAMBA</t>
  </si>
  <si>
    <t>DERECHO AL TRABAJO EN CONDICIONES DE IGUALDAD Y DIGNIDAD PARA LA MUJER</t>
  </si>
  <si>
    <t>AVANZAMOS CON CAPACIDADES EMPRENDEDORAS</t>
  </si>
  <si>
    <t>SECRETARÍA DE HACIENDA
SECRETARÍA DE PARTICIPACIÓN Y DESARROLLO SOCIAL</t>
  </si>
  <si>
    <t>Número de estrategias para promover el ecosistema de emprendimiento e innovación implementada</t>
  </si>
  <si>
    <t>Implementar cuatro (4) estrategias para la promoción de ecosistemas de emprendimiento e innovación</t>
  </si>
  <si>
    <t>CARTAGENA FOMENTA LA INCLUSIÓN PRODUCTIVA JUVENIL</t>
  </si>
  <si>
    <t>CORPOTURISMO
SECRETARÍA DE TURISMO</t>
  </si>
  <si>
    <t>GOBERNANZA Y FORTALECIMIENTO INSTITUCIONAL PARA UNA CIUDAD DE DERECHOS, RESPONSABLE Y COMPETITIVA</t>
  </si>
  <si>
    <t>Desarrollo Agropecuario</t>
  </si>
  <si>
    <t>INCLUSIÓN PRODUCTIVA Y SOCIAL DE LA AGRICULTURA CAMPESINA, FAMILIAR Y COMUNITARIA</t>
  </si>
  <si>
    <t>EXTENSIÓN AGROPECUARIA, INFRAESTRUCTURA Y ACTIVOS PRODUCTIVOS PARA LA COMPETITIVIDAD AGROPECUARIA Y LA SOBERANÍA ALIMENTARIA</t>
  </si>
  <si>
    <t>SECRETARÍA DE INFRAESTRUCTURA
CORVIVIENDA
UMATA</t>
  </si>
  <si>
    <t>SECRETARÍA DE INFRAESTRUCTURA
UMATA</t>
  </si>
  <si>
    <t>CARTAGENA CIUDAD DE PESCADORES</t>
  </si>
  <si>
    <t>DADIS</t>
  </si>
  <si>
    <t>UMATA
ESTABLECIMIENTO PÚBLICO AMBIENTAL EPA</t>
  </si>
  <si>
    <t>Sistema Integral de Abastecimiento del Distrito</t>
  </si>
  <si>
    <t>DESARROLLO DEL NUEVO SISTEMA DE MERCADOS DEL DISTRITO</t>
  </si>
  <si>
    <t>Implementar tres (3) fases del proceso de traslado del Mercado de Bazurto _x000D_
(1. Levantamiento, recopilación y revisión de información. _x000D_
2. Estudio de preinversion para el desarrollo de la estructuración técnica, social, ambiental, predial, financiera, jurídica y operativa del nuevo sistema de abastecimiento _x000D_
3. Ejecución)</t>
  </si>
  <si>
    <t>SECRETARÍA GENERAL
SECRETARÍA DE INFRAESTRUCTURA
DATT</t>
  </si>
  <si>
    <t>GESTIÓN INTEGRAL DEL SISTEMA DE MERCADOS</t>
  </si>
  <si>
    <t>INNOVACIÓN PÚBLICA Y PARTICIPACIÓN CIUDADANA</t>
  </si>
  <si>
    <t>Transparencia y Gobierno Abierto</t>
  </si>
  <si>
    <t>Fortalecimiento Institucional e Innovación Administrativa</t>
  </si>
  <si>
    <t>SEGURIDAD DIGITAL</t>
  </si>
  <si>
    <t>FORTALECIMIENTO DEL SISTEMA DE CONTROL INTERNO, SCI</t>
  </si>
  <si>
    <t>ESCUELA DE GOBIERNO Y LIDERAZGO
Oficina Asesora de Control Interno</t>
  </si>
  <si>
    <t>Finanzas Públicas</t>
  </si>
  <si>
    <t>HACIENDA MODERNA Y DIGITAL</t>
  </si>
  <si>
    <t>Participación Ciudadana y Acción Comunal</t>
  </si>
  <si>
    <t>SECRETARÍA DEL INTERIOR
Instituto Distrital de Acción Comunal</t>
  </si>
  <si>
    <t>SECRETARÍA GENERAL
SECRETARÍA DE PLANEACIÓN</t>
  </si>
  <si>
    <t>OFICINA ASESORA DE INFORMÁTICA
ESCUELA DE GOBIERNO Y LIDERAZGO</t>
  </si>
  <si>
    <t>OFICINA ASESORA DE INFORMÁTICA</t>
  </si>
  <si>
    <t>MODELO INTEGRADO DE PLANEACIÓN Y GESTIÓN - MIPG</t>
  </si>
  <si>
    <t>REDISEÑO INSTITUCIONAL E INNOVACIÓN ADMINISTRATIVA DEL DISTRITO</t>
  </si>
  <si>
    <t>TRANSFORMACIÓN DIGITAL DEL SISTEMA DE ARCHIVO PARA LA GESTIÓN PÚBLICA EFICIENTE</t>
  </si>
  <si>
    <t>FORTALECIMIENTO DE LA GESTIÓN ADMINISTRATIVA Y OPERATIVA DEL DEPARTAMENTO ADMINISTRATIVO DE TRÁNSITO Y TRANSPORTE - DATT</t>
  </si>
  <si>
    <t>GESTIÓN FISCAL Y FINANCIERA OPORTUNA</t>
  </si>
  <si>
    <t>Cultura Ciudadana</t>
  </si>
  <si>
    <t>SERVIDORES CON ESPLENDOR CONSTRUYENDO CIUDAD</t>
  </si>
  <si>
    <t>ORGANISMOS COMUNALES TÉCNICOS Y ADMINISTRATIVAMENTE EFICIENTES</t>
  </si>
  <si>
    <t>ORGANIZACIONES SOCIALES SÓLIDAS E INCIDENTES EN EL DESARROLLO LOCAL</t>
  </si>
  <si>
    <t>PROMOCIÓN Y GARANTÍA PARA LA PARTICIPACIÓN SOCIOPOLÍTICA JUVENIL</t>
  </si>
  <si>
    <t>DERECHO A LA PARTICIPACIÓN Y REPRESENTACIÓN CON EQUIDAD DE GÉNERO</t>
  </si>
  <si>
    <t>Sistema de Planeación Distrital</t>
  </si>
  <si>
    <t>CENTRO DE INVESTIGACIÓN DE INFORMACIÓN DE LA CIUDAD PARA LA TOMA DE DECISIONES (CIDI)</t>
  </si>
  <si>
    <t>SISTEMAS DE INFORMACIÓN PARA EL DESARROLLO DE CARTAGENA</t>
  </si>
  <si>
    <t>Mapa Interactivo de Asuntos del Suelo - MIDAS _x000D_
actualizado y optimizado</t>
  </si>
  <si>
    <t>INVERSIÓN PÚBLICA EFICIENTE Y TRANSPARENTE</t>
  </si>
  <si>
    <t>POLÍTICAS PÚBLICAS INTERSECTORIALES Y CON VISIÓN INTEGRAL</t>
  </si>
  <si>
    <t>SECRETARÍA DE PLANEACIÓN
SECRETARÍA DEL INTERIOR Y CONVIVENCIA CIUDADANA</t>
  </si>
  <si>
    <t>GESTIÓN CATASTRAL CON ENFOQUE MULTIPROPÓSITO</t>
  </si>
  <si>
    <t>SECRETARÍA DE HACIENDA
SECRETARÍA DE PLANEACIÓN</t>
  </si>
  <si>
    <t>SEGURIDAD HUMANA</t>
  </si>
  <si>
    <t>Atención Integral a Grupos de Especial Protección</t>
  </si>
  <si>
    <t>Superación de la pobreza extrema y soberanía alimentaria</t>
  </si>
  <si>
    <t>Construccion de paz, Derechos Humanos y Convivencia</t>
  </si>
  <si>
    <t>Atender a la totalidad de personas víctimas que cumplan con los requisitos de ley para acceder a la medida de ayuda humanitaria inmediata</t>
  </si>
  <si>
    <t>Atender a la totalidad de personas víctimas que cumplan con los requisitos de ley para acceder a la medida de ayuda humanitaria inmediata mediante albergue</t>
  </si>
  <si>
    <t>Salud Pública y Aseguramiento</t>
  </si>
  <si>
    <t>SALUD CON COBERTURA, ACCESIBILIDAD, CALIDAD E INCLUSIÓN</t>
  </si>
  <si>
    <t>SECRETARÍA DE INFRAESTRUCTURA
DEPARTAMENTO ADMINISTRATIVO DISTRITAL DE SALUD DADIS</t>
  </si>
  <si>
    <t>DERECHOS EN SALUD Y PROMOCIÓN SOCIAL</t>
  </si>
  <si>
    <t>Número de personas pertenecientes a los grupos poblaciones vulnerables participantes en estrategias de promoción de la participación social en salud</t>
  </si>
  <si>
    <t>FORTALECIMIENTO DEL CENTRO REGULADOR DE URGENCIAS, EMERGENCIAS Y DESASTRES EN EL DISTRITO DE CARTAGENA - CRUED</t>
  </si>
  <si>
    <t>Número de IPS asistidas con servicios del Plan de Emergencia Hospitalaria y desarrollo de capacidades en las competencias frente a las adaptaciones de posibles efectos de la variabilidad y el cambio climático</t>
  </si>
  <si>
    <t>Número de animales vacunados contra la rabia</t>
  </si>
  <si>
    <t>Número de entidades con acciones de salud pública elaboradas sobre prevención y control de la tuberculosis en los_x000D_
diferentes entornos</t>
  </si>
  <si>
    <t>Elaborar anualmente acciones de salud pública en setenta y cinco (75) entidades sobre prevención y control de la tuberculosis en los diferentes entornos</t>
  </si>
  <si>
    <t>FORTALECIMIENTO A LA PROTECCIÓN DIGNA DE LAS PERSONAS MAYORES EN EL DISTRITO DE CARTAGENA</t>
  </si>
  <si>
    <t>Ruta de atención a los adultos mayores maltratados o en estado de abandono actualizada y socializada</t>
  </si>
  <si>
    <t>Actualizar y socializar una (1) ruta de atención a los adultos mayores maltratados o en estado de abandono</t>
  </si>
  <si>
    <t>ASISTENCIA SOCIAL E INCLUYENTE A LAS PERSONAS CON DISCAPACIDAD Y/O SU FAMILIA O CUIDADORES PARA LA SEGURIDAD HUMANA Y BIENESTAR SOCIAL</t>
  </si>
  <si>
    <t>Implementar cuatro (4) espacios lúdicos inclusivos para niños, niñas y adolescentes con discapacidad en el Distrito</t>
  </si>
  <si>
    <t>UNIDOS PARA LA INCLUSIÓN PRODUCTIVA DE LAS PERSONAS CON DISCAPACIDAD</t>
  </si>
  <si>
    <t>CIUDADANOS HABITANTES DE CALLE CON PROTECCIÓN SOCIAL Y GARANTÍA DE DERECHOS</t>
  </si>
  <si>
    <t>SECRETARÍA DE PARTICIPACIÓN Y DESARROLLO SOCIAL
SECRETARÍA DEL INTERIOR Y CONVIVENCIA CIUDADANA</t>
  </si>
  <si>
    <t>Número de procesos de sensibilización a diferentes comunidades para propiciar la transformación de imaginarios sociales frente a personas con orientaciones sexuales e identidades de género diversas y sectores LGBTIQ+ implementados</t>
  </si>
  <si>
    <t>IDENTIFICACIÓN PARA LA SUPERACIÓN DE LA POBREZA EXTREMA</t>
  </si>
  <si>
    <t>SALUD PARA LA SUPERACIÓN DE LA POBREZA EXTREMA</t>
  </si>
  <si>
    <t>Formar a veinticinco mil familias (25.000) sobre el valor de la educación</t>
  </si>
  <si>
    <t>BANCARIZACIÓN PARA LA SUPERACIÓN DE LA POBREZA EXTREMA</t>
  </si>
  <si>
    <t>DINÁMICA FAMILIAR PARA LA SUPERACIÓN DE LA POBREZA EXTREMA</t>
  </si>
  <si>
    <t>SEGURIDAD ALIMENTARIA Y NUTRICIÓN PARA LA SUPERACIÓN DE LA POBREZA EXTREMA</t>
  </si>
  <si>
    <t>FORTALECIMIENTO INSTITUCIONAL PARA LA SUPERACIÓN DE LA POBREZA EXTREMA</t>
  </si>
  <si>
    <t>FORTALECIMIENTO INSTITUCIONAL DE RENTA CIUDADANA, RENTA JOVEN Y COLOMBIA MAYOR PARA LA SUPERACIÓN DE LA POBREZA EXTREMA</t>
  </si>
  <si>
    <t>Seguridad Ciudadana y Orden Público</t>
  </si>
  <si>
    <t>PLAN ESTRATÉGICO DE SEGURIDAD INTEGRAL TITAN 24</t>
  </si>
  <si>
    <t>DISTRISEGURIDAD
SECRETARÍA DEL INTERIOR
CONVIVENCIA CIUDADANA</t>
  </si>
  <si>
    <t>Equipos para la seguridad y la convivencia conformados</t>
  </si>
  <si>
    <t>Conformar un (1) Equipo Interdisciplinario para articulación y coordinación de estrategias de seguridad y un (1) Equipo Operativo de Gestores de Convivencia</t>
  </si>
  <si>
    <t>SECRETARÍA DEL INTERIOR Y CONVIVENCIA CIUDADANA
DISTRISEGURIDAD</t>
  </si>
  <si>
    <t>Organismos de Seguridad dotados y_x000D_
con servicios en el marco del PISCC 2024-2027</t>
  </si>
  <si>
    <t>DISTRISEGURIDAD_x000D_
SECRETARÍA DEL INTERIOR Y CONVIVENCIA CIUDADANA</t>
  </si>
  <si>
    <t>Política Pública de SEGURIDAD HUMANA Integral formulada</t>
  </si>
  <si>
    <t>Formular una (1) Política Pública de SEGURIDAD HUMANA Integral</t>
  </si>
  <si>
    <t>SECRETARÍA DEL INTERIOR Y CONVIVENCIA CIUDADANA
DISTRISEGURIDAD
ESTABLECIMIENTO PÚBLICO AMBIENTAL
OFICINA ASESORA PARA LA GESTIÓN DEL RIESGO DE DESASTRES
GERENCIA DE ESPACIO PÚBLICO Y MOVILIDAD</t>
  </si>
  <si>
    <t>Implementar cuatrocientos cuarenta  (440) sistemas de información para la seguridad (alarmas comunitarias, drones, totem)</t>
  </si>
  <si>
    <t>Adquirir ciento veinte  (120) equipos de comunicación para la seguridad (tipo radio, equipos celulares)</t>
  </si>
  <si>
    <t>Construir cuatro (4) infraestructuras para la promoción de la cultura de la legalidad y la convivencia CAIs, subestaciones, estaciones, centro de inteligencia)</t>
  </si>
  <si>
    <t>SEGURIDAD YA EN LAS PLAYAS DE CARTAGENA</t>
  </si>
  <si>
    <t>DISTRISEGURIDAD
SECRETARÍA DE TURISMO</t>
  </si>
  <si>
    <t>EDUCACIÓN, CULTURA Y SEGURIDAD VIAL PARA AVANZAR</t>
  </si>
  <si>
    <t>UNA VIDA LIBRE DE VIOLENCIA PARA LAS MUJERES</t>
  </si>
  <si>
    <t>DERECHO A LA PAZ Y CONVIVENCIA CON EQUIDAD DE GÉNERO</t>
  </si>
  <si>
    <t>AVANZANDO EN EL FORTALECIMIENTO DE CASAS DE JUSTICIA, COMISARÍAS DE FAMILIA E INSPECCIONES DE POLICÍA</t>
  </si>
  <si>
    <t>ATENCIÓN INTEGRAL A JÓVENES EN SITUACIÓN DE RIESGO SOCIAL</t>
  </si>
  <si>
    <t>VIDA DIGNA</t>
  </si>
  <si>
    <t>Educación</t>
  </si>
  <si>
    <t>SECRETARÍA DEEducación</t>
  </si>
  <si>
    <t>Institución Universitaria Mayor de Cartagena</t>
  </si>
  <si>
    <t>Artes, Cultura y Patrimonio</t>
  </si>
  <si>
    <t>MEMORIA Y PATRIMONIO AL SERVICIO DE LA CIUDADANÍA</t>
  </si>
  <si>
    <t>SECRETARÍA GENERAL
Corporación Museo Histórico de Cartagena</t>
  </si>
  <si>
    <t>AVANZANDO DESDE EL COMIENZO</t>
  </si>
  <si>
    <t>Número de Instituciones Educativas Oficiales con oferta deEducación inicial para la atención a la primera infancia implementada</t>
  </si>
  <si>
    <t>Implementar encuarenta (40) IEO con oferta deEducación inicial para la atención de la primera infancia</t>
  </si>
  <si>
    <t>YO CUENTO</t>
  </si>
  <si>
    <t>Número de Instituciones Educativas Oficiales vinculadas a estrategias para el fortalecimiento de la oferta deEducación inclusiva para preescolar, básica y media</t>
  </si>
  <si>
    <t>Vincular a setenta y dos (72) Instituciones Educativas Oficiales a estrategias para el fortalecimiento de la oferta deEducación inclusiva para preescolar, básica y media</t>
  </si>
  <si>
    <t>ESCUELA HOGAR</t>
  </si>
  <si>
    <t>Número de Instituciones Educativas Oficiales con proyectos pedagógicos transversales deEducación ambiental, emprendimiento y otros implementados</t>
  </si>
  <si>
    <t>Implementar proyectos pedagógicos transversales deEducación ambiental, emprendimiento y otros en cincuenta y nueve (59) Instituciones Educativas Oficiales</t>
  </si>
  <si>
    <t>CARTAGENA TERRITORIO PLURILINGÜE</t>
  </si>
  <si>
    <t>LEVANTEMOS LA VOZ</t>
  </si>
  <si>
    <t>FORMACIÓN Y CUALIFICACIÓN DE DOCENTES Y DIRECTIVOS DOCENTES</t>
  </si>
  <si>
    <t>FORTALECIMIENTO DE LA GESTIÓN ESCOLAR EN LAS INSTITUCIONES EDUCATIVAS OFICIALES</t>
  </si>
  <si>
    <t>Referentes técnicos deEducación inicial y preescolar incorporados en PEI de instituciones educativas que ofertan los grados prejardín, jardín y transición</t>
  </si>
  <si>
    <t>Incorporar los referentes técnicos deEducación inicial y preescolar en los PEI de cuarenta (40) instituciones educativas que ofertan los grados prejardín, jardín y transición</t>
  </si>
  <si>
    <t>Número de estudiantes egresados de Instituciones Educativas Oficiales y con matrícula contratada becados enEducación superior</t>
  </si>
  <si>
    <t>Becar enEducación superior a nueve mil (9.000) estudiantes egresados de Instituciones Educativas Oficiales y con matrícula contratada</t>
  </si>
  <si>
    <t>Número de estudiantes egresados de Instituciones Educativas Oficiales y con matrícula contratada becados con becas inclusivas enEducación superior (víctimas, NARP, con discapacidad, indígenas)</t>
  </si>
  <si>
    <t>Becar enEducación superior a quinientas cuarenta y cuatro (544) estudiantes egresados de Instituciones Educativas Oficiales y con matrícula contratada, con becas inclusivas</t>
  </si>
  <si>
    <t>Asistir con programas piloto de bilingüismo a cinco (5)_x000D_
Instituciones Educativas Oficiales con nodos de media técnica</t>
  </si>
  <si>
    <t>Formar a quinientos (500) estudiantes enEducación técnica para el trabajo y el desarrollo humano</t>
  </si>
  <si>
    <t>AVANZAMOS EN EL FORTALECIMIENTO INSTITUCIONAL DE LA SECRETARÍA DEEducación</t>
  </si>
  <si>
    <t>Armonizar las diecinueve (19) políticas del Modelo Integrado de Planeación y Gestión - MIPG en la Secretaría deEducación</t>
  </si>
  <si>
    <t>Reorganización administrativa y de procesos de la Secretaría deEducación diseñada, aprobada e implementada</t>
  </si>
  <si>
    <t>Diseñar, aprobar e implementar una (1) nueva estructura administrativa y de procesos de la Secretaría deEducación</t>
  </si>
  <si>
    <t>Acceso a Servicios Básicos</t>
  </si>
  <si>
    <t>SECRETARÍA GENERAL
SECRETARÍA DE INFRAESTRUCTURA</t>
  </si>
  <si>
    <t>Entregar servicios de apoyo financiero (subsidios) de los servicios públicos domiciliarios a doscientos cuarenta y seis mil ciento cincuenta y dos (246.152) usuarios de acueducto de estrato 1, 2 y 3, a ciento setenta y un mil trescientos siete (171.307) usuarios de alcantarillado de estrato 1, 2 y 3, y a doscientos ochenta y un mil ochocientos veintitres (281.823) usuarios de servicio de aseo de estratos 1, 2</t>
  </si>
  <si>
    <t>Vivienda Digna y Hábitat</t>
  </si>
  <si>
    <t>UNIDOS POR UNA VIVIENDA PARA TI</t>
  </si>
  <si>
    <t>MI TERRITORIO EN ORDEN</t>
  </si>
  <si>
    <t>ESCENARIOS CULTURALES VIVOS PARA TRANSFORMAR</t>
  </si>
  <si>
    <t>DEMOCRATIZACIÓN DE LA CULTURA: ESTÍMULOS PARA EL FOMENTO Y DESARROLLO ARTÍSTICO, CULTURAL Y CREATIVO</t>
  </si>
  <si>
    <t>FORMACIÓN ARTÍSTICA Y CULTURAL</t>
  </si>
  <si>
    <t>DERECHOS CULTURALES Y FORTALECIMIENTO INSTITUCIONAL PARA LA GOBERNANZA</t>
  </si>
  <si>
    <t>CARTAGENA BRILLA CON SU CULTURA Y PATRIMONIO MATERIAL E INMATERIAL</t>
  </si>
  <si>
    <t>Deporte y Recreación</t>
  </si>
  <si>
    <t>FORTALECIMIENTO Y MANTENIMIENTO DE LA RED DE INFRAESTRUCTURA DEPORTIVA DEL DISTRITO</t>
  </si>
  <si>
    <t>FOMENTO AL DEPORTE DE ALTO RENDIMIENTO</t>
  </si>
  <si>
    <t>FORTALECIMIENTO DEL CAPITAL HUMANO A TRAVÉS DE LAS CIENCIAS APLICADAS AL DEPORTE Y LA RECREACIÓN</t>
  </si>
  <si>
    <t>FORTALECIMIENTO DEL DEPORTE FORMATIVO, ESTUDIANTIL Y LAEducación FÍSICA EXTRAESCOLAR</t>
  </si>
  <si>
    <t>Número de núcleos deEducación física extraescolar creados</t>
  </si>
  <si>
    <t>Crear cuatro (4) núcleos deEducación física extraescolar </t>
  </si>
  <si>
    <t>SECRETARÍA DEEducación
IDER</t>
  </si>
  <si>
    <t>Número de participantes en los diferentes eventos y/o torneos de las instituciones educativas y las universidades</t>
  </si>
  <si>
    <t>Vincular a veintiocho mil (28.000) participantes en los eventos y/o torneos de las instituciones educativas y las universidades</t>
  </si>
  <si>
    <t>Número de instituciones_x000D_
educativas participantes en_x000D_
los Juegos Intercolegiado</t>
  </si>
  <si>
    <t>FORTALECIMIENTO DEL DEPORTE SOCIAL COMUNITARIO, AVANZAR EN NUESTRO TERRITORIO</t>
  </si>
  <si>
    <t>CARTAGENA CIUDAD DESTINO DE TURISMO DEPORTIVO</t>
  </si>
  <si>
    <t>Infancia, Adolescencia y Familia</t>
  </si>
  <si>
    <t>ENTORNOS SEGUROS PARA LA PRIMERA INFANCIA</t>
  </si>
  <si>
    <t>Vincular a treinta y tres mil ochocientos veintidós (33.822) de padres, madres, y cuidadores en acciones de formación para el fortalecimiento de vínculos, la crianza amorosa y la promoción de sus_x000D_
derechos</t>
  </si>
  <si>
    <t>Valor Ponderado</t>
  </si>
  <si>
    <t>56,7%</t>
  </si>
  <si>
    <t>LINEA ESTRATEGICA</t>
  </si>
  <si>
    <t>AVANCE LINEA ESTRATEGICA</t>
  </si>
  <si>
    <t>AVANCE COMPONENTE IMPULSOR DE AVANCE</t>
  </si>
  <si>
    <t>PROGRAMAS</t>
  </si>
  <si>
    <t>INDICADOR DE LA META PRODUCTO</t>
  </si>
  <si>
    <t>AVANCE PROGRAMAS</t>
  </si>
  <si>
    <t>REVISADO JUNIO 10</t>
  </si>
  <si>
    <t>PROGRAMA AJUSTADO EN JUNIO 2025</t>
  </si>
  <si>
    <t>SE INCLUYE EN EL CALCULO DEL CUATRIENIO DEL COMPONENTE IMPULSO, AL MOMENTO DE EMPEZAR A REPORTAR CON EL PROMEDIO DEL COMPONENTE IGUAL O MENOR AL DEL PROGRAMA</t>
  </si>
  <si>
    <t xml:space="preserve">REVISADO JUNIO 10 </t>
  </si>
  <si>
    <t xml:space="preserve">REVISADO 10  JUNIO </t>
  </si>
  <si>
    <t>REVISADO 10 JUNIO 2025</t>
  </si>
  <si>
    <t xml:space="preserve">REVISADO 10 DE JUNIO </t>
  </si>
  <si>
    <t>AVANCE ACUMULADO MARZO 2025</t>
  </si>
  <si>
    <t>A la espera del reporte de corpoturismo junio 10 de 2025</t>
  </si>
  <si>
    <t>A la espera del reporte de corpoturismo junio 10 de 2026</t>
  </si>
  <si>
    <t>REVISADO 10  JUNIO 0,1 REPORTADO POR DATT Y 0,15 POR GEPM</t>
  </si>
  <si>
    <t>VALORIZACIÓN REPORTA A 10 DE JUNIO AVANCE CERO</t>
  </si>
  <si>
    <t>REVISADO 10 DE JUNO 2025</t>
  </si>
  <si>
    <t>HASTA EL MOMENTO NO SE HA RECIBIDO DESPROGRAMACIÓN DE LA META. POR LO TANTO AL FINAL DE LA VIGENCIA SINO REPORTA, ES CERO.</t>
  </si>
  <si>
    <t>SE BAJA LA PROGRAMACIÓN A 0,5 DE 1 QUE TENIAN AL PRINCIPIO</t>
  </si>
  <si>
    <t>SE BAJA LA PROGRAMACIÓN A 1 DE 2 QUE TENIAN AL PRINCIPIO</t>
  </si>
  <si>
    <t>SUBE LA  PROGRAMCIÓN DE 0,1 A 0,5</t>
  </si>
  <si>
    <t>DESPROGRAMADA PARA  LA VIGENCIA 2025</t>
  </si>
  <si>
    <t>DESPROGRAMADA PARA EL 2025</t>
  </si>
  <si>
    <t>AVANCE SEGUNDO TRIMESTRE 2025</t>
  </si>
  <si>
    <t>AVANCE MARZO - JUNIO  DE 2025</t>
  </si>
  <si>
    <t>DEFICIT O SUPERAVIT ENTRE MARZO -   JUNIO 2025</t>
  </si>
  <si>
    <t xml:space="preserve">REVISADO 30  JUNIO </t>
  </si>
  <si>
    <t>REVISADO 30 JUNIO</t>
  </si>
  <si>
    <t>REVISADO 30 DE JUNIO</t>
  </si>
  <si>
    <t xml:space="preserve">REVISADO 30 DE JUNIO </t>
  </si>
  <si>
    <t>OBSERVACIONES  10 JUNIO 2025</t>
  </si>
  <si>
    <t>OBSERVACIONES 30 JUNIO  2025</t>
  </si>
  <si>
    <t>REVISAR EL CALCULO CON ENLACE, YA QUE ESTA ES META PRODUCTO DE MANTENIMIENTO Y LA COLOCA COMO EJECUTADA AL 100% AL CUATRIENIO.</t>
  </si>
  <si>
    <t>INCLUIR SOLO CUANDO SE ACORDE CON EL ENLACE EL REPORTE</t>
  </si>
  <si>
    <t>PARA JUNIO  2025 SOLO REPORTÓ GEPM, DATT NO ESTÁ REPORTA</t>
  </si>
  <si>
    <t>REVISAR TANTO EL PROGRAMADO COMO EL REPORTADO COMO EL ACUMULADO 2024</t>
  </si>
  <si>
    <t>REVISAR CON ENLACE, PROGRAMADO Y REPORTE</t>
  </si>
  <si>
    <t>REVISAR CON ENLACE, YA QUE EN EL REPORTE DE PLAN DE ACCIÓN TIENE OTRO NOMBRE ESTE PROGRAMA</t>
  </si>
  <si>
    <t>REVISAR CON  ENLACE EL PROGRAMADO Y REPORTE A JUNIO 2025</t>
  </si>
  <si>
    <t>REVISAR CON  ENLACE EL PROGRAMADO Y REPORTE A JUNIO 2026</t>
  </si>
  <si>
    <t>META CUMPLIDA 30 DE JUNIO DE 2025</t>
  </si>
  <si>
    <t>REVISADO 30 DE JUNIO 2025</t>
  </si>
  <si>
    <t>REVISAR AVANCE CUATRENIO 2025</t>
  </si>
  <si>
    <t>REVISAR CON ENLACE, YA QUE ESTA META SE LLOGRÓ POR CORPOTURISMO</t>
  </si>
  <si>
    <t>REVISAR CON EL ENLACE</t>
  </si>
  <si>
    <t>REVISAR CON ENLACE YA QUE ESTA META PRODUCTO SE CUMPLIÓ Y PROGRAMARON PARA ESTA VIGENCIA</t>
  </si>
  <si>
    <t>REVISAR ACUMULADO CUATRIENIO CON EL ENLACE</t>
  </si>
  <si>
    <t>REVISAR CON ENLACE, YA QUE EL PROGRAMADO ES DE 0,25 Y TIENE 2 PARA EL REPORTE DE JUNIO 30</t>
  </si>
  <si>
    <t>META CUMPLIDA JUNIO 2025</t>
  </si>
  <si>
    <t>REVISAR EL PORQUÉ  AHORA ESA META  APARECE PARA EL 2025 COMO DESPROGRAMADA, CUANDO ESTABA EN 0,3 PARA EL AÑO. ADEMAS DE REPORTAR EN 0,2 EN JUNIO 10 Y AHORA NO REPORTA A JUNIO 30</t>
  </si>
  <si>
    <t>REVISAR CON ENLACE, ESTA META ESTÁ REPORTADA DOS VECES EN EL REPORTE DE PLAN DE ACCIÓN</t>
  </si>
  <si>
    <t xml:space="preserve">REVISAR CON ENLACE, YA QUE SEC GENERAL NO PROGRAMA ESA META </t>
  </si>
  <si>
    <t>PARA JUNIO 30 DE 2025. HACIENDA NO REPORTA, PERO SEC DE PLANEACIÓN REPORTA PARA JUNIO 30 DE 2025 UNA CIFRA DE 0,03</t>
  </si>
  <si>
    <t>SEC DE PLANEACIÓN REPORTA PARA JUNIO 30 DE 2025 UNA CIFRA DE 0,03. PERO REVISAR REPORTE DE SEC DE HACIENDA, YA QUE REPORTA MAL EL INDICADOR</t>
  </si>
  <si>
    <t>AVANCE ACUMULADO JULIO 2025</t>
  </si>
  <si>
    <t>REVISAR CON ENLACE, YA QUE ESTA META SE PROGRAMÓ ENE L 2024 Y NO EJECUTÓ, POR LO TANTO LLEVA UN ACUMUALDO DE CERO.</t>
  </si>
  <si>
    <t>REVISAR CON ENLACE EL AVANCE DEL AÑO Y EL CUATRIENIO</t>
  </si>
  <si>
    <t xml:space="preserve">REVISAR CON ENLACE YA  QUE  ESTAS METAS  PRODUCTO NO SE HAN PROGRAMADO </t>
  </si>
  <si>
    <t>REVISAR CON LOS ENLACES, YA QUE NO SE PROGRAMARON EN LOS PLANES DE ACCIÓN</t>
  </si>
  <si>
    <t>REVISAR CON ENLACE, YA QUE NO PROGRAMAN NO REPORTAN EN EL PLAN DE ACCIÓN</t>
  </si>
  <si>
    <t>REVISAR EL ACUMULADO GENERAL CON EL ENLACE</t>
  </si>
  <si>
    <t>REVISAR META COMPLETAMENTE CON ENLACE</t>
  </si>
  <si>
    <t>REVISAR CON ENLACE, YA QUE ESA META SE CUMPLIÓ</t>
  </si>
  <si>
    <t>REVISAR EL REPORTE DE JUNIO CON ENLACE</t>
  </si>
  <si>
    <t>META LOGRADA</t>
  </si>
  <si>
    <t>META CUMPLIDA. REPORTADA COMO LOGRADA EN EL MES DE JUNIO.</t>
  </si>
  <si>
    <t>SE REPORTA LO LOGRADO EN EL 2024. EN 2025 AUN NO REPORTAN</t>
  </si>
  <si>
    <t xml:space="preserve">AVANCE  ANUAL ALCANZADO RESPECTO A LA VIGENCIA  2024 </t>
  </si>
  <si>
    <t>PLAN DE EMERGENCIA SOCIAL PES Pr</t>
  </si>
  <si>
    <t>Institución Universitaria Mayor de Cartagena. </t>
  </si>
  <si>
    <t>META N0 PROGRAMDA EN LAS DOS VIGENCIAS 2024 - 2025</t>
  </si>
  <si>
    <t>SOLO LA PROGRAMÓ GEMPM Y A LA FECHA DE CORTE JUNIO 2025, NO HAY REPORTE</t>
  </si>
  <si>
    <t>NO INLCUIR EL REPORTE LOGRADO A 2004 EN DICIEMBRE, EN ESPERA DE OFICIO PARA AJUSTAR Y PROCEDER A ELIMINAR EL AVANCE</t>
  </si>
  <si>
    <t>REVISAR EL PORQUÉ EN EL REPORTE LA COLOCA COMO CUMPLIDA, CUANDO EN EL PROGRAMADO DEL CUATRENIO SE INDICA QUE ES DE MANTENIMIENTO</t>
  </si>
  <si>
    <t>REVISAR EL PROGRAMADO DEL CUATRIENIO, YA QUE EN REPORTE COLOCAN 1 CUANDO SON 4</t>
  </si>
  <si>
    <t>REVISAR CON ENLACE, YA QUE EN AÑO 2024 NO SE PROGRAMÓ NI SE EJECUTÓ ESTA META, Y APARECE PROGRAMADA Y CON EJECUCIÓN DEL  0,7 PARA LA VIGENCIA ANTERIOR  EN EL REPORTE DE JUNIO DE 2025</t>
  </si>
  <si>
    <t>SE ESTARÍA REPORTANDO EN EL ULTIMO TRIMESTRE DE 20256</t>
  </si>
  <si>
    <t>REVISADO 30  JUNIO . PARA EL REPORTE DE SEPTIEMBRE SE AJUSTA EL PROGRAMADO A CERO PARA LA VIGENCIA</t>
  </si>
  <si>
    <t>REVISADO 30 DE JUNIO. PERO PARA AJUSTE FUTURO</t>
  </si>
  <si>
    <t>GERENCIA DE ESPACIO PÚBLICO Y MOVILIDAD - DATT- SECRETARÍA DE PLANEACIÓN - ESCUELA TALLER ETCAR - SECRETARÍA DE INFRAESTRUCTURA  - SECRETARÍA  GENERAL</t>
  </si>
  <si>
    <t>ESCUELA TALLER CARTAGENA DE INDIAS -  - GERENCIA DE ESPACIO PÚBLICO Y MOVILIDAD -  IDER
SECRETARÍA DE INFRAESTRUCTURA</t>
  </si>
  <si>
    <t>DEPARTAMENTO ADMINISTRATIVO DE TRANSITO Y TRANSPORTE DATT</t>
  </si>
  <si>
    <t>OBSERVACIONES SEPTIEMBRE 15 DE 2025</t>
  </si>
  <si>
    <t>AVANCE ACUMULADO SEPTIEMBRE 15 DE 2025</t>
  </si>
  <si>
    <t>LOGRO CORTE 15 DE SEPTIEMBRE DE  2025 RESPECTO AL CUATRIENIO</t>
  </si>
  <si>
    <t>REPROGRAMADA DE  3.241 A 420</t>
  </si>
  <si>
    <t>REPROGRAMADA DE  3.500 A 730</t>
  </si>
  <si>
    <t>REPROGRAMADA DE  1.675 A 1.000</t>
  </si>
  <si>
    <t>REPROGRAMADO DE 600 A 315</t>
  </si>
  <si>
    <t>REPROGRAMADO DE 150  A 86</t>
  </si>
  <si>
    <t>REPROGRAMADA DE 200 A 400</t>
  </si>
  <si>
    <t>REPROGRAMADA DE 399 A 729</t>
  </si>
  <si>
    <t>SE REPROGRAMA  DE 60 A 180</t>
  </si>
  <si>
    <t>SE REPROGRAMA  DE 67 A 41</t>
  </si>
  <si>
    <t xml:space="preserve">REPROGRMÓ DE 2 A 5 </t>
  </si>
  <si>
    <t>SE AJUSTA LA PROGRAMACIÓN DE LA META PRODUCTO PARA LA VIGENCIA 2025, YA QUE ESTANA EN CERO Y SE REPROGRAMÓ A 1. SE CONTABILIZA APENAS EMPIECEN A REPORTAR EN LA VIGENCIA.</t>
  </si>
  <si>
    <t>SE CAMBIA LA PROGRAMACIÓN  META PRODUCTO DE 20 A 50.</t>
  </si>
  <si>
    <t>GEPM DESPROGRAMA LO QUE PROGRAMÓ PARA LA VIGENCIA 2025. PERO EL AVANCE CUATRIENIO SE MANTENDRÁ EN CERO, YA QUE ES UNA META COMPARTIDA Y HAY CORRESPONSABILIDAD Y MAS QUE TODO, LA SECRETARÍA DE PARTICIPACIÓN LA PROGRAMÓ.</t>
  </si>
  <si>
    <t>GEPM DESPROGRAMA LO QUE PROGRAMÓ PARA LA VIGENCIA 2025.  PROGRAMÓ PARA LA VIGENCIA 2025. PERO EL AVANCE CUATRIENIO SE MANTENDRÁ EN CERO, YA QUE ES UNA META COMPARTIDA Y HAY CORRESPONSABILIDAD.</t>
  </si>
  <si>
    <t>REVISAR CON ENLACES, YA QUE LA GEPM PROGRAMÓ 200 PARA LA VIGENCIA 2025. PEDIR REUNIÓN PARA PROGRAMAR EN CONJUNTO CON LAS DEMAS DEPENDENCIAS ESTA META PRODUCTO</t>
  </si>
  <si>
    <t>REVISAR CON ENLACES, YA QUE LA GEMPPROGRAMÓ 200 PARA LA VIGENCIA 2025. PEDIR REUNIÓN PARA PROGRAMAR EN CONJUNTO CON LAS DEMAS DEPENDENCIAS ESTA META PRODUCTO</t>
  </si>
  <si>
    <t>SOLO LA  GEPM PROGRAMÓ  Y A LA FECHA DE CORTE JUNIO 2025, NO HAY REPORTE</t>
  </si>
  <si>
    <t>REVISAR CON ENLACE, YA QUE NO REPORTA  AVANCE A MARZO 2025</t>
  </si>
  <si>
    <t>REVISAR CON ENLACE, YA QUE NO REPORTA  AVANCE A JUNIO 2025</t>
  </si>
  <si>
    <t>GEPM DESPROGRAMÓ LA META  PARA LA VIGENCIA 2025</t>
  </si>
  <si>
    <t>GEPM  DESPROGRAMÓ PARA LA VIGENCIA 2025</t>
  </si>
  <si>
    <t>DESPROGRAMADO POR LA GEPM PARA LA VIGENCIA 2025</t>
  </si>
  <si>
    <t>EL DATT REPROGRAMÓ LA META DE 5 A CERO PARA LA VIGENCIA 2025</t>
  </si>
  <si>
    <t>EL DATT REPROGRAMÓ LA META DE 20.000 MILLONES A 15.000 MILLONES EN LA VIGENCIA 2025</t>
  </si>
  <si>
    <t>YA ESTA REPROGRAMADA, PERO PARA DEJAR FORMALIZADO EL CAMBIO</t>
  </si>
  <si>
    <t>SE REPROGRAMÓ DE 0 A 0,1 EN LA VIGENCIA 2025</t>
  </si>
  <si>
    <t>YA ESTABA REPROGRAMADO. PERO PARA EFECTOS FORMALES</t>
  </si>
  <si>
    <t>SE REPORGRAMÓ DE 0 A 0,2 PARA LA VIGENCIA 2025.</t>
  </si>
  <si>
    <t>SE REPROGRAMÓ DE 0 A 0,8 PARA LA VIGENCIA 2025</t>
  </si>
  <si>
    <t>SE REPROGRAMÓ DE 0,3 A 0,2 PARA LA VIGENCIA 2025</t>
  </si>
  <si>
    <t>YA ESTABA REPROGRAMADA, PERO PARA FORMALIZARLO</t>
  </si>
  <si>
    <t>YA ESTABA REPROGRAMADA, PERO PARA EFECTOS DE FORMALIZADA.</t>
  </si>
  <si>
    <t>SE REPROGRAMA DE 0 A 0,5 PARA LA VIGENCIA 2025.</t>
  </si>
  <si>
    <t>AVANCE ESPERADO ACUMULADO CUATRIENIO 2024 - 2025 (INICIAL). CORTE DICIEMBRE 2025</t>
  </si>
  <si>
    <t>DIFERENCIA</t>
  </si>
  <si>
    <t>AVANCE ESPERADO ACUMULADO CUATRIENIO 2024 - 2025 (LUEGO DE REPROGRAMACIÓN). CORTE DICIEMBRE 2025</t>
  </si>
  <si>
    <t>SE REPROGRAMÓ LA META PRODUCTO  DE CERO A SEIS PARA LA VIGENCIA 2025</t>
  </si>
  <si>
    <t>SE REPROGRAMÓ LA META PRODUCTO  DE 1,5 A 5 PARA LA VIGENCIA 2025</t>
  </si>
  <si>
    <t>SE REPROGRAMA DE 0,5 A 0,33 PARA LA VIGENCIA 2025.</t>
  </si>
  <si>
    <t>SE DESPROGRAMÓ PARA LA VIGENCIA 2025</t>
  </si>
  <si>
    <t>SE REPROGRAMÓ DE 0, 5 A 0,3 PARA LA VIGENCIA 2025</t>
  </si>
  <si>
    <t>SE REPROGRAMÓ DE 0  A 0,33  PARA LA VIGENCIA 2025</t>
  </si>
  <si>
    <t>SE REPROGRAMÓ A 427 PARA LA VIGENCIA 2025</t>
  </si>
  <si>
    <t>SE REPROGRAMÓ DE CERO A 0,3 PARA LA VIGENCIA 2025</t>
  </si>
  <si>
    <t>YA ESTABA PROGRAMADA A 2 PARA LA VIGENCIA. PERO FORMALISMO SE REITERA.</t>
  </si>
  <si>
    <t>SE REPROGRAMÓ DE 18 A 14 PARA LA VIGENCIA 2025.</t>
  </si>
  <si>
    <r>
      <rPr>
        <b/>
        <sz val="26"/>
        <color theme="1"/>
        <rFont val="Calibri"/>
        <family val="2"/>
        <scheme val="minor"/>
      </rPr>
      <t>FONDO DE VIVIENDA DE INTERÉS SOCIAL Y REFORMA URBANA DISTRITAL</t>
    </r>
    <r>
      <rPr>
        <b/>
        <sz val="28"/>
        <color theme="1"/>
        <rFont val="Calibri"/>
        <family val="2"/>
        <scheme val="minor"/>
      </rPr>
      <t>. CORVIVIENDA</t>
    </r>
  </si>
  <si>
    <t>AJUSTADAS  POR REDUCCIÓN</t>
  </si>
  <si>
    <t>AJUSTADAS POR AUMENTO</t>
  </si>
  <si>
    <t>OFICINA DE GESTIÓN DE ESPACIO PÚBLICO Y MOVILIDAD</t>
  </si>
  <si>
    <r>
      <t>SECRETARÍA DE PLANEACIÓN</t>
    </r>
    <r>
      <rPr>
        <i/>
        <sz val="7"/>
        <color theme="1"/>
        <rFont val="Calibri Light"/>
        <family val="2"/>
      </rPr>
      <t xml:space="preserve"> </t>
    </r>
  </si>
  <si>
    <t>DEPARTAMENTO ADMINISTRATIVO DE VALORIZACIÓN</t>
  </si>
  <si>
    <t>TOTAL</t>
  </si>
  <si>
    <t>NÚMERO DE METAS PRODUCTO A REPROGRAMAR PARA LA VIGENCIA 2025</t>
  </si>
  <si>
    <t>SE REPROGRAMÓ A 0 PARA ESTA VIGENCIA</t>
  </si>
  <si>
    <t>SE REPROGRAMÓ A  1 PARA ESTA VIGENCIA</t>
  </si>
  <si>
    <t>REVISADO 15 DE SEPTIEMBRE</t>
  </si>
  <si>
    <t>REVISADO 15 DE SEPTIEMBRE 2025</t>
  </si>
  <si>
    <t>REVISADO 15 DE SEPTIEMBRE DE 2025</t>
  </si>
  <si>
    <t>REVISAR EL REPORTE CON ENLACE</t>
  </si>
  <si>
    <t>VALORIZACIÓN REPORTA PARA SEPTIEMBRE 6826</t>
  </si>
  <si>
    <t>REVISAR CON ENLACE YA QUE EL ACUMUALDO 2024 ERA DE 2 Y AHORA REPORTAN 4</t>
  </si>
  <si>
    <t>NO REPORTARON ESTA META EN EL PLAN DE ACCIÓN A CORTE 15 DE SEPTIEMBRE 2025</t>
  </si>
  <si>
    <t>NUEVAMENTE SE COLOCA COMO AVANCE ACUMULADO 2024 9, CUANDO REPORTARON 34.</t>
  </si>
  <si>
    <t>REVISAR, YA QUE EN REPORTE DE JUNIO REPORTARON 98 Y AHORA EN EL REPORTE A SEP 58</t>
  </si>
  <si>
    <t>REPORTARON EN DICIEMBRE DE 2024 UN AVANCE DE 2.952 Y EN SEPTIEMBRE EN EL REPORTE  DE PLAN DE ACCIÓN 3.031</t>
  </si>
  <si>
    <t>EN EL REPORTE DE DICIEMBRE 2024 REPORTARON 8 Y AHORA APARECE 16. ADEMAS DE REPORTAR 43 CUANDO SE PROGRAMARON 4 PARA LA VIGENCIA</t>
  </si>
  <si>
    <t>META CUMPLIDA SEPTIEMBRE 2025</t>
  </si>
  <si>
    <t>REVISAR EL ACUMULADO CUATRIENIO</t>
  </si>
  <si>
    <t>REVISAR CON ENLACE EL INDICADOR DE REPORTE. AUNQUE ES META CUMPLIDA</t>
  </si>
  <si>
    <t>GEPM REPORTA CERO PARA SEPTIEMBRE 2025</t>
  </si>
  <si>
    <t>PARA SEPTIEMBRE 15 DE 2025. HACIENDA NO REPORTA, PERO SEC DE PLANEACIÓN REPORTA  UNA CIFRA DE 0,08</t>
  </si>
  <si>
    <t>0,43</t>
  </si>
  <si>
    <t>HACIENDA NO REPORTÓ NI PLAENACIÓN PARA SEPTIEMBRE 2025</t>
  </si>
  <si>
    <t>REVISAR CON ENLACE EL REPORTE</t>
  </si>
  <si>
    <t>REVISAR CON ENLACE,</t>
  </si>
  <si>
    <t>REVISAR CON ENLACE. YA QUE ESTA META ESTÁ CUMPLIDA</t>
  </si>
  <si>
    <t>REVISAR YA QUE ESTA EMTA SE CUMPLIÓ</t>
  </si>
  <si>
    <t>ACEPTABLE</t>
  </si>
  <si>
    <t xml:space="preserve">EN ESPERA </t>
  </si>
  <si>
    <t>META CUMPLIDA SEP 2025</t>
  </si>
  <si>
    <t>VALORIAZIÓN REPORA PARA SEPTIEMBRE 0,18. SEC INFRAESTRUCTURA REPORTÓ 0</t>
  </si>
  <si>
    <t>REVISAR A LA HORA DE INGRESAR REPORTE DE LA OGRD PARA CORTE DE JUNIO, YA QUE ESA DEPENDENCIA REPORTÓ 1, Y PROGRAMÓ 2. LA SECRETARÍA DE INFRAESTRUCTURA REPORTA CERO EN JUNIO, PERO EN MARZO HABÍA REPORTADO 3. ENTONCES, EN EL AÑO VAN 4 A JUNIO DE 2025.</t>
  </si>
  <si>
    <t>SECREARÍA DE INFRAESTRUCTURA EN SEPTIEMBRE REPORTA CERO. PERO LA OGRD REPORTA 1</t>
  </si>
  <si>
    <t>EPA - SECRETARÍA DE INFRAESTRUCTURA -  EDURBE</t>
  </si>
  <si>
    <t xml:space="preserve">PROGRAMAS </t>
  </si>
  <si>
    <t>AVANCE  NUMERICO META PRODUCTO  CORTE 15 DE NOVIEMBRE 2025</t>
  </si>
  <si>
    <t>OBSERVACIONES NOVIEMBRE 15 DE 2025</t>
  </si>
  <si>
    <t xml:space="preserve">AVANCE  CUARTO* TRIMESTRE 2025 RESPECTO AL PROGRAMADO PARA IGUAL VIGENCIA </t>
  </si>
  <si>
    <t>REVISADO 15 DE NOVIEMBRE</t>
  </si>
  <si>
    <t>META CUMPLIDA NOVIEMBRE 15 DE 2025</t>
  </si>
  <si>
    <t>REVISADO 15 DE NOVIEMBRE 2025</t>
  </si>
  <si>
    <t>REVISADO 15 DE NOVIEMBRE DE 2025</t>
  </si>
  <si>
    <t>REVISADO 15 DE NOVIEMBRE  2025</t>
  </si>
  <si>
    <t>META CUMPLIDA 15 DE NOVIEMBRE</t>
  </si>
  <si>
    <t>REVISADO 15 DE NOVIEMBRE2025</t>
  </si>
  <si>
    <t>REVISADO 15 DE NOVIEMBRE DE 2025 DATT. PERO REVISAR PROGRAMADO CON GEPM</t>
  </si>
  <si>
    <t>REVISADO 15 DE NOVIEMBRE  DE 2025</t>
  </si>
  <si>
    <t>AVANCE JUNIO  - 15 DE SEPTIEMBRE DE 2025</t>
  </si>
  <si>
    <t>DEFICIT O SUPERAVIT ENTRE     JUNIO - 15 DE SEPTIEMBRE  DE  2025</t>
  </si>
  <si>
    <t>REVISAR CUANDO REPORTEN LAS DOS DEPENDENCIAS RESPONSABLES</t>
  </si>
  <si>
    <t xml:space="preserve">GEPM REPROGRAMÓ DE 4 A 0,1 PARA VIGENCIA 2025. COMO EL DATT TAMBIEN PROGRAMÓ 10 PARA MISMA VIGENCIA, EL ESPERADO ES DE 10,1. </t>
  </si>
  <si>
    <t xml:space="preserve">GEPM REPROGRAMÓ DE 4 A 0,25 PARA VIGENCIA 2025. COMO EL DATT TAMBIEN PROGRAMÓ  5 PARA LA MISMA VIGENCIA, EL ESPERADO ES DE  5,25. PERO LA GEPM Y EL DATT REPORTA CERO PARA SEPTIEMBRE </t>
  </si>
  <si>
    <t>14,8% - 24,68%</t>
  </si>
  <si>
    <t>24,69% - 34,57%</t>
  </si>
  <si>
    <t>34,58% - 44,46%</t>
  </si>
  <si>
    <t>44,47% o más.</t>
  </si>
  <si>
    <t>META CUMPLIDA. 15 DE NOVIEMBRE DE 2025</t>
  </si>
  <si>
    <t>META CUMPLIDA. 15 DE NOVIEMBRE  2025</t>
  </si>
  <si>
    <t>REVISAR CUANDO REPORTE SEC DEL INFRAESTRUCTURA</t>
  </si>
  <si>
    <t>META CUMPLIDA 15 DE NOVIEMBRE DE 2025</t>
  </si>
  <si>
    <t>REVISAR CON ENLACE EL REPORTE DE SEPTIEMBRE Y EL  PROGRAMADO DEL AÑO 2025</t>
  </si>
  <si>
    <t>LA  OGRD REPORTA EN NOVIEMBRE CERO.</t>
  </si>
  <si>
    <t>META CUMPLIDA NOVIEMBRE 2025</t>
  </si>
  <si>
    <t>NO REPORTARON ESTA META EN EL PLAN DE ACCIÓN A CORTE 15 DE NOVIEMBRE 2025</t>
  </si>
  <si>
    <t>META CUMPLIDA Y SUPERADA. PARA REVISAR</t>
  </si>
  <si>
    <t>REVISADO 15 DE NOVIEMBRE. AJUSTADO CON CORRECIÓN DE SEPTIEMBRE</t>
  </si>
  <si>
    <t>15 de Noviembre 2025*</t>
  </si>
  <si>
    <t>0% - 21,87%</t>
  </si>
  <si>
    <t>21,88% - 43,75%</t>
  </si>
  <si>
    <t>43,76% - 65,62%</t>
  </si>
  <si>
    <t>65,63% - 78,75%</t>
  </si>
  <si>
    <t>78,76% - 87,5%</t>
  </si>
  <si>
    <t>NO PROGRAMADO 2025</t>
  </si>
  <si>
    <t>REVISAR REPORTE CON ENLACE</t>
  </si>
  <si>
    <t>REVISAR EL ACUMULADO DE 2024</t>
  </si>
  <si>
    <t>REVISAR, YA QUE  HAY INCONGRUENCIAS EN REPORTE. REVISADO OK</t>
  </si>
  <si>
    <t>REVISAR CON ENLACE. REVISADO OK</t>
  </si>
  <si>
    <t xml:space="preserve">AVANCE  NUMERICO META PRODUCTO  CORTE 31 DICIEMBRE </t>
  </si>
  <si>
    <t>OBSERVACIONES DICIEMBRE 2024</t>
  </si>
  <si>
    <t>LOGRO (%) RESPECTO AL PROGRAMADO PARA LA VIGENCIA 2025. CORTE DICIEMBRE 31</t>
  </si>
  <si>
    <t>LOGRO  (%) META PRODUCTO RESPECTO AL PROGRAMADO CUATRIENIO 31 DICIEMBRE  2025</t>
  </si>
  <si>
    <t>LOGRO  (%) META PRODUCTO RESPECTO AL PROGRAMADO CUATRIENIO DICIEMBRE 31 DE 2025 (PONDERADOR)</t>
  </si>
  <si>
    <t xml:space="preserve">AVANCE  TRIMESTRE ENERO -DICIEMBRE  DE 2025  </t>
  </si>
  <si>
    <t>AVANCE ACUMULADO  CORTE  DICIEMBRE 31 DE 2025 RESPECTO AL CUATRIENIO</t>
  </si>
  <si>
    <t>LOGRO (%) RESPECTO AL PROGRAMADO PARA LA VIGENCIA 2025 CORTE  DICIEMBRE</t>
  </si>
  <si>
    <t>LOGRO  (%) META PRODUCTO RESPECTO AL PROGRAMADO CUATRIENIO PARCIAL DICIEMBRE 31 DE 2025 (PONDERADOR)</t>
  </si>
  <si>
    <t>CRITERIO DE SEGUMIENTO CORTE  31 DICIEMBRE  DE 2025*</t>
  </si>
  <si>
    <t>AVANCE PLAN DE DESARROLLO 2024 - 2027. CORTE  31 DICIEMBRE 2025</t>
  </si>
  <si>
    <t>NIVEL DE EFICACIA A CORTE 31 DICIEMBRE*</t>
  </si>
  <si>
    <t>AVANCE ACUMULADO 31 DICIEMBRE DE 2025</t>
  </si>
  <si>
    <t>DEFICIT O SUPERAVIT ENTRE      15 DE SEPTIEMBRE   - 31 DICIEMBRE DE 2025</t>
  </si>
  <si>
    <t>REVISADO 31 DE DICIEMBRE</t>
  </si>
  <si>
    <t>REVISAR CON ENLACE EL CUMPLIEMIENTO REPORTADO</t>
  </si>
  <si>
    <t>AVANCE PARCIAL NOVIEMBRE 2025*</t>
  </si>
  <si>
    <t>AVANCE JUNIO  15 DE SEPTIEMBRE -31 DE DICIEMBRE DE 2025</t>
  </si>
  <si>
    <t>META LOGRADA 31 DE DICIEMBRE 2024</t>
  </si>
  <si>
    <t>META CUMPLIDA 31 DE DICIEMBRE 2025</t>
  </si>
  <si>
    <t>REVISADO 31 DE DICIEMBRE 2025</t>
  </si>
  <si>
    <t>LA SPDS  REPORTA A DICIEMBRE 2025 LA CIFRA DE 151, PERO NO ESTABA PROGRAMADA Y EN EL PLAN DE ACCIÓN DE ESA DEPENDENCIA NO SE CONTABILIZA PARA LA VIGENCIA, PERO SI PARA EL CUATRIENIO.</t>
  </si>
  <si>
    <t>META CUMPLIDA DICIEMBRE 2025</t>
  </si>
  <si>
    <t>REVISADO 31 DE DICIEMBRE DE 2025</t>
  </si>
  <si>
    <t>REVISADO 31 DE DICIEMBRE  DE 2025</t>
  </si>
  <si>
    <t>NO REPORTARON ESTA META EN EL PLAN DE ACCIÓN A CORTE 31 DE DICIEMBRE 2025</t>
  </si>
  <si>
    <t>MUY ALTO</t>
  </si>
  <si>
    <t>REVISAR CON ENLACE EL REPORTE ACUMULADO DEL 2024 Y EL  PROGRAMADO DEL AÑO 2025</t>
  </si>
  <si>
    <t>REVISAR CON ENLACE YA QUE CON EL ACUMULADO 2024, ESTA META ESTÁ CUMPLIDA</t>
  </si>
  <si>
    <t>META CUMPLIDA A DICIEMBRE DE 2025</t>
  </si>
  <si>
    <t>SE INCLUYE MANUAL EL 100% DE LOGRADO PARA EL AÑO AUNQUE NO SE SE PROGRAMÓ PARA LA VIGENCIA. SE PROGRAMÓ 0,3 PARA EL AÑO*</t>
  </si>
  <si>
    <t>SE INCLUYE AVANCE DEL AÑO, SE LE COLOCA MANUAL EL AVANCE DEL  AÑO Y EL DEL CUATRIENIO PARA QUE COINCIDA CON EL DE LUZ MARLENE.</t>
  </si>
  <si>
    <t>EL ESPERADO PARA EL CUATRIENIO ES 1 NO 4, POR ESO DE AQUÍ EN ADELANTE, EL DENOMINDOR ES 1.</t>
  </si>
  <si>
    <t>REVISADO 31 DE DICIEMBRE  DE 2025. EL DENOMINADOR CAMBIA DE 16 A 4 DE AHORA EN ADELANTE, YA QUE EL ESPERADO DEL CUATRIENIO PASA DE 16 A 4.</t>
  </si>
  <si>
    <t>LA  OGRD REPORTA EN DICIEMBRE CERO.  SEC DE INFRAESTRUCTURA TAMBIEN REPORTA CERO</t>
  </si>
  <si>
    <t>REVISAR LA FORMA DE REPORTE CON EL ENLACE.</t>
  </si>
  <si>
    <t>REVISAR  EL REPORTE NO COINCIDE CON EL DE SEPTIEMBRE, JUNIO Y MARZO DE 2025</t>
  </si>
  <si>
    <t>REVISAR CON ENLACE EL REPORTE DE MARZO, QUE APARECE EN EL ULTIMO REPORTE COMO 0,1, Y EN EL DE SEPTIEMBRE CERO, PARA EL CORTE DE MARZO.</t>
  </si>
  <si>
    <t>REVISAR CON ENLACE EL ACUMULADO REPORTADO PARA DICIEMBRE DE 2024</t>
  </si>
  <si>
    <t>REVISAR REPORTE DE JUNIO Y SEPTIEMBRE</t>
  </si>
  <si>
    <t>REVISAR REPORTE DE SEPTIEMBRE</t>
  </si>
  <si>
    <t>REVISAR CON ENLACE, SE SUPONE QUE AL REPORTAR 1 EN  JUNIO, NO DEBIERON REPORTAR MAS. QUEDA ENTONCES META CUMPLIDA</t>
  </si>
  <si>
    <t>REVISAR EL PROGRAMADO PARA LA VIGENCIA 2025</t>
  </si>
  <si>
    <t xml:space="preserve">REVISAR EL PROGRAMADO PARA LA VIGENCIA 2025. </t>
  </si>
  <si>
    <t>REVISAR CON ENLACE, YA QUE REPORTARON UNA CIFRA DIFERENTE A  LA QUE YA SE REPORTÓ EN SEPTIEMBRE.</t>
  </si>
  <si>
    <t>REVISAR CON ENLACE  QUE AJUSTAN EL REPORTE DE MARZO, CUANDO YA HA PASADO 9 MESES.</t>
  </si>
  <si>
    <t>META  SIN PROGRAMACIÓN POR PARTE DE RESPONSABLES</t>
  </si>
  <si>
    <t>NO REPORTADO EN PLAN DE ACCIÓN  DE SEC DE INFRAESTRUCTURA</t>
  </si>
  <si>
    <t>REVISAR CON ENLACE, LA EVIDENCIA VISUAL NO COINCIDE CON LA REPORTADA</t>
  </si>
  <si>
    <t>ESTA META NO SE HABÍA PROGRAMADO PARA VIGENCIA, ASÍ QUE SOLO SE CALCULA EL AVANCE PARA EL ACUMULADO DEL CUATRIENIO</t>
  </si>
  <si>
    <t>SEC DE INFRAESTRUCTURA REPORTA 0,25  Y VALORIZACIÓN 0,125 PARA EL ULTIMO REPORTE A DICIEMBRE 2025.</t>
  </si>
  <si>
    <t>REVISADO CON ENLACE. SE CAMBIÓ EL ESPERADO A 200 PARA LA VIGENCIA 2025.</t>
  </si>
  <si>
    <t>SE INCLUYE UNA PROGRAMACION DE 1 PARA LA VIGENCIA 2025. POR ELLO, SE ALCANZA UN AVANCE PARA ESE AÑO.</t>
  </si>
  <si>
    <t>ESPERADO PORCENTUAL META PRODUCTO CUATRIENIO EN LA VIGENCIA 2026</t>
  </si>
  <si>
    <t>PROGRAMADO NUMERICO META PRODUCTO 2026</t>
  </si>
  <si>
    <t>AVANCE  NUMERICO META PRODUCTO  CORTE 31 DE MARZO 2026</t>
  </si>
  <si>
    <t>ACUMULADO  2024 - 2025 - PARCIAL 2026</t>
  </si>
  <si>
    <t>AVANCE  NUMERICO META PRODUCTO  CORTE 30 DE JUNIO 2026</t>
  </si>
  <si>
    <t>AVANCE  NUMERICO META PRODUCTO  CORTE 3O DE SEPTIEMBRE 2026</t>
  </si>
  <si>
    <t>AVANCE  NUMERICO META PRODUCTO  CORTE 31 DE DICIEMBRE 2026</t>
  </si>
  <si>
    <t>ACUMUALDO PARCIAL 2026</t>
  </si>
  <si>
    <t>LOGRO  (%) META PRODUCTO RESPECTO AL PROGRAMADO 2025 CORTE  DICIEMBRE</t>
  </si>
  <si>
    <t>LOGRO  (%) META PRODUCTO RESPECTO AL PROGRAMADO  DICIEMBRE 2025 (PONDERADOR)</t>
  </si>
  <si>
    <t>LOGRO  (%) META PRODUCTO RESPECTO AL PROGRAMADO CUATRIENIO  ACUMULADO DICIEMBRE  2025</t>
  </si>
  <si>
    <t>LOGRO  (%) META PRODUCTO RESPECTO AL PROGRAMADO CUATRIENIO  DICIEMBRE 2024 (PONDERADOR)</t>
  </si>
  <si>
    <t>LOGRO  (%) META PRODUCTO RESPECTO AL PROGRAMADO CUATRIENIO  DE DICIEMBRE 2025 (PONDERADOR)</t>
  </si>
  <si>
    <t>LOGRO  (%) META PRODUCTO RESPECTO AL PROGRAMADO CUATRIENIO  ACUMULADO MARZO  2026</t>
  </si>
  <si>
    <t>OBSERVACIONES MARZO 2026</t>
  </si>
  <si>
    <t>LOGRO  (%) META PRODUCTO RESPECTO AL PROGRAMADO CUATRIENIO  MARZO 2026 (PONDERADOR)</t>
  </si>
  <si>
    <t>ESPERADO ACUMULADO CUATRIENIO A DICIEMBRE 2026</t>
  </si>
  <si>
    <t>ESPERADO ACUMUALDO CUATRIENIO EN LA VIGENCIA 2025</t>
  </si>
  <si>
    <t>ESPERADO ACUMUALDO CUATRIENIO EN LA VIGENCIA 2024</t>
  </si>
  <si>
    <t>LOGRO  (%) META PRODUCTO RESPECTO AL PROGRAMADO CUATRIENIO 31 DICIEMBRE  2026</t>
  </si>
  <si>
    <t>LOGRO  (%) META PRODUCTO RESPECTO AL PROGRAMADO 2026 CORTE MARZO</t>
  </si>
  <si>
    <t>LOGRO  (%) META PRODUCTO RESPECTO AL PROGRAMADO MARZO 2026 (PONDERADOR)</t>
  </si>
  <si>
    <t>AVANCE  NUMERICO META PRODUCTO  CORTE 31 DICIEMBRE 2025</t>
  </si>
  <si>
    <t>ESPERADO PORCENTUAL META PRODUCTO CUATRIENIO EN LA VIGENCIA 2026 (PONDERADOR)</t>
  </si>
  <si>
    <t>LOGRO  (%) META PRODUCTO RESPECTO AL PROGRAMADO CUATRIENIO PARCIAL  DICIEMBRE (PONDERADOR)</t>
  </si>
  <si>
    <t>LOGRO (%) RESPECTO AL PROGRAMADO PARA LA VIGENCIA 2026. CORTE MARZO</t>
  </si>
  <si>
    <t>GEMP PROGRAMÓ 9,75 PARA LA VIGENCIA Y REPORTA CERO PARA EL PRIMER CORTE DE MARZO Y DATT PROGRAMÓ 10 E IGUAL REPORTA CERO PARA MARZO</t>
  </si>
  <si>
    <t>GEMP PROGRAMÓ 9,75 PARA LA VIGENCIA Y REPORTA CERO PARA EL PRIMER CORTE DE MARZO Y DATT PROGRAMÓ  8,25 E IGUAL REPORTA CERO PARA MARZO</t>
  </si>
  <si>
    <t>SPDS PROGRAMÓ 200 PARA LA VIGENCIA Y REPORTA CERO PARA MARZO - GEPM PROGRAMÓ 300 PARA LA VIGENCIA Y REPORTA 0 EN EL PRIMER TRIMESTRE</t>
  </si>
  <si>
    <t>Dotar veinte (20) organizaciones de pescadores (pertenecientes a grupos étnicos)</t>
  </si>
  <si>
    <t>REVISADO MARZO 2026. SE LE INCLUYE UN AVANCE DE 0,1 DEL AÑO 2025, QUE DEJÓ DE REPORTARSE</t>
  </si>
  <si>
    <t>REVISADO MARZO 2026. SE LE INCLUYE UN AVANCE DE 0,03 DEL AÑO 2025, QUE DEJÓ DE REPORTARSE</t>
  </si>
  <si>
    <t>META CUMPLIDA MARZO 2026</t>
  </si>
  <si>
    <t>REVISAR CON ENLACE, YA QUE EL PROGRAAMDO INICIAL Y APROBADO ERA 3 Y EN EL REPORTE APARECE 2.</t>
  </si>
  <si>
    <t>REVISADO CON ENLACE, YA QUE LA META CUATRIENIO ES 40 NO 10.</t>
  </si>
  <si>
    <t>REVISAR CON ENLACE DE SECRETARÍA DEL INTERIOR.</t>
  </si>
  <si>
    <t>0,33</t>
  </si>
  <si>
    <t>ESPERADO ACUMUALDO CUATRIENIO EN LA VIGENCIA 2026</t>
  </si>
  <si>
    <t>PROGRAMADO VIGENCIA  2026</t>
  </si>
  <si>
    <t>AVANCE ESPERADO ACUMULADO CUATRIENIO 2024 - 2025 - 2026</t>
  </si>
  <si>
    <t>LOGRO (%) RESPECTO AL PROGRAMADO PARA LA VIGENCIA 2025 CORTE  MARZO</t>
  </si>
  <si>
    <t xml:space="preserve">AVANCE  PRIMER* TRIMESTRE 2026 RESPECTO AL PROGRAMADO PARA IGUAL VIGENCIA </t>
  </si>
  <si>
    <t>AVANCE ACUMULADO  CORTE  MARZO 2026 RESPECTO AL CUATRIENIO</t>
  </si>
  <si>
    <t>AVANCE PRIMER TRIMESTRE 2026</t>
  </si>
  <si>
    <t>ACUMULADO DICIEMBRE 2025</t>
  </si>
  <si>
    <t>ESPERADO A DICIEMBRE 2026</t>
  </si>
  <si>
    <t>24% - 40,0%</t>
  </si>
  <si>
    <t>40,1% - 55,35%</t>
  </si>
  <si>
    <t>55,36% - 72,12%</t>
  </si>
  <si>
    <t>MEDIO</t>
  </si>
  <si>
    <t>72,13% o más.</t>
  </si>
  <si>
    <t>ESPERADO ACUMULADO A  DICIEMBRE 2026</t>
  </si>
  <si>
    <t>AVANCE PLAN DE DESARROLLO 2024 - 2027. CORTE  MARZO 2026</t>
  </si>
  <si>
    <t>ACUMULADO MARZO 2026</t>
  </si>
  <si>
    <t>PLAN DE DESARROLLO VIGENCIA 2026</t>
  </si>
  <si>
    <t>PLAN DE DESARROLLO VIGENCIA 2025</t>
  </si>
  <si>
    <t>LOGRO (%) RESPECTO AL PROGRAMADO PARA LA VIGENCIA 2026</t>
  </si>
  <si>
    <t>PLAN DE ACCIÓN METAS PRODUCTO VIGENCIA 2026</t>
  </si>
  <si>
    <t>CRITERIO DE SEGUIMIENTO CORTE  MARZO VIGENCIA 2026</t>
  </si>
  <si>
    <t>NIVEL DE EFICACIA A CORTE MARZO 2026*</t>
  </si>
  <si>
    <t>ESPERADO  AL CUATRIENIO CORTE DICIEMBRE 2026</t>
  </si>
  <si>
    <t>LOGRO  (%) META PRODUCTO RESPECTO AL PROGRAMADO CUATRIENIO MARZO 2026 (PONDERADOR)</t>
  </si>
  <si>
    <t>AVANCE ACUMULADO  CORTE  MARZO 2026 RESPECTO AL CUATRIENIO (PONDERADOR)</t>
  </si>
  <si>
    <t xml:space="preserve">AVANCE RESPECTO AL CUATRIENIO DE LOS COMPONENTES IMPULSORES LINEA ESTRATEGICA SEGURIDAD HUMANA COMPARATIVO DICIEMBRE 2025 -  30 DE MARZO DE 2026
</t>
  </si>
  <si>
    <t>LOGRO VIGENCIA  CORTE DICIEMBRE 31 DE 2025 RESPECTO AL CUATRIENIO</t>
  </si>
  <si>
    <t>AVANCE RESPECTO AL CUATRIENIO DE LOS COMPONENTES IMPULSORES LINEA ESTRATEGICA SEGURIDAD HUMANA  30 DE MARZO DE 2026. PONDERADO.</t>
  </si>
  <si>
    <t>LOGRO CORTE  30 DE MARZO DE 2026 RESPECTO AL CUATRIENIO</t>
  </si>
  <si>
    <t>AVANCE PONDERADO CORTE   30 DE MARZO DE 2026</t>
  </si>
  <si>
    <t>AVANCE CUATRIENIO COMPONENTE IMPULSOR SEGURIDAD CIUDADANA Y ORDEN PÚBLICO  CORTE  30 DE MARZO DE 2026</t>
  </si>
  <si>
    <t>AVANCE CUATRIENIO COMPONENTE IMPULSOR CONSTRUCCIÓN DE PAZ, DERECHOS HUMANOS Y CONVIVENCIA. CORTE  30 DE MARZO DE 2026</t>
  </si>
  <si>
    <t>AVANCE CUATRIENIO COMPONENTE IMPULSOR SALUD PÚBLICA Y ASEGURAMIENTO. CORTE  30 DE MARZO DE 2026</t>
  </si>
  <si>
    <t>AVANCE CUATRIENIO COMPONENTE IMPULSOR ATENCIÓN INTEGRAL A GRUPOS DE ESPECIAL PROTECCIÓN.   CORTE  30 DE MARZO DE 2026</t>
  </si>
  <si>
    <t>AVANCE CUATRIENIO COMPONENTE IMPULSOR  SUPERACIÓN DE LA POBREZA EXTREMA Y SOBERANIA ALIMENTARIA.  CORTE  30 DE MARZO DE 2026</t>
  </si>
  <si>
    <t>AVANCE  PARCIAL VIGENCIA  CORTE  30 DE MARZO DE 2026</t>
  </si>
  <si>
    <t>AVANCE CUATRIENIO  CORTE  30 DE MARZO DE 2026. PROGRAMAS.</t>
  </si>
  <si>
    <t>ESPERADO VIGENCIA  2026  RESPECTO AL CUATRIENIO</t>
  </si>
  <si>
    <t xml:space="preserve">AVANCE RESPECTO AL CUATRIENIO DE LOS COMPONENTES IMPULSORES LINEA ESTRATEGICA VIDA DIGNA  COMPARATIVO DICIEMBRE 2025 - 3O DE MARZO DE 2026
</t>
  </si>
  <si>
    <t>LOGRO  CORTE  30 DE MARZO DE 2026 RESPECTO AL CUATRIENIO</t>
  </si>
  <si>
    <t>LOGRO   CORTE DICIEMBRE 31 DE 2025 RESPECTO AL CUATRIENIO</t>
  </si>
  <si>
    <t xml:space="preserve">AVANCE RESPECTO AL CUATRIENIO DE LOS COMPONENTES IMPULSORES LINEA ESTRATEGICA VIDA DIGNA  30 DE MARZO DE 2026. PONDERADO.
</t>
  </si>
  <si>
    <t>LOGRO CORTE 30 DE MARZO DE 2026 RESPECTO AL CUATRIENIO</t>
  </si>
  <si>
    <t>AVANCE PONDERADO CORTE  30 DE MARZO DE 2026</t>
  </si>
  <si>
    <t>AVANCE CUATRIENIO COMPONENTE IMPULSOR EDUCACIÓN  CORTE 30 DE MARZO DE 2026</t>
  </si>
  <si>
    <t>AVANCE CUATRIENIO COMPONENTE IMPULSOR ACCESO A SERVICIOS BÁSICOS CORTE 30 DE MARZO DE 2026</t>
  </si>
  <si>
    <t>AVANCE CUATRIENIO COMPONENTE IMPULSOR VIVIENDA DIGNA Y HÁBITATCORTE 30 DE MARZO DE 2026</t>
  </si>
  <si>
    <t>AVANCE CUATRIENIO COMPONENTE IMPULSOR ARTES, CULTURA Y PATRIMONIO CORTE 30 DE MARZO DE 2026</t>
  </si>
  <si>
    <t>AVANCE CUATRIENIO COMPONENTE IMPULSOR DEPORTES Y RECREACIÓN  CORTE 30 DE MARZO DE 2026</t>
  </si>
  <si>
    <t>AVANCE CUATRIENIO COMPONENTE IMPULSOR INFANCIA, ADOLESCENCIA Y FAMILIA CORTE 30 DE MARZO DE 2026</t>
  </si>
  <si>
    <t>AVANCE  PARCIAL VIGENCIA  CORTE 30 DE MARZO DE 2026</t>
  </si>
  <si>
    <t>AVANCE CUATRIENIO  CORTE 30 DE MARZO DE 2026. PROGRAMAS.</t>
  </si>
  <si>
    <t>AVANCE RESPECTO AL CUATRIENIO DE LOS COMPONENTES IMPULSORES LINEA ESTRATEGICA DESARROLLO ECONOMICO. COMPARATIVO DICIEMBRE 2025 - 3O DE MARZO DE 2026</t>
  </si>
  <si>
    <t>AVANCE PONDERADO CORTE 30 DE MARZO DE 2026</t>
  </si>
  <si>
    <t>AVANCE CUATRIENIO IMPULSOR DE AVANCE: COMPETITIVIDAD E INNOVACIÓN. CORTE 30 DE MARZO DE 2026</t>
  </si>
  <si>
    <t>AVANCE CUATRIENIO IMPULSOR DE AVANCE: DIVERSIFICACIÓN ECONOMICA. CORTE 30 DE MARZO DE 2026</t>
  </si>
  <si>
    <t>AVANCE CUATRIENIO IMPULSOR DE AVANCE: TRABAJO DECENTE Y CIERRE DE BRECHAS. CORTE 30 DE MARZO DE 2026</t>
  </si>
  <si>
    <t>AVANCE CUATRIENIO IMPULSOR DE AVANCE: ECONOMÍA POPULAR Y EMPRENDIMIENTO. CORTE 30 DE MARZO DE 2026</t>
  </si>
  <si>
    <t>AVANCE CUATRIENIO IMPULSOR DE AVANCE: TURISMO SOSTENIBLE Y RESPONSABLE. CORTE 30 DE MARZO DE 2026</t>
  </si>
  <si>
    <t>AVANCE CUATRIENIO IMPULSOR DE AVANCE: DESARROLLO AGROPECUARIO. CORTE 30 DE MARZO DE 2026</t>
  </si>
  <si>
    <t>AVANCE CUATRIENIO IMPULSOR DE AVANCE: SISTEMA INTEGRAL DE ABASTECIMIENTO. CORTE 30 DE MARZO DE 2026</t>
  </si>
  <si>
    <t>AVANCE COMPONENTES IMPULSORES LINEA ESTRATEGICA DESARROLLO ECONOMICO   CORTE 30 DE MARZO DE 2026  RESPECTO AL CUATRIENIO. PONDERADO.</t>
  </si>
  <si>
    <t xml:space="preserve">AVANCE RESPECTO AL CUATRIENIO DE LOS COMPONENTES IMPULSORES LINEA ESTRATÉGICA CIUDAD CONECTADA. COMPARATIVO DICIEMBRE 2025 - 3O DE MARZO DE 2026
</t>
  </si>
  <si>
    <t>LOGRO CORTE 30 DE MARZO 2026 RESPECTO AL CUATRIENIO</t>
  </si>
  <si>
    <t>AVANCE PONDERADO CORTE 30 DE MARZO 2026</t>
  </si>
  <si>
    <t>AVANCE CUATRIENIO IMPULSOR DE AVANCE: ORDENAMIENTO DEL TERRITORIO. CORTE 30 DE MARZO 2026.</t>
  </si>
  <si>
    <t>AVANCE CUATRIENIO IMPULSOR DE AVANCE: CONTROL URBANISTICO. CORTE 30 DE MARZO 2026</t>
  </si>
  <si>
    <t>AVANCE CUATRIENIO IMPULSOR DE AVANCE: CARTAGENA AMIGABLE CON EL AMBIENTE. CORTE 30 DE MARZO 2026</t>
  </si>
  <si>
    <t>AVANCE CUATRIENIO IMPULSOR DE AVANCE: CARTAGENA ADAPTADA AL CLIMA Y RESILIENTE. CORTE 30 DE MARZO 2026</t>
  </si>
  <si>
    <t>AVANCE CUATRIENIO IMPULSOR DE AVANCE: CIUDAD HISTORICA Y PATRIMONIAL. CORTE 30 DE MARZO 2026</t>
  </si>
  <si>
    <t>AVANCE CUATRIENIO IMPULSOR DE AVANCE: INFRAESTRUCTURA, MOVILIDAD Y ACCESIBILIDAD.  CORTE 30 DE MARZO 2026</t>
  </si>
  <si>
    <t>AVANCE CUATRIENIO IMPULSOR DE AVANCE: CARTAGENA ORDENADA ALREDEDOR DEL AGUA. CORTE 30 DE MARZO 2026</t>
  </si>
  <si>
    <t>AVANCE  PARCIAL VIGENCIA  CORTE 30 DE MARZO 2026</t>
  </si>
  <si>
    <t>AVANCE CUATRIENIO  CORTE 30 DE MARZO 2026. PROGRAMAS.</t>
  </si>
  <si>
    <t>AVANCE RESPECTO AL CUATRIENIO DE LOS COMPONENTES IMPULSORES LINEA ESTRATEGICA CIUDAD CONECTADA  30 DE MARZO DE 2026. PONDERADO</t>
  </si>
  <si>
    <t xml:space="preserve">AVANCE RESPECTO AL CUATRIENIO DE LOS COMPONENTES IMPULSORES LINEA ESTRATÉGICA INNOVACIÓN Y PARTICIPACIÓN. COMPARATIVO DICIEMBRE 2025 - 3O DE MARZO DE 2026
</t>
  </si>
  <si>
    <t>AVANCE RESPECTO AL CUATRIENIO DE LOS COMPONENTES IMPULSORES LINEA ESTRATEGICA INNOVACIÓN Y PARTICIPACIÓN. 30 DE MARZO DE 2026.  PONDERADO</t>
  </si>
  <si>
    <t>AVANCE CUATRIENIO IMPULSOR DE AVANCE: TRANSPARENCIA Y GOBIERNO ABIERTO. CORTE 30 DE MARZO DE 2026</t>
  </si>
  <si>
    <t>AVANCE CUATRIENIO IMPULSOR DE AVANCE: FORTALECIMIENTO INSTITUCIONAL. CORTE 30 DE MARZO DE 2026</t>
  </si>
  <si>
    <t>AVANCE CUATRIENIO IMPULSOR DE AVANCE: FINANZAS PÚBLICAS. CORTE 30 DE MARZO DE 2026</t>
  </si>
  <si>
    <t>AVANCE CUATRIENIO IMPULSOR DE AVANCE: CULTURA CIUDADANA. CORTE 30 DE MARZO DE 2026</t>
  </si>
  <si>
    <t>AVANCE CUATRIENIO IMPULSOR DE AVANCE: PARTICIPACIÓN CIUDADANA Y ACCIÓN COMUNAL. CORTE 30 DE MARZO DE 2026</t>
  </si>
  <si>
    <t>AVANCE CUATRIENIO IMPULSOR DE AVANCE: SISTEMA DE PLANEACIÓN DISTRITAL. CORTE 30 DE MARZO DE 2026</t>
  </si>
  <si>
    <t xml:space="preserve">  AVANCE RESPECTO AL CUATRIENIO DE LOS COMPONENTES IMPULSORES CAPÍTULO DE LOS PUEBLOS Y COMUNIDADES ÉTNICAS. COMPARATIVO DICIEMBRE 2025 - 3O DE MARZO DE 2026
</t>
  </si>
  <si>
    <t>AVANCE CUATRIENIO IMPULSOR DE AVANCE: FORTALECIMIENTO AL DESARROLLO AFRO-TERRITORIAL DE LA POBLACIÓN NEGRA, AFROCOLOMBIANA, RAIZAL Y PALENQUERA. CORTE 30 DE MARZO DE 2026</t>
  </si>
  <si>
    <t>AVANCE CUATRIENIO IMPULSOR DE AVANCE: TERRITORIO SITIO DE PAZ Y PENSAMIENTO COLECTIVO. CORTE 30 DE MARZO DE 2026</t>
  </si>
  <si>
    <t>AVANCE RESPECTO AL CUATRIENIO DE LOS COMPONENTES IMPULSORES CAPITULO ETNICO  30 DE MARZO DE 2026. PONDERADO</t>
  </si>
  <si>
    <t>AVANCE ACUMULADO META PRODUCTO CORTE  30 DE MARZO DE 2026</t>
  </si>
  <si>
    <t>CORVIVIENDA - SECRETARÍA DE PLANEACIÓN</t>
  </si>
  <si>
    <t>INSTITUTO DISTRITAL DE RECREACIÓN Y DEPORTES IDER</t>
  </si>
  <si>
    <t>SECRETARÍA DE EDUCACIÓN - SECRETARÍA DE PARTICIPACIÓN Y DESARROLLO SOCIAL - SECRETARÍA DE HACIENDA</t>
  </si>
  <si>
    <t xml:space="preserve"> GEPM - SECRETARÍA DE PARTICIPACIÓN Y DESARROLLO SOCIAL - SECRETARÍA DE HACIENDA</t>
  </si>
  <si>
    <t>SECRETARÍA DE HACIENDA - SECRETARÍA DE PARTICIPACIÓN Y DESARROLLO SOCIAL - SECRETARÍA GENERAL - OFICINA DE INFORMATICA</t>
  </si>
  <si>
    <t>SECRETARÍA DE TURISMO - SECRETARÍA DE INFRAESTRUCTURA</t>
  </si>
  <si>
    <t>REVISAR CON ENLACE, YA QUE EN EL REPORTE DE PLAN DE ACCIÓN TIENE OTRO NOMBRE ESTE PROGRAMA. REVISAR CON ENLACE YA QUE EL REPORTE DE SEPTIEMBRE EN EL ULTIMO RPEORTE ESTÁ EN 0,1, Y EN EL DE CORTE SEPTIEMBRE ANTERIOR, ESTÁ 0,01</t>
  </si>
  <si>
    <t>ESPERADO PARCIAL POR TRIMESTRE 2026</t>
  </si>
  <si>
    <t>AVANCE ENERO - MARZO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</si>
</sst>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quot;\ * #,##0.00_-;\-&quot;$&quot;\ * #,##0.00_-;_-&quot;$&quot;\ * &quot;-&quot;??_-;_-@_-"/>
    <numFmt numFmtId="43" formatCode="_-* #,##0.00_-;\-* #,##0.00_-;_-* &quot;-&quot;??_-;_-@_-"/>
    <numFmt numFmtId="164" formatCode="0.000%"/>
    <numFmt numFmtId="165" formatCode="0.0%"/>
    <numFmt numFmtId="166" formatCode="d/m"/>
    <numFmt numFmtId="167" formatCode="0.000"/>
    <numFmt numFmtId="168" formatCode="0.0000"/>
    <numFmt numFmtId="169" formatCode="_-* #,##0_-;\-* #,##0_-;_-* &quot;-&quot;??_-;_-@_-"/>
    <numFmt numFmtId="170" formatCode="0.0"/>
    <numFmt numFmtId="171" formatCode="0.00\ %;\-0.00\ %;0.00\ %"/>
    <numFmt numFmtId="172" formatCode="0.0\ %;\-0.0\ %;0.0\ %"/>
    <numFmt numFmtId="173" formatCode="0.00000%"/>
    <numFmt numFmtId="174" formatCode="_-* #,##0.0_-;\-* #,##0.0_-;_-* &quot;-&quot;??_-;_-@_-"/>
    <numFmt numFmtId="175" formatCode="#,##0.000"/>
    <numFmt numFmtId="176" formatCode="0.000000"/>
  </numFmts>
  <fonts count="14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6"/>
      <color theme="1"/>
      <name val="Calibri"/>
      <family val="2"/>
    </font>
    <font>
      <b/>
      <sz val="41"/>
      <color rgb="FFFF0000"/>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4"/>
      <color theme="1"/>
      <name val="Calibri"/>
      <family val="2"/>
      <scheme val="minor"/>
    </font>
    <font>
      <b/>
      <sz val="36"/>
      <color theme="1"/>
      <name val="Calibri"/>
      <family val="2"/>
      <scheme val="minor"/>
    </font>
    <font>
      <b/>
      <sz val="28"/>
      <color theme="1"/>
      <name val="Calibri"/>
      <family val="2"/>
      <scheme val="minor"/>
    </font>
    <font>
      <b/>
      <sz val="22"/>
      <color theme="1"/>
      <name val="Calibri"/>
      <family val="2"/>
      <scheme val="minor"/>
    </font>
    <font>
      <b/>
      <sz val="8"/>
      <color theme="1"/>
      <name val="Times New Roman"/>
      <family val="1"/>
    </font>
    <font>
      <sz val="8"/>
      <color theme="1"/>
      <name val="Times New Roman"/>
      <family val="1"/>
    </font>
    <font>
      <b/>
      <sz val="10"/>
      <color theme="1"/>
      <name val="Times New Roman"/>
      <family val="1"/>
    </font>
    <font>
      <sz val="10"/>
      <color theme="1"/>
      <name val="Times New Roman"/>
      <family val="1"/>
    </font>
    <font>
      <sz val="48"/>
      <color theme="1"/>
      <name val="Calibri"/>
      <family val="2"/>
      <scheme val="minor"/>
    </font>
    <font>
      <b/>
      <sz val="14"/>
      <color theme="1"/>
      <name val="Calibri"/>
      <family val="2"/>
    </font>
    <font>
      <b/>
      <sz val="26"/>
      <name val="Calibri"/>
      <family val="2"/>
    </font>
    <font>
      <b/>
      <sz val="36"/>
      <name val="Calibri"/>
      <family val="2"/>
    </font>
    <font>
      <b/>
      <sz val="48"/>
      <name val="Calibri"/>
      <family val="2"/>
      <scheme val="minor"/>
    </font>
    <font>
      <b/>
      <sz val="14"/>
      <color theme="1"/>
      <name val="Calibri"/>
      <family val="2"/>
      <scheme val="minor"/>
    </font>
    <font>
      <b/>
      <sz val="85"/>
      <name val="Bodoni MT"/>
      <family val="1"/>
    </font>
    <font>
      <b/>
      <sz val="14"/>
      <color rgb="FFFF0000"/>
      <name val="Calibri"/>
      <family val="2"/>
    </font>
    <font>
      <b/>
      <i/>
      <sz val="45"/>
      <color theme="1"/>
      <name val="Calibri"/>
      <family val="2"/>
      <scheme val="minor"/>
    </font>
    <font>
      <sz val="26"/>
      <color theme="1"/>
      <name val="Calibri"/>
      <family val="2"/>
      <scheme val="minor"/>
    </font>
    <font>
      <b/>
      <sz val="9"/>
      <color theme="1"/>
      <name val="Calibri"/>
      <family val="2"/>
      <scheme val="minor"/>
    </font>
    <font>
      <b/>
      <sz val="12"/>
      <color theme="1"/>
      <name val="Calibri"/>
      <family val="2"/>
      <scheme val="minor"/>
    </font>
    <font>
      <sz val="28"/>
      <color theme="1"/>
      <name val="Calibri"/>
      <family val="2"/>
      <scheme val="minor"/>
    </font>
    <font>
      <b/>
      <sz val="16"/>
      <name val="Calibri"/>
      <family val="2"/>
    </font>
    <font>
      <b/>
      <sz val="11"/>
      <color rgb="FFFF0000"/>
      <name val="Calibri"/>
      <family val="2"/>
      <scheme val="minor"/>
    </font>
    <font>
      <sz val="16"/>
      <name val="Calibri"/>
      <family val="2"/>
    </font>
    <font>
      <sz val="16"/>
      <name val="Calibri"/>
      <family val="2"/>
      <scheme val="minor"/>
    </font>
    <font>
      <b/>
      <i/>
      <sz val="16"/>
      <name val="Calibri"/>
      <family val="2"/>
    </font>
    <font>
      <b/>
      <sz val="16"/>
      <name val="Calibri"/>
      <family val="2"/>
      <scheme val="minor"/>
    </font>
    <font>
      <sz val="36"/>
      <name val="Calibri"/>
      <family val="2"/>
    </font>
    <font>
      <sz val="36"/>
      <name val="Calibri"/>
      <family val="2"/>
      <scheme val="minor"/>
    </font>
    <font>
      <b/>
      <sz val="12"/>
      <color theme="1"/>
      <name val="Times New Roman"/>
      <family val="1"/>
    </font>
    <font>
      <b/>
      <sz val="12"/>
      <color rgb="FFFF0000"/>
      <name val="Times New Roman"/>
      <family val="1"/>
    </font>
    <font>
      <sz val="14"/>
      <name val="Arial"/>
      <family val="2"/>
    </font>
    <font>
      <sz val="14"/>
      <name val="Calibri"/>
      <family val="2"/>
    </font>
    <font>
      <b/>
      <sz val="14"/>
      <name val="Calibri"/>
      <family val="2"/>
    </font>
    <font>
      <sz val="14"/>
      <name val="Calibri"/>
      <family val="2"/>
      <scheme val="minor"/>
    </font>
    <font>
      <b/>
      <sz val="14"/>
      <name val="Calibri"/>
      <family val="2"/>
      <scheme val="minor"/>
    </font>
    <font>
      <b/>
      <i/>
      <sz val="14"/>
      <name val="Calibri"/>
      <family val="2"/>
    </font>
    <font>
      <sz val="38"/>
      <name val="Calibri"/>
      <family val="2"/>
    </font>
    <font>
      <b/>
      <sz val="38"/>
      <name val="Calibri"/>
      <family val="2"/>
    </font>
    <font>
      <b/>
      <sz val="38"/>
      <name val="Calibri"/>
      <family val="2"/>
      <scheme val="minor"/>
    </font>
    <font>
      <sz val="38"/>
      <name val="Calibri"/>
      <family val="2"/>
      <scheme val="minor"/>
    </font>
    <font>
      <b/>
      <sz val="34"/>
      <name val="Calibri"/>
      <family val="2"/>
    </font>
    <font>
      <sz val="34"/>
      <name val="Calibri"/>
      <family val="2"/>
    </font>
    <font>
      <sz val="15"/>
      <name val="Calibri"/>
      <family val="2"/>
    </font>
    <font>
      <b/>
      <sz val="15"/>
      <name val="Calibri"/>
      <family val="2"/>
    </font>
    <font>
      <sz val="15"/>
      <name val="Calibri"/>
      <family val="2"/>
      <scheme val="minor"/>
    </font>
    <font>
      <b/>
      <sz val="15"/>
      <name val="Calibri"/>
      <family val="2"/>
      <scheme val="minor"/>
    </font>
    <font>
      <b/>
      <i/>
      <sz val="15"/>
      <name val="Calibri"/>
      <family val="2"/>
    </font>
    <font>
      <sz val="15"/>
      <name val="Arial"/>
      <family val="2"/>
    </font>
    <font>
      <sz val="15"/>
      <name val="Calibri Light"/>
      <family val="2"/>
    </font>
    <font>
      <b/>
      <sz val="48"/>
      <name val="Calibri"/>
      <family val="2"/>
    </font>
    <font>
      <sz val="18"/>
      <name val="Calibri"/>
      <family val="2"/>
    </font>
    <font>
      <b/>
      <sz val="18"/>
      <name val="Calibri"/>
      <family val="2"/>
    </font>
    <font>
      <b/>
      <sz val="18"/>
      <name val="Calibri"/>
      <family val="2"/>
      <scheme val="minor"/>
    </font>
    <font>
      <sz val="18"/>
      <name val="Calibri"/>
      <family val="2"/>
      <scheme val="minor"/>
    </font>
    <font>
      <b/>
      <sz val="18"/>
      <color rgb="FFFF0000"/>
      <name val="Calibri"/>
      <family val="2"/>
    </font>
    <font>
      <b/>
      <i/>
      <sz val="18"/>
      <name val="Calibri"/>
      <family val="2"/>
    </font>
    <font>
      <b/>
      <sz val="26"/>
      <color theme="1"/>
      <name val="Calibri"/>
      <family val="2"/>
      <scheme val="minor"/>
    </font>
    <font>
      <b/>
      <sz val="26"/>
      <color rgb="FFFF0000"/>
      <name val="Calibri"/>
      <family val="2"/>
      <scheme val="minor"/>
    </font>
    <font>
      <b/>
      <sz val="40"/>
      <name val="Calibri"/>
      <family val="2"/>
    </font>
    <font>
      <b/>
      <sz val="72"/>
      <color rgb="FFFF0000"/>
      <name val="Bodoni MT"/>
      <family val="1"/>
    </font>
    <font>
      <b/>
      <sz val="11"/>
      <name val="Calibri"/>
      <family val="2"/>
      <scheme val="minor"/>
    </font>
    <font>
      <b/>
      <sz val="18"/>
      <color theme="1"/>
      <name val="Calibri"/>
      <family val="2"/>
    </font>
    <font>
      <sz val="21"/>
      <name val="Calibri"/>
      <family val="2"/>
    </font>
    <font>
      <b/>
      <sz val="21"/>
      <name val="Calibri"/>
      <family val="2"/>
    </font>
    <font>
      <b/>
      <sz val="21"/>
      <name val="Calibri"/>
      <family val="2"/>
      <scheme val="minor"/>
    </font>
    <font>
      <sz val="21"/>
      <name val="Calibri"/>
      <family val="2"/>
      <scheme val="minor"/>
    </font>
    <font>
      <b/>
      <sz val="20"/>
      <name val="Calibri"/>
      <family val="2"/>
    </font>
    <font>
      <sz val="20"/>
      <name val="Calibri"/>
      <family val="2"/>
    </font>
    <font>
      <sz val="11"/>
      <color indexed="8"/>
      <name val="Calibri"/>
      <family val="2"/>
    </font>
    <font>
      <sz val="11"/>
      <color theme="4" tint="-0.499984740745262"/>
      <name val="Calibri"/>
      <family val="2"/>
    </font>
    <font>
      <b/>
      <sz val="11"/>
      <color indexed="8"/>
      <name val="Calibri"/>
      <family val="2"/>
    </font>
    <font>
      <sz val="11"/>
      <name val="Calibri"/>
      <family val="2"/>
    </font>
    <font>
      <sz val="11"/>
      <color rgb="FF00B050"/>
      <name val="Calibri"/>
      <family val="2"/>
    </font>
    <font>
      <b/>
      <sz val="11"/>
      <color rgb="FFFF0000"/>
      <name val="Calibri"/>
      <family val="2"/>
    </font>
    <font>
      <b/>
      <sz val="11"/>
      <name val="Calibri"/>
      <family val="2"/>
    </font>
    <font>
      <sz val="11"/>
      <name val="Calibri"/>
      <family val="2"/>
      <scheme val="minor"/>
    </font>
    <font>
      <b/>
      <sz val="26"/>
      <name val="Calibri"/>
      <family val="2"/>
      <scheme val="minor"/>
    </font>
    <font>
      <sz val="11"/>
      <color theme="1"/>
      <name val="Calibri"/>
      <family val="2"/>
      <scheme val="minor"/>
    </font>
    <font>
      <sz val="15"/>
      <color theme="1"/>
      <name val="Calibri"/>
      <family val="2"/>
      <scheme val="minor"/>
    </font>
    <font>
      <sz val="20"/>
      <color theme="1"/>
      <name val="Calibri"/>
      <family val="2"/>
      <scheme val="minor"/>
    </font>
    <font>
      <b/>
      <sz val="17"/>
      <color theme="1"/>
      <name val="Calibri"/>
      <family val="2"/>
      <scheme val="minor"/>
    </font>
    <font>
      <b/>
      <sz val="16"/>
      <color rgb="FFFF0000"/>
      <name val="Calibri"/>
      <family val="2"/>
      <scheme val="minor"/>
    </font>
    <font>
      <b/>
      <sz val="25"/>
      <color theme="1"/>
      <name val="Calibri"/>
      <family val="2"/>
      <scheme val="minor"/>
    </font>
    <font>
      <i/>
      <sz val="7"/>
      <color theme="1"/>
      <name val="Calibri Light"/>
      <family val="2"/>
    </font>
    <font>
      <sz val="24"/>
      <color theme="1"/>
      <name val="Calibri"/>
      <family val="2"/>
      <scheme val="minor"/>
    </font>
    <font>
      <b/>
      <sz val="36"/>
      <name val="Calibri"/>
      <family val="2"/>
      <scheme val="minor"/>
    </font>
    <font>
      <b/>
      <sz val="24"/>
      <name val="Times New Roman"/>
      <family val="1"/>
    </font>
    <font>
      <b/>
      <sz val="34"/>
      <name val="Calibri"/>
      <family val="2"/>
      <scheme val="minor"/>
    </font>
    <font>
      <sz val="12"/>
      <color theme="1"/>
      <name val="Calibri"/>
      <family val="2"/>
      <scheme val="minor"/>
    </font>
    <font>
      <b/>
      <sz val="18"/>
      <color theme="1"/>
      <name val="Times New Roman"/>
      <family val="1"/>
    </font>
    <font>
      <sz val="18"/>
      <color theme="1"/>
      <name val="Times New Roman"/>
      <family val="1"/>
    </font>
    <font>
      <b/>
      <sz val="20"/>
      <color theme="1"/>
      <name val="Calibri"/>
      <family val="2"/>
      <scheme val="minor"/>
    </font>
    <font>
      <b/>
      <sz val="20"/>
      <color rgb="FFFF0000"/>
      <name val="Calibri"/>
      <family val="2"/>
    </font>
    <font>
      <b/>
      <sz val="75"/>
      <name val="Bodoni MT"/>
      <family val="1"/>
    </font>
    <font>
      <b/>
      <sz val="75"/>
      <color theme="1"/>
      <name val="Bodoni MT"/>
      <family val="1"/>
    </font>
    <font>
      <b/>
      <sz val="72"/>
      <name val="Bodoni MT"/>
      <family val="1"/>
    </font>
    <font>
      <sz val="35"/>
      <name val="Calibri"/>
      <family val="2"/>
    </font>
    <font>
      <b/>
      <sz val="35"/>
      <name val="Calibri"/>
      <family val="2"/>
    </font>
    <font>
      <b/>
      <sz val="35"/>
      <name val="Calibri"/>
      <family val="2"/>
      <scheme val="minor"/>
    </font>
    <font>
      <sz val="35"/>
      <name val="Calibri"/>
      <family val="2"/>
      <scheme val="minor"/>
    </font>
    <font>
      <b/>
      <sz val="14"/>
      <color theme="2"/>
      <name val="Calibri"/>
      <family val="2"/>
    </font>
    <font>
      <b/>
      <sz val="100"/>
      <color rgb="FFFF0000"/>
      <name val="Bodoni MT"/>
      <family val="1"/>
    </font>
    <font>
      <sz val="25"/>
      <name val="Calibri"/>
      <family val="2"/>
    </font>
    <font>
      <b/>
      <sz val="25"/>
      <name val="Calibri"/>
      <family val="2"/>
    </font>
    <font>
      <sz val="25"/>
      <name val="Calibri"/>
      <family val="2"/>
      <scheme val="minor"/>
    </font>
    <font>
      <b/>
      <sz val="28"/>
      <color rgb="FFFF0000"/>
      <name val="Calibri"/>
      <family val="2"/>
      <scheme val="minor"/>
    </font>
    <font>
      <b/>
      <sz val="20"/>
      <color rgb="FF0C343D"/>
      <name val="Calibri"/>
      <family val="2"/>
      <scheme val="minor"/>
    </font>
    <font>
      <b/>
      <sz val="28"/>
      <color theme="1"/>
      <name val="Calibri"/>
      <family val="2"/>
    </font>
    <font>
      <b/>
      <sz val="28"/>
      <name val="Calibri"/>
      <family val="2"/>
    </font>
    <font>
      <b/>
      <sz val="28"/>
      <color rgb="FFFF0000"/>
      <name val="Calibri"/>
      <family val="2"/>
    </font>
    <font>
      <sz val="28"/>
      <color theme="1"/>
      <name val="Calibri"/>
      <family val="2"/>
    </font>
    <font>
      <b/>
      <sz val="28"/>
      <color rgb="FF0000FF"/>
      <name val="Calibri"/>
      <family val="2"/>
    </font>
    <font>
      <b/>
      <sz val="28"/>
      <color rgb="FF0000FF"/>
      <name val="Calibri"/>
      <family val="2"/>
      <scheme val="minor"/>
    </font>
    <font>
      <b/>
      <sz val="40"/>
      <name val="Calibri"/>
      <family val="2"/>
      <scheme val="minor"/>
    </font>
    <font>
      <b/>
      <sz val="11"/>
      <color rgb="FF00B050"/>
      <name val="Calibri"/>
      <family val="2"/>
      <scheme val="minor"/>
    </font>
    <font>
      <b/>
      <sz val="85"/>
      <color rgb="FFFF0000"/>
      <name val="Bodoni MT"/>
      <family val="1"/>
    </font>
    <font>
      <b/>
      <sz val="13"/>
      <color theme="1"/>
      <name val="Calibri"/>
      <family val="2"/>
      <scheme val="minor"/>
    </font>
    <font>
      <sz val="18"/>
      <color theme="1"/>
      <name val="Calibri"/>
      <family val="2"/>
      <scheme val="minor"/>
    </font>
    <font>
      <sz val="16"/>
      <color theme="1"/>
      <name val="Calibri"/>
      <family val="2"/>
      <scheme val="minor"/>
    </font>
    <font>
      <b/>
      <sz val="19"/>
      <color theme="1"/>
      <name val="Calibri"/>
      <family val="2"/>
      <scheme val="minor"/>
    </font>
    <font>
      <b/>
      <sz val="15"/>
      <color theme="1"/>
      <name val="Calibri"/>
      <family val="2"/>
      <scheme val="minor"/>
    </font>
    <font>
      <b/>
      <sz val="20"/>
      <name val="Calibri"/>
      <family val="2"/>
      <scheme val="minor"/>
    </font>
    <font>
      <sz val="13"/>
      <color theme="1"/>
      <name val="Calibri"/>
      <family val="2"/>
      <scheme val="minor"/>
    </font>
    <font>
      <sz val="13"/>
      <name val="Calibri"/>
      <family val="2"/>
      <scheme val="minor"/>
    </font>
    <font>
      <b/>
      <sz val="50"/>
      <color rgb="FFFF0000"/>
      <name val="Calibri"/>
      <family val="2"/>
      <scheme val="minor"/>
    </font>
    <font>
      <b/>
      <sz val="50"/>
      <color rgb="FFFF0000"/>
      <name val="Calibri"/>
      <family val="2"/>
    </font>
  </fonts>
  <fills count="74">
    <fill>
      <patternFill patternType="none"/>
    </fill>
    <fill>
      <patternFill patternType="gray125"/>
    </fill>
    <fill>
      <patternFill patternType="solid">
        <fgColor rgb="FFEFEFEF"/>
        <bgColor rgb="FFEFEFEF"/>
      </patternFill>
    </fill>
    <fill>
      <patternFill patternType="solid">
        <fgColor rgb="FFBDD6EE"/>
        <bgColor rgb="FFBDD6EE"/>
      </patternFill>
    </fill>
    <fill>
      <patternFill patternType="solid">
        <fgColor rgb="FFFFFF00"/>
        <bgColor rgb="FFFFFF00"/>
      </patternFill>
    </fill>
    <fill>
      <patternFill patternType="solid">
        <fgColor rgb="FF00B050"/>
        <bgColor rgb="FF00B050"/>
      </patternFill>
    </fill>
    <fill>
      <patternFill patternType="solid">
        <fgColor rgb="FF9CC2E5"/>
        <bgColor rgb="FF9CC2E5"/>
      </patternFill>
    </fill>
    <fill>
      <patternFill patternType="solid">
        <fgColor rgb="FFC55A11"/>
        <bgColor rgb="FFC55A11"/>
      </patternFill>
    </fill>
    <fill>
      <patternFill patternType="solid">
        <fgColor rgb="FFF4B083"/>
        <bgColor rgb="FFF4B083"/>
      </patternFill>
    </fill>
    <fill>
      <patternFill patternType="solid">
        <fgColor rgb="FFCFE2F3"/>
        <bgColor rgb="FFCFE2F3"/>
      </patternFill>
    </fill>
    <fill>
      <patternFill patternType="solid">
        <fgColor rgb="FF2E75B5"/>
        <bgColor rgb="FF2E75B5"/>
      </patternFill>
    </fill>
    <fill>
      <patternFill patternType="solid">
        <fgColor rgb="FF6AA84F"/>
        <bgColor rgb="FF6AA84F"/>
      </patternFill>
    </fill>
    <fill>
      <patternFill patternType="solid">
        <fgColor rgb="FF0070C0"/>
        <bgColor rgb="FF0070C0"/>
      </patternFill>
    </fill>
    <fill>
      <patternFill patternType="solid">
        <fgColor rgb="FFFFFFFF"/>
        <bgColor rgb="FFFFFFFF"/>
      </patternFill>
    </fill>
    <fill>
      <patternFill patternType="solid">
        <fgColor rgb="FFC9DAF8"/>
        <bgColor rgb="FFC9DAF8"/>
      </patternFill>
    </fill>
    <fill>
      <patternFill patternType="solid">
        <fgColor rgb="FFDADADA"/>
        <bgColor rgb="FFDADADA"/>
      </patternFill>
    </fill>
    <fill>
      <patternFill patternType="solid">
        <fgColor rgb="FFD0CECE"/>
        <bgColor rgb="FFD0CECE"/>
      </patternFill>
    </fill>
    <fill>
      <patternFill patternType="solid">
        <fgColor rgb="FFFFFF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00B050"/>
        <bgColor indexed="64"/>
      </patternFill>
    </fill>
    <fill>
      <patternFill patternType="solid">
        <fgColor rgb="FFA9D08E"/>
        <bgColor indexed="64"/>
      </patternFill>
    </fill>
    <fill>
      <patternFill patternType="solid">
        <fgColor rgb="FFF8CBAD"/>
        <bgColor indexed="64"/>
      </patternFill>
    </fill>
    <fill>
      <patternFill patternType="solid">
        <fgColor rgb="FF92D050"/>
        <bgColor indexed="64"/>
      </patternFill>
    </fill>
    <fill>
      <patternFill patternType="solid">
        <fgColor rgb="FFF6C5AC"/>
        <bgColor indexed="64"/>
      </patternFill>
    </fill>
    <fill>
      <patternFill patternType="solid">
        <fgColor rgb="FFFFFF00"/>
        <bgColor rgb="FFFFFFFF"/>
      </patternFill>
    </fill>
    <fill>
      <patternFill patternType="solid">
        <fgColor rgb="FF00B050"/>
        <bgColor rgb="FFF4B083"/>
      </patternFill>
    </fill>
    <fill>
      <patternFill patternType="solid">
        <fgColor rgb="FFFFFF00"/>
        <bgColor rgb="FFF4B083"/>
      </patternFill>
    </fill>
    <fill>
      <patternFill patternType="solid">
        <fgColor theme="0"/>
        <bgColor rgb="FFF4B083"/>
      </patternFill>
    </fill>
    <fill>
      <patternFill patternType="solid">
        <fgColor theme="5" tint="0.39997558519241921"/>
        <bgColor rgb="FF00B050"/>
      </patternFill>
    </fill>
    <fill>
      <patternFill patternType="solid">
        <fgColor theme="5" tint="0.39997558519241921"/>
        <bgColor rgb="FFF4B083"/>
      </patternFill>
    </fill>
    <fill>
      <patternFill patternType="solid">
        <fgColor theme="4" tint="-0.249977111117893"/>
        <bgColor rgb="FF00B050"/>
      </patternFill>
    </fill>
    <fill>
      <patternFill patternType="solid">
        <fgColor theme="4" tint="-0.249977111117893"/>
        <bgColor rgb="FFF4B083"/>
      </patternFill>
    </fill>
    <fill>
      <patternFill patternType="solid">
        <fgColor theme="4" tint="-0.249977111117893"/>
        <bgColor rgb="FF2E75B5"/>
      </patternFill>
    </fill>
    <fill>
      <patternFill patternType="solid">
        <fgColor theme="0"/>
        <bgColor rgb="FF00B050"/>
      </patternFill>
    </fill>
    <fill>
      <patternFill patternType="solid">
        <fgColor theme="0"/>
        <bgColor rgb="FF2E75B5"/>
      </patternFill>
    </fill>
    <fill>
      <patternFill patternType="solid">
        <fgColor theme="5" tint="0.39997558519241921"/>
        <bgColor rgb="FF2E75B5"/>
      </patternFill>
    </fill>
    <fill>
      <patternFill patternType="solid">
        <fgColor theme="4" tint="-0.249977111117893"/>
        <bgColor indexed="64"/>
      </patternFill>
    </fill>
    <fill>
      <patternFill patternType="solid">
        <fgColor theme="0"/>
        <bgColor rgb="FFFFFFFF"/>
      </patternFill>
    </fill>
    <fill>
      <patternFill patternType="solid">
        <fgColor theme="2" tint="-4.9989318521683403E-2"/>
        <bgColor indexed="64"/>
      </patternFill>
    </fill>
    <fill>
      <patternFill patternType="solid">
        <fgColor rgb="FF0070C0"/>
        <bgColor indexed="64"/>
      </patternFill>
    </fill>
    <fill>
      <patternFill patternType="solid">
        <fgColor theme="2" tint="-0.14999847407452621"/>
        <bgColor indexed="64"/>
      </patternFill>
    </fill>
    <fill>
      <patternFill patternType="solid">
        <fgColor rgb="FFCC0066"/>
        <bgColor indexed="64"/>
      </patternFill>
    </fill>
    <fill>
      <patternFill patternType="solid">
        <fgColor rgb="FFFFFF00"/>
        <bgColor rgb="FF2F5496"/>
      </patternFill>
    </fill>
    <fill>
      <patternFill patternType="solid">
        <fgColor theme="2"/>
        <bgColor rgb="FFFFFFFF"/>
      </patternFill>
    </fill>
    <fill>
      <patternFill patternType="solid">
        <fgColor theme="2"/>
        <bgColor indexed="64"/>
      </patternFill>
    </fill>
    <fill>
      <patternFill patternType="solid">
        <fgColor rgb="FFCC0066"/>
        <bgColor rgb="FFF4B083"/>
      </patternFill>
    </fill>
    <fill>
      <patternFill patternType="solid">
        <fgColor theme="0" tint="-0.14999847407452621"/>
        <bgColor indexed="64"/>
      </patternFill>
    </fill>
    <fill>
      <patternFill patternType="solid">
        <fgColor theme="2" tint="-0.34998626667073579"/>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CC0066"/>
        <bgColor rgb="FF00B050"/>
      </patternFill>
    </fill>
    <fill>
      <patternFill patternType="solid">
        <fgColor theme="0" tint="-4.9989318521683403E-2"/>
        <bgColor rgb="FFFFFFFF"/>
      </patternFill>
    </fill>
    <fill>
      <patternFill patternType="solid">
        <fgColor theme="5" tint="0.79998168889431442"/>
        <bgColor indexed="64"/>
      </patternFill>
    </fill>
    <fill>
      <patternFill patternType="solid">
        <fgColor theme="7"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5" tint="0.79998168889431442"/>
        <bgColor rgb="FFFFFF00"/>
      </patternFill>
    </fill>
    <fill>
      <patternFill patternType="solid">
        <fgColor rgb="FFFFFF00"/>
        <bgColor rgb="FF00B050"/>
      </patternFill>
    </fill>
    <fill>
      <patternFill patternType="solid">
        <fgColor theme="5" tint="0.79998168889431442"/>
        <bgColor rgb="FF2F5496"/>
      </patternFill>
    </fill>
    <fill>
      <patternFill patternType="solid">
        <fgColor rgb="FF00B0F0"/>
        <bgColor rgb="FF00B050"/>
      </patternFill>
    </fill>
    <fill>
      <patternFill patternType="solid">
        <fgColor theme="2" tint="-0.249977111117893"/>
        <bgColor rgb="FFF4B083"/>
      </patternFill>
    </fill>
    <fill>
      <patternFill patternType="solid">
        <fgColor theme="2" tint="-0.249977111117893"/>
        <bgColor rgb="FF00B050"/>
      </patternFill>
    </fill>
    <fill>
      <patternFill patternType="solid">
        <fgColor theme="0" tint="-0.249977111117893"/>
        <bgColor rgb="FF00B050"/>
      </patternFill>
    </fill>
    <fill>
      <patternFill patternType="solid">
        <fgColor rgb="FF0070C0"/>
        <bgColor rgb="FF2F5496"/>
      </patternFill>
    </fill>
    <fill>
      <patternFill patternType="solid">
        <fgColor theme="4" tint="0.59999389629810485"/>
        <bgColor indexed="64"/>
      </patternFill>
    </fill>
    <fill>
      <patternFill patternType="solid">
        <fgColor theme="2" tint="-0.14999847407452621"/>
        <bgColor rgb="FFD0CECE"/>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79998168889431442"/>
        <bgColor indexed="64"/>
      </patternFill>
    </fill>
  </fills>
  <borders count="185">
    <border>
      <left/>
      <right/>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diagonal/>
    </border>
    <border>
      <left style="medium">
        <color rgb="FFCCCCCC"/>
      </left>
      <right style="medium">
        <color rgb="FF000000"/>
      </right>
      <top style="medium">
        <color rgb="FFCCCCCC"/>
      </top>
      <bottom style="medium">
        <color rgb="FFCCCCCC"/>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BF4F14"/>
      </right>
      <top style="medium">
        <color rgb="FFCCCCCC"/>
      </top>
      <bottom style="medium">
        <color rgb="FFCCCCCC"/>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rgb="FFCCCCCC"/>
      </left>
      <right/>
      <top style="medium">
        <color rgb="FFCCCCCC"/>
      </top>
      <bottom/>
      <diagonal/>
    </border>
    <border>
      <left/>
      <right/>
      <top/>
      <bottom style="medium">
        <color rgb="FF000000"/>
      </bottom>
      <diagonal/>
    </border>
    <border>
      <left style="medium">
        <color rgb="FFCCCCCC"/>
      </left>
      <right/>
      <top/>
      <bottom style="medium">
        <color rgb="FF000000"/>
      </bottom>
      <diagonal/>
    </border>
    <border>
      <left style="medium">
        <color rgb="FFCCCCCC"/>
      </left>
      <right style="medium">
        <color rgb="FFCCCCCC"/>
      </right>
      <top/>
      <bottom style="medium">
        <color rgb="FFCCCCCC"/>
      </bottom>
      <diagonal/>
    </border>
    <border>
      <left/>
      <right style="medium">
        <color rgb="FF000000"/>
      </right>
      <top style="medium">
        <color rgb="FF000000"/>
      </top>
      <bottom/>
      <diagonal/>
    </border>
    <border>
      <left style="medium">
        <color rgb="FFCCCCCC"/>
      </left>
      <right/>
      <top style="medium">
        <color rgb="FFCCCCCC"/>
      </top>
      <bottom style="medium">
        <color rgb="FFCCCCCC"/>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rgb="FF000000"/>
      </right>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medium">
        <color rgb="FFCCCCCC"/>
      </right>
      <top style="medium">
        <color rgb="FFCCCCCC"/>
      </top>
      <bottom/>
      <diagonal/>
    </border>
    <border>
      <left/>
      <right/>
      <top style="medium">
        <color rgb="FF000000"/>
      </top>
      <bottom/>
      <diagonal/>
    </border>
    <border>
      <left style="thin">
        <color indexed="64"/>
      </left>
      <right style="thin">
        <color indexed="64"/>
      </right>
      <top/>
      <bottom style="thin">
        <color indexed="64"/>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CCCCCC"/>
      </left>
      <right style="medium">
        <color indexed="64"/>
      </right>
      <top style="medium">
        <color rgb="FFCCCCCC"/>
      </top>
      <bottom style="medium">
        <color rgb="FF000000"/>
      </bottom>
      <diagonal/>
    </border>
    <border>
      <left style="medium">
        <color indexed="64"/>
      </left>
      <right style="medium">
        <color rgb="FF000000"/>
      </right>
      <top style="medium">
        <color rgb="FFCCCCCC"/>
      </top>
      <bottom style="medium">
        <color rgb="FF000000"/>
      </bottom>
      <diagonal/>
    </border>
    <border>
      <left style="medium">
        <color rgb="FFCCCCCC"/>
      </left>
      <right style="medium">
        <color indexed="64"/>
      </right>
      <top style="medium">
        <color rgb="FFCCCCCC"/>
      </top>
      <bottom/>
      <diagonal/>
    </border>
    <border>
      <left style="thin">
        <color rgb="FF000000"/>
      </left>
      <right style="medium">
        <color indexed="64"/>
      </right>
      <top style="thin">
        <color rgb="FF000000"/>
      </top>
      <bottom style="thin">
        <color rgb="FF000000"/>
      </bottom>
      <diagonal/>
    </border>
    <border>
      <left style="medium">
        <color rgb="FFCCCCCC"/>
      </left>
      <right style="medium">
        <color indexed="64"/>
      </right>
      <top/>
      <bottom style="medium">
        <color rgb="FF000000"/>
      </bottom>
      <diagonal/>
    </border>
    <border>
      <left style="medium">
        <color indexed="64"/>
      </left>
      <right style="medium">
        <color rgb="FF000000"/>
      </right>
      <top style="medium">
        <color rgb="FFCCCCCC"/>
      </top>
      <bottom style="medium">
        <color indexed="64"/>
      </bottom>
      <diagonal/>
    </border>
    <border>
      <left style="medium">
        <color rgb="FFCCCCCC"/>
      </left>
      <right style="medium">
        <color rgb="FF000000"/>
      </right>
      <top style="medium">
        <color rgb="FFCCCCCC"/>
      </top>
      <bottom style="medium">
        <color indexed="64"/>
      </bottom>
      <diagonal/>
    </border>
    <border>
      <left style="medium">
        <color rgb="FFCCCCCC"/>
      </left>
      <right style="medium">
        <color indexed="64"/>
      </right>
      <top style="medium">
        <color rgb="FFCCCCCC"/>
      </top>
      <bottom style="medium">
        <color indexed="64"/>
      </bottom>
      <diagonal/>
    </border>
    <border>
      <left style="medium">
        <color indexed="64"/>
      </left>
      <right style="medium">
        <color rgb="FF000000"/>
      </right>
      <top style="medium">
        <color rgb="FFCCCCCC"/>
      </top>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medium">
        <color indexed="64"/>
      </left>
      <right style="medium">
        <color rgb="FF000000"/>
      </right>
      <top/>
      <bottom/>
      <diagonal/>
    </border>
    <border>
      <left style="medium">
        <color rgb="FFCCCCCC"/>
      </left>
      <right/>
      <top/>
      <bottom/>
      <diagonal/>
    </border>
    <border>
      <left style="medium">
        <color indexed="64"/>
      </left>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CCCCCC"/>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CCCCCC"/>
      </top>
      <bottom style="medium">
        <color rgb="FF000000"/>
      </bottom>
      <diagonal/>
    </border>
    <border>
      <left style="medium">
        <color indexed="64"/>
      </left>
      <right style="medium">
        <color indexed="64"/>
      </right>
      <top style="medium">
        <color rgb="FFCCCCCC"/>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CCCCCC"/>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rgb="FF000000"/>
      </right>
      <top style="medium">
        <color indexed="64"/>
      </top>
      <bottom style="medium">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rgb="FF000000"/>
      </right>
      <top style="thin">
        <color rgb="FF000000"/>
      </top>
      <bottom/>
      <diagonal/>
    </border>
    <border>
      <left/>
      <right style="medium">
        <color rgb="FF000000"/>
      </right>
      <top style="medium">
        <color indexed="64"/>
      </top>
      <bottom style="medium">
        <color rgb="FF000000"/>
      </bottom>
      <diagonal/>
    </border>
    <border>
      <left/>
      <right style="medium">
        <color indexed="64"/>
      </right>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FF0000"/>
      </left>
      <right style="thin">
        <color indexed="64"/>
      </right>
      <top style="thin">
        <color rgb="FFFF0000"/>
      </top>
      <bottom style="thin">
        <color indexed="64"/>
      </bottom>
      <diagonal/>
    </border>
    <border>
      <left style="thin">
        <color indexed="64"/>
      </left>
      <right style="thin">
        <color indexed="64"/>
      </right>
      <top style="thin">
        <color rgb="FFFF0000"/>
      </top>
      <bottom/>
      <diagonal/>
    </border>
    <border>
      <left style="thin">
        <color indexed="64"/>
      </left>
      <right style="thin">
        <color indexed="64"/>
      </right>
      <top style="thin">
        <color rgb="FFFF0000"/>
      </top>
      <bottom style="thin">
        <color indexed="64"/>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indexed="64"/>
      </right>
      <top style="thin">
        <color indexed="64"/>
      </top>
      <bottom style="thin">
        <color rgb="FFFF0000"/>
      </bottom>
      <diagonal/>
    </border>
    <border>
      <left style="thin">
        <color indexed="64"/>
      </left>
      <right style="thin">
        <color indexed="64"/>
      </right>
      <top/>
      <bottom style="thin">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rgb="FFFF0000"/>
      </right>
      <top style="thin">
        <color indexed="64"/>
      </top>
      <bottom style="thin">
        <color rgb="FFFF0000"/>
      </bottom>
      <diagonal/>
    </border>
    <border>
      <left style="thin">
        <color indexed="64"/>
      </left>
      <right/>
      <top style="thin">
        <color rgb="FFFF0000"/>
      </top>
      <bottom/>
      <diagonal/>
    </border>
    <border>
      <left style="thin">
        <color indexed="64"/>
      </left>
      <right/>
      <top/>
      <bottom style="thin">
        <color rgb="FFFF0000"/>
      </bottom>
      <diagonal/>
    </border>
    <border>
      <left/>
      <right style="thin">
        <color indexed="64"/>
      </right>
      <top style="thin">
        <color indexed="64"/>
      </top>
      <bottom style="thin">
        <color rgb="FFFF0000"/>
      </bottom>
      <diagonal/>
    </border>
    <border>
      <left style="thin">
        <color rgb="FFFF0000"/>
      </left>
      <right style="thin">
        <color indexed="64"/>
      </right>
      <top/>
      <bottom style="thin">
        <color indexed="64"/>
      </bottom>
      <diagonal/>
    </border>
    <border>
      <left style="thin">
        <color indexed="64"/>
      </left>
      <right style="thin">
        <color rgb="FFFF0000"/>
      </right>
      <top/>
      <bottom style="thin">
        <color indexed="64"/>
      </bottom>
      <diagonal/>
    </border>
    <border>
      <left style="thick">
        <color rgb="FF7030A0"/>
      </left>
      <right style="thick">
        <color rgb="FF7030A0"/>
      </right>
      <top style="thick">
        <color rgb="FF7030A0"/>
      </top>
      <bottom style="thick">
        <color rgb="FF7030A0"/>
      </bottom>
      <diagonal/>
    </border>
    <border>
      <left style="thick">
        <color rgb="FF7030A0"/>
      </left>
      <right style="thin">
        <color indexed="64"/>
      </right>
      <top style="thick">
        <color rgb="FF7030A0"/>
      </top>
      <bottom style="thick">
        <color rgb="FF7030A0"/>
      </bottom>
      <diagonal/>
    </border>
    <border>
      <left style="thin">
        <color indexed="64"/>
      </left>
      <right/>
      <top style="thick">
        <color rgb="FF7030A0"/>
      </top>
      <bottom style="thick">
        <color rgb="FF7030A0"/>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CCCCCC"/>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medium">
        <color rgb="FFCCCCCC"/>
      </left>
      <right/>
      <top/>
      <bottom style="medium">
        <color rgb="FFCCCCCC"/>
      </bottom>
      <diagonal/>
    </border>
    <border>
      <left style="medium">
        <color indexed="64"/>
      </left>
      <right style="medium">
        <color rgb="FF000000"/>
      </right>
      <top style="medium">
        <color indexed="64"/>
      </top>
      <bottom/>
      <diagonal/>
    </border>
    <border>
      <left style="medium">
        <color rgb="FFCCCCCC"/>
      </left>
      <right/>
      <top style="medium">
        <color indexed="64"/>
      </top>
      <bottom/>
      <diagonal/>
    </border>
    <border>
      <left style="medium">
        <color indexed="64"/>
      </left>
      <right style="medium">
        <color rgb="FF000000"/>
      </right>
      <top style="medium">
        <color rgb="FF000000"/>
      </top>
      <bottom style="medium">
        <color rgb="FF000000"/>
      </bottom>
      <diagonal/>
    </border>
    <border>
      <left/>
      <right style="medium">
        <color rgb="FF000000"/>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indexed="64"/>
      </top>
      <bottom/>
      <diagonal/>
    </border>
    <border>
      <left/>
      <right/>
      <top/>
      <bottom style="medium">
        <color indexed="64"/>
      </bottom>
      <diagonal/>
    </border>
    <border>
      <left style="medium">
        <color indexed="64"/>
      </left>
      <right style="medium">
        <color indexed="64"/>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rgb="FF000000"/>
      </top>
      <bottom/>
      <diagonal/>
    </border>
    <border>
      <left/>
      <right/>
      <top/>
      <bottom style="thin">
        <color rgb="FF000000"/>
      </bottom>
      <diagonal/>
    </border>
    <border>
      <left/>
      <right style="medium">
        <color rgb="FF000000"/>
      </right>
      <top/>
      <bottom/>
      <diagonal/>
    </border>
    <border>
      <left style="thin">
        <color rgb="FF663997"/>
      </left>
      <right style="thin">
        <color rgb="FF663997"/>
      </right>
      <top style="thin">
        <color rgb="FF663997"/>
      </top>
      <bottom style="thin">
        <color rgb="FF663997"/>
      </bottom>
      <diagonal/>
    </border>
    <border>
      <left style="medium">
        <color rgb="FF663997"/>
      </left>
      <right style="thin">
        <color rgb="FF000000"/>
      </right>
      <top style="medium">
        <color rgb="FF663997"/>
      </top>
      <bottom style="thin">
        <color rgb="FF000000"/>
      </bottom>
      <diagonal/>
    </border>
    <border>
      <left style="thin">
        <color rgb="FF000000"/>
      </left>
      <right style="thin">
        <color rgb="FF000000"/>
      </right>
      <top style="medium">
        <color rgb="FF663997"/>
      </top>
      <bottom style="thin">
        <color rgb="FF000000"/>
      </bottom>
      <diagonal/>
    </border>
    <border>
      <left style="thin">
        <color rgb="FF000000"/>
      </left>
      <right/>
      <top style="medium">
        <color rgb="FF663997"/>
      </top>
      <bottom style="thin">
        <color rgb="FF000000"/>
      </bottom>
      <diagonal/>
    </border>
    <border>
      <left style="thin">
        <color indexed="64"/>
      </left>
      <right style="thin">
        <color indexed="64"/>
      </right>
      <top style="medium">
        <color rgb="FF663997"/>
      </top>
      <bottom style="thin">
        <color indexed="64"/>
      </bottom>
      <diagonal/>
    </border>
    <border>
      <left/>
      <right style="thin">
        <color rgb="FF000000"/>
      </right>
      <top style="medium">
        <color rgb="FF663997"/>
      </top>
      <bottom style="thin">
        <color rgb="FF000000"/>
      </bottom>
      <diagonal/>
    </border>
    <border>
      <left style="thin">
        <color rgb="FF000000"/>
      </left>
      <right style="medium">
        <color rgb="FF663997"/>
      </right>
      <top style="medium">
        <color rgb="FF663997"/>
      </top>
      <bottom style="thin">
        <color rgb="FF000000"/>
      </bottom>
      <diagonal/>
    </border>
    <border>
      <left style="medium">
        <color rgb="FF663997"/>
      </left>
      <right style="thin">
        <color rgb="FF000000"/>
      </right>
      <top style="thin">
        <color rgb="FF000000"/>
      </top>
      <bottom/>
      <diagonal/>
    </border>
    <border>
      <left style="thin">
        <color rgb="FF000000"/>
      </left>
      <right style="medium">
        <color rgb="FF663997"/>
      </right>
      <top style="thin">
        <color rgb="FF000000"/>
      </top>
      <bottom style="thin">
        <color rgb="FF000000"/>
      </bottom>
      <diagonal/>
    </border>
    <border>
      <left style="medium">
        <color rgb="FF663997"/>
      </left>
      <right style="thin">
        <color rgb="FF000000"/>
      </right>
      <top style="thin">
        <color rgb="FF000000"/>
      </top>
      <bottom style="thin">
        <color rgb="FF000000"/>
      </bottom>
      <diagonal/>
    </border>
    <border>
      <left style="medium">
        <color rgb="FF663997"/>
      </left>
      <right style="thin">
        <color rgb="FF000000"/>
      </right>
      <top style="thin">
        <color rgb="FF000000"/>
      </top>
      <bottom style="medium">
        <color rgb="FF663997"/>
      </bottom>
      <diagonal/>
    </border>
    <border>
      <left style="thin">
        <color rgb="FF000000"/>
      </left>
      <right style="thin">
        <color rgb="FF000000"/>
      </right>
      <top style="thin">
        <color rgb="FF000000"/>
      </top>
      <bottom style="medium">
        <color rgb="FF663997"/>
      </bottom>
      <diagonal/>
    </border>
    <border>
      <left style="thin">
        <color rgb="FF000000"/>
      </left>
      <right/>
      <top style="thin">
        <color rgb="FF000000"/>
      </top>
      <bottom style="medium">
        <color rgb="FF663997"/>
      </bottom>
      <diagonal/>
    </border>
    <border>
      <left style="thin">
        <color indexed="64"/>
      </left>
      <right style="thin">
        <color indexed="64"/>
      </right>
      <top style="thin">
        <color indexed="64"/>
      </top>
      <bottom style="medium">
        <color rgb="FF663997"/>
      </bottom>
      <diagonal/>
    </border>
    <border>
      <left/>
      <right style="thin">
        <color rgb="FF000000"/>
      </right>
      <top style="thin">
        <color rgb="FF000000"/>
      </top>
      <bottom style="medium">
        <color rgb="FF663997"/>
      </bottom>
      <diagonal/>
    </border>
    <border>
      <left style="thin">
        <color rgb="FF000000"/>
      </left>
      <right style="medium">
        <color rgb="FF663997"/>
      </right>
      <top style="thin">
        <color rgb="FF000000"/>
      </top>
      <bottom style="medium">
        <color rgb="FF663997"/>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rgb="FFCCCCCC"/>
      </top>
      <bottom style="medium">
        <color rgb="FFCCCCCC"/>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rgb="FF000000"/>
      </bottom>
      <diagonal/>
    </border>
    <border>
      <left/>
      <right/>
      <top style="medium">
        <color rgb="FF000000"/>
      </top>
      <bottom style="medium">
        <color indexed="64"/>
      </bottom>
      <diagonal/>
    </border>
    <border>
      <left/>
      <right style="medium">
        <color rgb="FFCCCCCC"/>
      </right>
      <top/>
      <bottom style="medium">
        <color rgb="FFCCCCCC"/>
      </bottom>
      <diagonal/>
    </border>
    <border>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000000"/>
      </left>
      <right style="medium">
        <color rgb="FF000000"/>
      </right>
      <top style="medium">
        <color indexed="64"/>
      </top>
      <bottom/>
      <diagonal/>
    </border>
    <border>
      <left style="thin">
        <color indexed="64"/>
      </left>
      <right/>
      <top style="medium">
        <color indexed="64"/>
      </top>
      <bottom/>
      <diagonal/>
    </border>
    <border>
      <left style="medium">
        <color rgb="FFCCCCCC"/>
      </left>
      <right/>
      <top/>
      <bottom style="medium">
        <color indexed="64"/>
      </bottom>
      <diagonal/>
    </border>
    <border>
      <left/>
      <right style="medium">
        <color rgb="FF000000"/>
      </right>
      <top style="medium">
        <color rgb="FFCCCCCC"/>
      </top>
      <bottom style="medium">
        <color rgb="FF000000"/>
      </bottom>
      <diagonal/>
    </border>
  </borders>
  <cellStyleXfs count="5">
    <xf numFmtId="0" fontId="0" fillId="0" borderId="0"/>
    <xf numFmtId="9" fontId="10" fillId="0" borderId="0" applyFont="0" applyFill="0" applyBorder="0" applyAlignment="0" applyProtection="0"/>
    <xf numFmtId="0" fontId="7" fillId="0" borderId="0"/>
    <xf numFmtId="43" fontId="10" fillId="0" borderId="0" applyFont="0" applyFill="0" applyBorder="0" applyAlignment="0" applyProtection="0"/>
    <xf numFmtId="44" fontId="92" fillId="0" borderId="0" applyFont="0" applyFill="0" applyBorder="0" applyAlignment="0" applyProtection="0"/>
  </cellStyleXfs>
  <cellXfs count="1729">
    <xf numFmtId="0" fontId="0" fillId="0" borderId="0" xfId="0" applyFont="1" applyAlignment="1"/>
    <xf numFmtId="0" fontId="11" fillId="17" borderId="24" xfId="0" applyFont="1" applyFill="1" applyBorder="1" applyAlignment="1">
      <alignment horizontal="center" vertical="center" wrapText="1"/>
    </xf>
    <xf numFmtId="0" fontId="0" fillId="0" borderId="24" xfId="0" applyFont="1" applyBorder="1" applyAlignment="1"/>
    <xf numFmtId="10" fontId="16" fillId="22" borderId="24" xfId="0" applyNumberFormat="1" applyFont="1" applyFill="1" applyBorder="1" applyAlignment="1">
      <alignment horizontal="center" vertical="center"/>
    </xf>
    <xf numFmtId="2" fontId="0" fillId="0" borderId="0" xfId="0" applyNumberFormat="1" applyFont="1" applyAlignment="1"/>
    <xf numFmtId="165" fontId="14" fillId="0" borderId="24" xfId="1" applyNumberFormat="1" applyFont="1" applyBorder="1" applyAlignment="1">
      <alignment horizontal="center" vertical="center"/>
    </xf>
    <xf numFmtId="10" fontId="0" fillId="0" borderId="0" xfId="0" applyNumberFormat="1" applyFont="1" applyAlignment="1"/>
    <xf numFmtId="0" fontId="0" fillId="18" borderId="0" xfId="0" applyFont="1" applyFill="1" applyAlignment="1"/>
    <xf numFmtId="0" fontId="15" fillId="0" borderId="0" xfId="0" applyFont="1" applyAlignment="1"/>
    <xf numFmtId="10" fontId="11" fillId="0" borderId="0" xfId="1" applyNumberFormat="1" applyFont="1" applyAlignment="1"/>
    <xf numFmtId="165" fontId="14" fillId="0" borderId="34" xfId="1" applyNumberFormat="1" applyFont="1" applyBorder="1" applyAlignment="1">
      <alignment horizontal="center" vertical="center"/>
    </xf>
    <xf numFmtId="0" fontId="18" fillId="0" borderId="26" xfId="0" applyFont="1" applyBorder="1" applyAlignment="1">
      <alignment horizontal="center" vertical="center" wrapText="1"/>
    </xf>
    <xf numFmtId="0" fontId="19" fillId="24" borderId="26" xfId="0" applyFont="1" applyFill="1" applyBorder="1" applyAlignment="1">
      <alignment horizontal="center" vertical="center" wrapText="1"/>
    </xf>
    <xf numFmtId="0" fontId="19" fillId="25" borderId="26"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26" borderId="26" xfId="0" applyFont="1" applyFill="1" applyBorder="1" applyAlignment="1">
      <alignment horizontal="center" vertical="center" wrapText="1"/>
    </xf>
    <xf numFmtId="0" fontId="19" fillId="23" borderId="26" xfId="0" applyFont="1" applyFill="1" applyBorder="1" applyAlignment="1">
      <alignment horizontal="center" vertical="center" wrapText="1"/>
    </xf>
    <xf numFmtId="0" fontId="21" fillId="17" borderId="26" xfId="0" applyFont="1" applyFill="1" applyBorder="1" applyAlignment="1">
      <alignment horizontal="justify" vertical="center" wrapText="1"/>
    </xf>
    <xf numFmtId="0" fontId="21" fillId="0" borderId="26" xfId="0" applyFont="1" applyBorder="1" applyAlignment="1">
      <alignment horizontal="justify" vertical="center" wrapText="1"/>
    </xf>
    <xf numFmtId="0" fontId="21" fillId="28" borderId="26" xfId="0" applyFont="1" applyFill="1" applyBorder="1" applyAlignment="1">
      <alignment horizontal="justify" vertical="center" wrapText="1"/>
    </xf>
    <xf numFmtId="0" fontId="21" fillId="23" borderId="26" xfId="0" applyFont="1" applyFill="1" applyBorder="1" applyAlignment="1">
      <alignment horizontal="justify" vertical="center" wrapText="1"/>
    </xf>
    <xf numFmtId="0" fontId="21" fillId="0" borderId="18" xfId="0" applyFont="1" applyBorder="1" applyAlignment="1">
      <alignment horizontal="justify" vertical="center" wrapText="1"/>
    </xf>
    <xf numFmtId="0" fontId="22" fillId="0" borderId="0" xfId="0" applyFont="1" applyAlignment="1"/>
    <xf numFmtId="165" fontId="8" fillId="33" borderId="24" xfId="0" applyNumberFormat="1" applyFont="1" applyFill="1" applyBorder="1" applyAlignment="1">
      <alignment horizontal="center" vertical="center" wrapText="1"/>
    </xf>
    <xf numFmtId="165" fontId="24" fillId="10" borderId="24" xfId="0" applyNumberFormat="1" applyFont="1" applyFill="1" applyBorder="1" applyAlignment="1">
      <alignment horizontal="center" vertical="center" wrapText="1"/>
    </xf>
    <xf numFmtId="0" fontId="0" fillId="0" borderId="34" xfId="0" applyFont="1" applyBorder="1" applyAlignment="1"/>
    <xf numFmtId="10" fontId="26" fillId="18" borderId="51" xfId="0" applyNumberFormat="1" applyFont="1" applyFill="1" applyBorder="1" applyAlignment="1">
      <alignment horizontal="center" vertical="center"/>
    </xf>
    <xf numFmtId="0" fontId="17" fillId="19" borderId="91" xfId="0" applyFont="1" applyFill="1" applyBorder="1" applyAlignment="1">
      <alignment wrapText="1"/>
    </xf>
    <xf numFmtId="10" fontId="26" fillId="18" borderId="93" xfId="0" applyNumberFormat="1" applyFont="1" applyFill="1" applyBorder="1" applyAlignment="1">
      <alignment horizontal="center" vertical="center"/>
    </xf>
    <xf numFmtId="10" fontId="26" fillId="18" borderId="94" xfId="0" applyNumberFormat="1" applyFont="1" applyFill="1" applyBorder="1" applyAlignment="1">
      <alignment horizontal="center" vertical="center"/>
    </xf>
    <xf numFmtId="0" fontId="13" fillId="20" borderId="95" xfId="0" applyFont="1" applyFill="1" applyBorder="1" applyAlignment="1">
      <alignment wrapText="1"/>
    </xf>
    <xf numFmtId="165" fontId="24" fillId="10" borderId="96" xfId="0" applyNumberFormat="1" applyFont="1" applyFill="1" applyBorder="1" applyAlignment="1">
      <alignment horizontal="center" vertical="center" wrapText="1"/>
    </xf>
    <xf numFmtId="0" fontId="11" fillId="21" borderId="95" xfId="0" applyFont="1" applyFill="1" applyBorder="1" applyAlignment="1">
      <alignment wrapText="1"/>
    </xf>
    <xf numFmtId="165" fontId="14" fillId="0" borderId="96" xfId="1" applyNumberFormat="1" applyFont="1" applyBorder="1" applyAlignment="1">
      <alignment horizontal="center" vertical="center"/>
    </xf>
    <xf numFmtId="10" fontId="14" fillId="0" borderId="96" xfId="1" applyNumberFormat="1" applyFont="1" applyBorder="1" applyAlignment="1">
      <alignment horizontal="center" vertical="center"/>
    </xf>
    <xf numFmtId="0" fontId="11" fillId="21" borderId="97" xfId="0" applyFont="1" applyFill="1" applyBorder="1" applyAlignment="1">
      <alignment wrapText="1"/>
    </xf>
    <xf numFmtId="165" fontId="14" fillId="0" borderId="99" xfId="1" applyNumberFormat="1" applyFont="1" applyBorder="1" applyAlignment="1">
      <alignment horizontal="center" vertical="center"/>
    </xf>
    <xf numFmtId="165" fontId="14" fillId="0" borderId="100" xfId="1" applyNumberFormat="1" applyFont="1" applyBorder="1" applyAlignment="1">
      <alignment horizontal="center" vertical="center"/>
    </xf>
    <xf numFmtId="0" fontId="17" fillId="19" borderId="91" xfId="0" applyFont="1" applyFill="1" applyBorder="1" applyAlignment="1">
      <alignment vertical="center" wrapText="1"/>
    </xf>
    <xf numFmtId="165" fontId="14" fillId="0" borderId="103" xfId="1" applyNumberFormat="1" applyFont="1" applyBorder="1" applyAlignment="1">
      <alignment horizontal="center" vertical="center"/>
    </xf>
    <xf numFmtId="0" fontId="11" fillId="17" borderId="34" xfId="0" applyFont="1" applyFill="1" applyBorder="1" applyAlignment="1">
      <alignment horizontal="center" vertical="center" wrapText="1"/>
    </xf>
    <xf numFmtId="0" fontId="17" fillId="19" borderId="104" xfId="0" applyFont="1" applyFill="1" applyBorder="1" applyAlignment="1">
      <alignment wrapText="1"/>
    </xf>
    <xf numFmtId="10" fontId="26" fillId="18" borderId="105" xfId="0" applyNumberFormat="1" applyFont="1" applyFill="1" applyBorder="1" applyAlignment="1">
      <alignment horizontal="center" vertical="center"/>
    </xf>
    <xf numFmtId="0" fontId="12" fillId="18" borderId="108" xfId="0" applyFont="1" applyFill="1" applyBorder="1" applyAlignment="1">
      <alignment wrapText="1"/>
    </xf>
    <xf numFmtId="0" fontId="14" fillId="0" borderId="31" xfId="0" applyFont="1" applyBorder="1" applyAlignment="1"/>
    <xf numFmtId="0" fontId="23" fillId="4" borderId="12"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7" fillId="17" borderId="24" xfId="0" applyFont="1" applyFill="1" applyBorder="1" applyAlignment="1">
      <alignment horizontal="center" vertical="center" wrapText="1"/>
    </xf>
    <xf numFmtId="0" fontId="14" fillId="0" borderId="0" xfId="0" applyFont="1" applyAlignment="1"/>
    <xf numFmtId="0" fontId="30" fillId="0" borderId="107" xfId="0" applyFont="1" applyBorder="1" applyAlignment="1">
      <alignment wrapText="1"/>
    </xf>
    <xf numFmtId="0" fontId="20" fillId="0" borderId="81"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88" xfId="0" applyFont="1" applyBorder="1" applyAlignment="1">
      <alignment horizontal="center" vertical="center" wrapText="1"/>
    </xf>
    <xf numFmtId="0" fontId="21" fillId="0" borderId="78" xfId="0" applyFont="1" applyBorder="1" applyAlignment="1">
      <alignment horizontal="justify" vertical="center" wrapText="1"/>
    </xf>
    <xf numFmtId="0" fontId="21" fillId="0" borderId="87" xfId="0" applyFont="1" applyBorder="1" applyAlignment="1">
      <alignment horizontal="justify" vertical="center" wrapText="1"/>
    </xf>
    <xf numFmtId="0" fontId="21" fillId="0" borderId="121" xfId="0" applyFont="1" applyBorder="1" applyAlignment="1">
      <alignment horizontal="justify" vertical="center" wrapText="1"/>
    </xf>
    <xf numFmtId="0" fontId="21" fillId="23" borderId="122" xfId="0" applyFont="1" applyFill="1" applyBorder="1" applyAlignment="1">
      <alignment horizontal="justify" vertical="center" wrapText="1"/>
    </xf>
    <xf numFmtId="0" fontId="21" fillId="0" borderId="41" xfId="0" applyFont="1" applyBorder="1" applyAlignment="1">
      <alignment horizontal="justify" vertical="center" wrapText="1"/>
    </xf>
    <xf numFmtId="0" fontId="20" fillId="43" borderId="7" xfId="0" applyFont="1" applyFill="1" applyBorder="1" applyAlignment="1">
      <alignment horizontal="center" vertical="center" wrapText="1"/>
    </xf>
    <xf numFmtId="0" fontId="20" fillId="43" borderId="9" xfId="0" applyFont="1" applyFill="1" applyBorder="1" applyAlignment="1">
      <alignment horizontal="center" vertical="center" wrapText="1"/>
    </xf>
    <xf numFmtId="0" fontId="20" fillId="43" borderId="50" xfId="0" applyFont="1" applyFill="1" applyBorder="1" applyAlignment="1">
      <alignment horizontal="center" vertical="center" wrapText="1"/>
    </xf>
    <xf numFmtId="0" fontId="20" fillId="43" borderId="25" xfId="0" applyFont="1" applyFill="1" applyBorder="1" applyAlignment="1">
      <alignment horizontal="center" vertical="center" wrapText="1"/>
    </xf>
    <xf numFmtId="0" fontId="6" fillId="0" borderId="0" xfId="0" applyFont="1" applyAlignment="1">
      <alignment wrapText="1"/>
    </xf>
    <xf numFmtId="0" fontId="27" fillId="0" borderId="24" xfId="0" applyFont="1" applyBorder="1" applyAlignment="1"/>
    <xf numFmtId="0" fontId="6" fillId="0" borderId="24" xfId="0" applyFont="1" applyBorder="1" applyAlignment="1">
      <alignment wrapText="1"/>
    </xf>
    <xf numFmtId="0" fontId="27" fillId="17" borderId="24" xfId="0" applyFont="1" applyFill="1" applyBorder="1" applyAlignment="1"/>
    <xf numFmtId="0" fontId="0" fillId="0" borderId="24" xfId="0" applyFont="1" applyBorder="1" applyAlignment="1">
      <alignment horizontal="center"/>
    </xf>
    <xf numFmtId="0" fontId="11" fillId="41" borderId="24" xfId="0" applyFont="1" applyFill="1" applyBorder="1" applyAlignment="1">
      <alignment horizontal="center" wrapText="1"/>
    </xf>
    <xf numFmtId="0" fontId="0" fillId="0" borderId="24" xfId="0" applyFont="1" applyBorder="1" applyAlignment="1">
      <alignment wrapText="1"/>
    </xf>
    <xf numFmtId="0" fontId="32" fillId="0" borderId="24" xfId="0" applyFont="1" applyBorder="1" applyAlignment="1">
      <alignment wrapText="1"/>
    </xf>
    <xf numFmtId="0" fontId="27" fillId="0" borderId="24" xfId="0" applyFont="1" applyBorder="1" applyAlignment="1">
      <alignment wrapText="1"/>
    </xf>
    <xf numFmtId="0" fontId="11" fillId="22" borderId="24" xfId="0" applyFont="1" applyFill="1" applyBorder="1" applyAlignment="1">
      <alignment horizontal="center" wrapText="1"/>
    </xf>
    <xf numFmtId="0" fontId="5" fillId="0" borderId="0" xfId="0" applyFont="1" applyAlignment="1">
      <alignment wrapText="1"/>
    </xf>
    <xf numFmtId="0" fontId="0" fillId="0" borderId="24" xfId="0" applyFont="1" applyBorder="1" applyAlignment="1">
      <alignment horizontal="left"/>
    </xf>
    <xf numFmtId="0" fontId="32" fillId="0" borderId="0" xfId="0" applyFont="1" applyBorder="1" applyAlignment="1">
      <alignment wrapText="1"/>
    </xf>
    <xf numFmtId="0" fontId="27" fillId="0" borderId="0" xfId="0" applyFont="1" applyBorder="1" applyAlignment="1">
      <alignment wrapText="1"/>
    </xf>
    <xf numFmtId="10" fontId="0" fillId="0" borderId="0" xfId="0" applyNumberFormat="1" applyFont="1" applyBorder="1" applyAlignment="1">
      <alignment horizontal="center" vertical="center"/>
    </xf>
    <xf numFmtId="0" fontId="27" fillId="17" borderId="24" xfId="0" applyFont="1" applyFill="1" applyBorder="1" applyAlignment="1">
      <alignment wrapText="1"/>
    </xf>
    <xf numFmtId="0" fontId="27" fillId="17" borderId="31" xfId="0" applyFont="1" applyFill="1" applyBorder="1" applyAlignment="1">
      <alignment horizontal="center" vertical="center" wrapText="1"/>
    </xf>
    <xf numFmtId="0" fontId="33" fillId="0" borderId="24" xfId="0" applyFont="1" applyBorder="1" applyAlignment="1">
      <alignment wrapText="1"/>
    </xf>
    <xf numFmtId="0" fontId="0" fillId="0" borderId="24" xfId="0" applyFont="1" applyBorder="1" applyAlignment="1">
      <alignment horizontal="left" wrapText="1"/>
    </xf>
    <xf numFmtId="10" fontId="16" fillId="44" borderId="96" xfId="0" applyNumberFormat="1" applyFont="1" applyFill="1" applyBorder="1" applyAlignment="1">
      <alignment horizontal="center" vertical="center"/>
    </xf>
    <xf numFmtId="10" fontId="0" fillId="0" borderId="0" xfId="0" applyNumberFormat="1" applyFont="1" applyBorder="1" applyAlignment="1">
      <alignment horizontal="center"/>
    </xf>
    <xf numFmtId="10" fontId="34" fillId="0" borderId="0" xfId="0" applyNumberFormat="1" applyFont="1" applyAlignment="1"/>
    <xf numFmtId="165" fontId="0" fillId="0" borderId="24" xfId="0" applyNumberFormat="1" applyFont="1" applyBorder="1" applyAlignment="1">
      <alignment horizontal="center" vertical="center"/>
    </xf>
    <xf numFmtId="10" fontId="14" fillId="0" borderId="24" xfId="1" applyNumberFormat="1" applyFont="1" applyBorder="1" applyAlignment="1">
      <alignment horizontal="center" vertical="center"/>
    </xf>
    <xf numFmtId="165" fontId="0" fillId="0" borderId="0" xfId="0" applyNumberFormat="1" applyFont="1" applyAlignment="1">
      <alignment horizontal="center" vertical="center"/>
    </xf>
    <xf numFmtId="0" fontId="11" fillId="0" borderId="0" xfId="0" applyFont="1" applyAlignment="1"/>
    <xf numFmtId="165" fontId="16" fillId="22" borderId="24" xfId="0" applyNumberFormat="1" applyFont="1" applyFill="1" applyBorder="1" applyAlignment="1">
      <alignment horizontal="center" vertical="center"/>
    </xf>
    <xf numFmtId="9" fontId="35" fillId="12" borderId="114" xfId="0" applyNumberFormat="1" applyFont="1" applyFill="1" applyBorder="1" applyAlignment="1">
      <alignment horizontal="center" vertical="center" wrapText="1"/>
    </xf>
    <xf numFmtId="9" fontId="35" fillId="0" borderId="112" xfId="0" applyNumberFormat="1" applyFont="1" applyBorder="1" applyAlignment="1">
      <alignment horizontal="center" vertical="center" wrapText="1"/>
    </xf>
    <xf numFmtId="0" fontId="36" fillId="0" borderId="0" xfId="0" applyFont="1" applyAlignment="1">
      <alignment wrapText="1"/>
    </xf>
    <xf numFmtId="0" fontId="20" fillId="0" borderId="0" xfId="0" applyFont="1" applyFill="1" applyBorder="1" applyAlignment="1">
      <alignment horizontal="center" vertical="center" wrapText="1"/>
    </xf>
    <xf numFmtId="165" fontId="0" fillId="24" borderId="24" xfId="0" applyNumberFormat="1" applyFont="1" applyFill="1" applyBorder="1" applyAlignment="1">
      <alignment horizontal="center" vertical="center"/>
    </xf>
    <xf numFmtId="165" fontId="0" fillId="17" borderId="24" xfId="0" applyNumberFormat="1" applyFont="1" applyFill="1" applyBorder="1" applyAlignment="1">
      <alignment horizontal="center" vertical="center"/>
    </xf>
    <xf numFmtId="165" fontId="0" fillId="23" borderId="24" xfId="0" applyNumberFormat="1" applyFont="1" applyFill="1" applyBorder="1" applyAlignment="1">
      <alignment horizontal="center" vertical="center"/>
    </xf>
    <xf numFmtId="165" fontId="11" fillId="0" borderId="0" xfId="0" applyNumberFormat="1" applyFont="1" applyAlignment="1">
      <alignment horizontal="center" vertical="center"/>
    </xf>
    <xf numFmtId="0" fontId="11" fillId="22" borderId="24" xfId="0" applyFont="1" applyFill="1" applyBorder="1" applyAlignment="1">
      <alignment horizontal="center" vertical="center" wrapText="1"/>
    </xf>
    <xf numFmtId="0" fontId="11" fillId="0" borderId="24" xfId="0" applyFont="1" applyBorder="1" applyAlignment="1">
      <alignment horizontal="center" vertical="center"/>
    </xf>
    <xf numFmtId="165" fontId="0" fillId="0" borderId="0" xfId="0" applyNumberFormat="1" applyFont="1" applyBorder="1" applyAlignment="1">
      <alignment horizontal="center" vertical="center"/>
    </xf>
    <xf numFmtId="0" fontId="6" fillId="0" borderId="0" xfId="0" applyFont="1" applyBorder="1" applyAlignment="1">
      <alignment wrapText="1"/>
    </xf>
    <xf numFmtId="0" fontId="11" fillId="0" borderId="24" xfId="0" applyFont="1" applyBorder="1" applyAlignment="1">
      <alignment wrapText="1"/>
    </xf>
    <xf numFmtId="165" fontId="0" fillId="18" borderId="24" xfId="0" applyNumberFormat="1" applyFont="1" applyFill="1" applyBorder="1" applyAlignment="1">
      <alignment horizontal="center" vertical="center"/>
    </xf>
    <xf numFmtId="0" fontId="11" fillId="0" borderId="24" xfId="0" applyFont="1" applyBorder="1" applyAlignment="1">
      <alignment horizontal="center"/>
    </xf>
    <xf numFmtId="0" fontId="11" fillId="0" borderId="24" xfId="0" applyFont="1" applyBorder="1" applyAlignment="1"/>
    <xf numFmtId="0" fontId="11" fillId="0" borderId="0" xfId="0" applyFont="1" applyAlignment="1">
      <alignment wrapText="1"/>
    </xf>
    <xf numFmtId="10" fontId="8" fillId="33" borderId="24" xfId="0" applyNumberFormat="1" applyFont="1" applyFill="1" applyBorder="1" applyAlignment="1">
      <alignment horizontal="center" vertical="center" wrapText="1"/>
    </xf>
    <xf numFmtId="10" fontId="0" fillId="0" borderId="0" xfId="1" applyNumberFormat="1" applyFont="1" applyAlignment="1"/>
    <xf numFmtId="10" fontId="14" fillId="0" borderId="99" xfId="1" applyNumberFormat="1" applyFont="1" applyBorder="1" applyAlignment="1">
      <alignment horizontal="center" vertical="center"/>
    </xf>
    <xf numFmtId="165" fontId="28" fillId="41" borderId="106" xfId="1" applyNumberFormat="1" applyFont="1" applyFill="1" applyBorder="1" applyAlignment="1">
      <alignment horizontal="center" vertical="center" wrapText="1"/>
    </xf>
    <xf numFmtId="0" fontId="37" fillId="0" borderId="1" xfId="0" applyFont="1" applyBorder="1" applyAlignment="1">
      <alignment wrapText="1"/>
    </xf>
    <xf numFmtId="0" fontId="38" fillId="0" borderId="0" xfId="0" applyFont="1" applyAlignment="1"/>
    <xf numFmtId="0" fontId="37" fillId="0" borderId="4" xfId="0" applyFont="1" applyBorder="1" applyAlignment="1">
      <alignment wrapText="1"/>
    </xf>
    <xf numFmtId="0" fontId="37" fillId="29" borderId="10" xfId="0" applyFont="1" applyFill="1" applyBorder="1" applyAlignment="1">
      <alignment vertical="center" wrapText="1"/>
    </xf>
    <xf numFmtId="0" fontId="37" fillId="0" borderId="24" xfId="0" applyFont="1" applyBorder="1" applyAlignment="1">
      <alignment wrapText="1"/>
    </xf>
    <xf numFmtId="9" fontId="35" fillId="7" borderId="114" xfId="0" applyNumberFormat="1" applyFont="1" applyFill="1" applyBorder="1" applyAlignment="1">
      <alignment horizontal="center" vertical="center" wrapText="1"/>
    </xf>
    <xf numFmtId="165" fontId="35" fillId="33" borderId="24" xfId="0" applyNumberFormat="1" applyFont="1" applyFill="1" applyBorder="1" applyAlignment="1">
      <alignment horizontal="center" vertical="center" wrapText="1"/>
    </xf>
    <xf numFmtId="165" fontId="35" fillId="10" borderId="24" xfId="0" applyNumberFormat="1" applyFont="1" applyFill="1" applyBorder="1" applyAlignment="1">
      <alignment horizontal="center" vertical="center" wrapText="1"/>
    </xf>
    <xf numFmtId="0" fontId="37" fillId="0" borderId="34" xfId="0" applyFont="1" applyBorder="1" applyAlignment="1">
      <alignment wrapText="1"/>
    </xf>
    <xf numFmtId="165" fontId="35" fillId="31" borderId="24" xfId="0" applyNumberFormat="1" applyFont="1" applyFill="1" applyBorder="1" applyAlignment="1">
      <alignment horizontal="center" vertical="center" wrapText="1"/>
    </xf>
    <xf numFmtId="0" fontId="37" fillId="0" borderId="24" xfId="0" applyFont="1" applyBorder="1" applyAlignment="1">
      <alignment vertical="center" wrapText="1"/>
    </xf>
    <xf numFmtId="0" fontId="35" fillId="0" borderId="34" xfId="0" applyFont="1" applyBorder="1" applyAlignment="1">
      <alignment horizontal="center" vertical="center" wrapText="1"/>
    </xf>
    <xf numFmtId="9" fontId="37" fillId="0" borderId="24" xfId="0" applyNumberFormat="1" applyFont="1" applyBorder="1" applyAlignment="1">
      <alignment horizontal="center" vertical="center" wrapText="1"/>
    </xf>
    <xf numFmtId="165" fontId="37" fillId="0" borderId="24" xfId="0" applyNumberFormat="1" applyFont="1" applyBorder="1" applyAlignment="1">
      <alignment horizontal="center" vertical="center" wrapText="1"/>
    </xf>
    <xf numFmtId="0" fontId="37" fillId="0" borderId="20" xfId="0" applyFont="1" applyBorder="1" applyAlignment="1">
      <alignment wrapText="1"/>
    </xf>
    <xf numFmtId="9" fontId="35" fillId="0" borderId="71" xfId="0" applyNumberFormat="1" applyFont="1" applyBorder="1" applyAlignment="1">
      <alignment horizontal="center" vertical="center" wrapText="1"/>
    </xf>
    <xf numFmtId="0" fontId="37" fillId="29" borderId="16" xfId="0" applyFont="1" applyFill="1" applyBorder="1" applyAlignment="1">
      <alignment vertical="center" wrapText="1"/>
    </xf>
    <xf numFmtId="9" fontId="35" fillId="17" borderId="112" xfId="0" applyNumberFormat="1" applyFont="1" applyFill="1" applyBorder="1" applyAlignment="1">
      <alignment horizontal="center" vertical="center" wrapText="1"/>
    </xf>
    <xf numFmtId="0" fontId="37" fillId="18" borderId="1" xfId="0" applyFont="1" applyFill="1" applyBorder="1" applyAlignment="1">
      <alignment wrapText="1"/>
    </xf>
    <xf numFmtId="0" fontId="37" fillId="0" borderId="47" xfId="0" applyFont="1" applyBorder="1" applyAlignment="1">
      <alignment wrapText="1"/>
    </xf>
    <xf numFmtId="9" fontId="35" fillId="7" borderId="89" xfId="0" applyNumberFormat="1" applyFont="1" applyFill="1" applyBorder="1" applyAlignment="1">
      <alignment horizontal="center" vertical="center" wrapText="1"/>
    </xf>
    <xf numFmtId="9" fontId="35" fillId="7" borderId="34" xfId="0" applyNumberFormat="1" applyFont="1" applyFill="1" applyBorder="1" applyAlignment="1">
      <alignment horizontal="center" vertical="center" wrapText="1"/>
    </xf>
    <xf numFmtId="0" fontId="35" fillId="0" borderId="24" xfId="0" applyFont="1" applyBorder="1" applyAlignment="1">
      <alignment horizontal="center" vertical="center" wrapText="1"/>
    </xf>
    <xf numFmtId="0" fontId="37" fillId="0" borderId="48" xfId="0" applyFont="1" applyBorder="1" applyAlignment="1">
      <alignment wrapText="1"/>
    </xf>
    <xf numFmtId="0" fontId="37" fillId="0" borderId="25" xfId="0" applyFont="1" applyBorder="1" applyAlignment="1">
      <alignment wrapText="1"/>
    </xf>
    <xf numFmtId="0" fontId="37" fillId="0" borderId="116" xfId="0" applyFont="1" applyBorder="1" applyAlignment="1">
      <alignment wrapText="1"/>
    </xf>
    <xf numFmtId="0" fontId="37" fillId="13" borderId="47" xfId="0" applyFont="1" applyFill="1" applyBorder="1" applyAlignment="1">
      <alignment wrapText="1"/>
    </xf>
    <xf numFmtId="0" fontId="37" fillId="0" borderId="47" xfId="0" applyFont="1" applyBorder="1" applyAlignment="1">
      <alignment vertical="center"/>
    </xf>
    <xf numFmtId="0" fontId="37" fillId="18" borderId="20" xfId="0" applyFont="1" applyFill="1" applyBorder="1" applyAlignment="1">
      <alignment wrapText="1"/>
    </xf>
    <xf numFmtId="0" fontId="38" fillId="18" borderId="0" xfId="0" applyFont="1" applyFill="1" applyAlignment="1"/>
    <xf numFmtId="0" fontId="41" fillId="0" borderId="4" xfId="0" applyFont="1" applyBorder="1" applyAlignment="1">
      <alignment wrapText="1"/>
    </xf>
    <xf numFmtId="0" fontId="42" fillId="0" borderId="0" xfId="0" applyFont="1" applyAlignment="1"/>
    <xf numFmtId="0" fontId="43" fillId="0" borderId="35" xfId="0" applyFont="1" applyBorder="1" applyAlignment="1">
      <alignment vertical="center" wrapText="1"/>
    </xf>
    <xf numFmtId="0" fontId="43" fillId="24" borderId="35" xfId="0" applyFont="1" applyFill="1" applyBorder="1" applyAlignment="1">
      <alignment vertical="center" wrapText="1"/>
    </xf>
    <xf numFmtId="0" fontId="43" fillId="25" borderId="35" xfId="0" applyFont="1" applyFill="1" applyBorder="1" applyAlignment="1">
      <alignment vertical="center" wrapText="1"/>
    </xf>
    <xf numFmtId="0" fontId="43" fillId="17" borderId="35" xfId="0" applyFont="1" applyFill="1" applyBorder="1" applyAlignment="1">
      <alignment vertical="center" wrapText="1"/>
    </xf>
    <xf numFmtId="0" fontId="43" fillId="26" borderId="35" xfId="0" applyFont="1" applyFill="1" applyBorder="1" applyAlignment="1">
      <alignment vertical="center" wrapText="1"/>
    </xf>
    <xf numFmtId="0" fontId="43" fillId="23" borderId="35" xfId="0" applyFont="1" applyFill="1" applyBorder="1" applyAlignment="1">
      <alignment vertical="center" wrapText="1"/>
    </xf>
    <xf numFmtId="10" fontId="44" fillId="0" borderId="27" xfId="0" applyNumberFormat="1" applyFont="1" applyBorder="1" applyAlignment="1">
      <alignment horizontal="center" vertical="center" wrapText="1"/>
    </xf>
    <xf numFmtId="10" fontId="44" fillId="0" borderId="13" xfId="1" applyNumberFormat="1" applyFont="1" applyBorder="1" applyAlignment="1">
      <alignment horizontal="center" vertical="center" wrapText="1"/>
    </xf>
    <xf numFmtId="0" fontId="45" fillId="0" borderId="24" xfId="0" applyFont="1" applyBorder="1" applyAlignment="1">
      <alignment horizontal="center" vertical="center" wrapText="1"/>
    </xf>
    <xf numFmtId="0" fontId="46" fillId="0" borderId="1" xfId="0" applyFont="1" applyBorder="1" applyAlignment="1">
      <alignment wrapText="1"/>
    </xf>
    <xf numFmtId="0" fontId="46" fillId="0" borderId="3" xfId="0" applyFont="1" applyBorder="1" applyAlignment="1">
      <alignment wrapText="1"/>
    </xf>
    <xf numFmtId="0" fontId="47" fillId="0" borderId="3" xfId="0" applyFont="1" applyBorder="1" applyAlignment="1">
      <alignment wrapText="1"/>
    </xf>
    <xf numFmtId="0" fontId="48" fillId="0" borderId="0" xfId="0" applyFont="1" applyAlignment="1"/>
    <xf numFmtId="0" fontId="46" fillId="0" borderId="22" xfId="0" applyFont="1" applyBorder="1" applyAlignment="1">
      <alignment wrapText="1"/>
    </xf>
    <xf numFmtId="0" fontId="46" fillId="0" borderId="53" xfId="0" applyFont="1" applyBorder="1" applyAlignment="1">
      <alignment wrapText="1"/>
    </xf>
    <xf numFmtId="0" fontId="46" fillId="0" borderId="15" xfId="0" applyFont="1" applyBorder="1" applyAlignment="1">
      <alignment wrapText="1"/>
    </xf>
    <xf numFmtId="9" fontId="47" fillId="7" borderId="34" xfId="0" applyNumberFormat="1" applyFont="1" applyFill="1" applyBorder="1" applyAlignment="1">
      <alignment horizontal="center" vertical="center" wrapText="1"/>
    </xf>
    <xf numFmtId="9" fontId="47" fillId="7" borderId="24" xfId="0" applyNumberFormat="1" applyFont="1" applyFill="1" applyBorder="1" applyAlignment="1">
      <alignment horizontal="center" vertical="center" wrapText="1"/>
    </xf>
    <xf numFmtId="165" fontId="46" fillId="0" borderId="24" xfId="0" applyNumberFormat="1" applyFont="1" applyBorder="1" applyAlignment="1">
      <alignment vertical="center" wrapText="1"/>
    </xf>
    <xf numFmtId="165" fontId="47" fillId="33" borderId="24" xfId="0" applyNumberFormat="1" applyFont="1" applyFill="1" applyBorder="1" applyAlignment="1">
      <alignment horizontal="center" vertical="center" wrapText="1"/>
    </xf>
    <xf numFmtId="165" fontId="47" fillId="10" borderId="24" xfId="0" applyNumberFormat="1" applyFont="1" applyFill="1" applyBorder="1" applyAlignment="1">
      <alignment horizontal="center" vertical="center" wrapText="1"/>
    </xf>
    <xf numFmtId="0" fontId="46" fillId="0" borderId="24" xfId="0" applyFont="1" applyBorder="1" applyAlignment="1">
      <alignment wrapText="1"/>
    </xf>
    <xf numFmtId="165" fontId="47" fillId="39" borderId="34" xfId="0" applyNumberFormat="1" applyFont="1" applyFill="1" applyBorder="1" applyAlignment="1">
      <alignment horizontal="center" vertical="center" wrapText="1"/>
    </xf>
    <xf numFmtId="0" fontId="46" fillId="0" borderId="54" xfId="0" applyFont="1" applyBorder="1" applyAlignment="1">
      <alignment wrapText="1"/>
    </xf>
    <xf numFmtId="9" fontId="47" fillId="12" borderId="34" xfId="0" applyNumberFormat="1" applyFont="1" applyFill="1" applyBorder="1" applyAlignment="1">
      <alignment horizontal="center" vertical="center" wrapText="1"/>
    </xf>
    <xf numFmtId="0" fontId="47" fillId="0" borderId="24" xfId="0" applyFont="1" applyBorder="1" applyAlignment="1">
      <alignment vertical="center" wrapText="1"/>
    </xf>
    <xf numFmtId="0" fontId="46" fillId="0" borderId="24" xfId="0" applyFont="1" applyBorder="1" applyAlignment="1">
      <alignment vertical="center" wrapText="1"/>
    </xf>
    <xf numFmtId="165" fontId="47" fillId="31" borderId="24" xfId="0" applyNumberFormat="1" applyFont="1" applyFill="1" applyBorder="1" applyAlignment="1">
      <alignment horizontal="center" vertical="center" wrapText="1"/>
    </xf>
    <xf numFmtId="0" fontId="46" fillId="0" borderId="24" xfId="0" applyFont="1" applyBorder="1" applyAlignment="1">
      <alignment horizontal="center" vertical="center" wrapText="1"/>
    </xf>
    <xf numFmtId="165" fontId="46" fillId="4" borderId="24" xfId="0" applyNumberFormat="1" applyFont="1" applyFill="1" applyBorder="1" applyAlignment="1">
      <alignment horizontal="center" vertical="center" wrapText="1"/>
    </xf>
    <xf numFmtId="165" fontId="47" fillId="32" borderId="34" xfId="0" applyNumberFormat="1" applyFont="1" applyFill="1" applyBorder="1" applyAlignment="1">
      <alignment horizontal="center" vertical="center" wrapText="1"/>
    </xf>
    <xf numFmtId="0" fontId="46" fillId="13" borderId="55" xfId="0" applyFont="1" applyFill="1" applyBorder="1" applyAlignment="1">
      <alignment vertical="center" wrapText="1"/>
    </xf>
    <xf numFmtId="9" fontId="47" fillId="0" borderId="6" xfId="0" applyNumberFormat="1" applyFont="1" applyBorder="1" applyAlignment="1">
      <alignment horizontal="center" vertical="center" wrapText="1"/>
    </xf>
    <xf numFmtId="0" fontId="47" fillId="0" borderId="24" xfId="0" applyFont="1" applyBorder="1" applyAlignment="1">
      <alignment horizontal="center" vertical="center" wrapText="1"/>
    </xf>
    <xf numFmtId="9" fontId="46" fillId="0" borderId="24" xfId="0" applyNumberFormat="1" applyFont="1" applyBorder="1" applyAlignment="1">
      <alignment horizontal="center" vertical="center" wrapText="1"/>
    </xf>
    <xf numFmtId="9" fontId="46" fillId="0" borderId="24" xfId="0" applyNumberFormat="1" applyFont="1" applyBorder="1" applyAlignment="1">
      <alignment horizontal="center" wrapText="1"/>
    </xf>
    <xf numFmtId="10" fontId="46" fillId="0" borderId="24" xfId="0" applyNumberFormat="1" applyFont="1" applyBorder="1" applyAlignment="1">
      <alignment horizontal="center" vertical="center" wrapText="1"/>
    </xf>
    <xf numFmtId="9" fontId="46" fillId="24" borderId="34" xfId="0" applyNumberFormat="1" applyFont="1" applyFill="1" applyBorder="1" applyAlignment="1">
      <alignment horizontal="center" vertical="center" wrapText="1"/>
    </xf>
    <xf numFmtId="9" fontId="46" fillId="24" borderId="24" xfId="0" applyNumberFormat="1" applyFont="1" applyFill="1" applyBorder="1" applyAlignment="1">
      <alignment horizontal="center" vertical="center" wrapText="1"/>
    </xf>
    <xf numFmtId="0" fontId="46" fillId="42" borderId="55" xfId="0" applyFont="1" applyFill="1" applyBorder="1" applyAlignment="1">
      <alignment vertical="center" wrapText="1"/>
    </xf>
    <xf numFmtId="0" fontId="46" fillId="0" borderId="56" xfId="0" applyFont="1" applyBorder="1" applyAlignment="1">
      <alignment wrapText="1"/>
    </xf>
    <xf numFmtId="0" fontId="46" fillId="13" borderId="16" xfId="0" applyFont="1" applyFill="1" applyBorder="1" applyAlignment="1">
      <alignment vertical="center" wrapText="1"/>
    </xf>
    <xf numFmtId="0" fontId="46" fillId="0" borderId="71" xfId="0" applyFont="1" applyBorder="1" applyAlignment="1">
      <alignment wrapText="1"/>
    </xf>
    <xf numFmtId="0" fontId="46" fillId="0" borderId="72" xfId="0" applyFont="1" applyBorder="1" applyAlignment="1">
      <alignment wrapText="1"/>
    </xf>
    <xf numFmtId="165" fontId="47" fillId="38" borderId="34" xfId="0" applyNumberFormat="1" applyFont="1" applyFill="1" applyBorder="1" applyAlignment="1">
      <alignment horizontal="center" vertical="center" wrapText="1"/>
    </xf>
    <xf numFmtId="0" fontId="47" fillId="0" borderId="24" xfId="0" applyFont="1" applyBorder="1" applyAlignment="1">
      <alignment wrapText="1"/>
    </xf>
    <xf numFmtId="0" fontId="46" fillId="15" borderId="22" xfId="0" applyFont="1" applyFill="1" applyBorder="1" applyAlignment="1">
      <alignment wrapText="1"/>
    </xf>
    <xf numFmtId="0" fontId="46" fillId="18" borderId="72" xfId="0" applyFont="1" applyFill="1" applyBorder="1" applyAlignment="1">
      <alignment wrapText="1"/>
    </xf>
    <xf numFmtId="9" fontId="47" fillId="18" borderId="6" xfId="0" applyNumberFormat="1" applyFont="1" applyFill="1" applyBorder="1" applyAlignment="1">
      <alignment horizontal="center" vertical="center" wrapText="1"/>
    </xf>
    <xf numFmtId="9" fontId="46" fillId="18" borderId="34" xfId="0" applyNumberFormat="1" applyFont="1" applyFill="1" applyBorder="1" applyAlignment="1">
      <alignment horizontal="center" vertical="center" wrapText="1"/>
    </xf>
    <xf numFmtId="165" fontId="47" fillId="4" borderId="24" xfId="0" applyNumberFormat="1" applyFont="1" applyFill="1" applyBorder="1" applyAlignment="1">
      <alignment horizontal="center" vertical="center" wrapText="1"/>
    </xf>
    <xf numFmtId="0" fontId="46" fillId="0" borderId="72" xfId="0" applyFont="1" applyBorder="1" applyAlignment="1">
      <alignment horizontal="left" vertical="center" wrapText="1"/>
    </xf>
    <xf numFmtId="165" fontId="46" fillId="0" borderId="24" xfId="0" applyNumberFormat="1" applyFont="1" applyBorder="1" applyAlignment="1">
      <alignment horizontal="center" vertical="center" wrapText="1"/>
    </xf>
    <xf numFmtId="0" fontId="46" fillId="0" borderId="73" xfId="0" applyFont="1" applyBorder="1" applyAlignment="1">
      <alignment wrapText="1"/>
    </xf>
    <xf numFmtId="0" fontId="46" fillId="0" borderId="25" xfId="0" applyFont="1" applyBorder="1" applyAlignment="1">
      <alignment wrapText="1"/>
    </xf>
    <xf numFmtId="0" fontId="46" fillId="0" borderId="79" xfId="0" applyFont="1" applyBorder="1" applyAlignment="1">
      <alignment wrapText="1"/>
    </xf>
    <xf numFmtId="0" fontId="46" fillId="0" borderId="83" xfId="0" applyFont="1" applyBorder="1" applyAlignment="1">
      <alignment wrapText="1"/>
    </xf>
    <xf numFmtId="0" fontId="46" fillId="0" borderId="80" xfId="0" applyFont="1" applyBorder="1" applyAlignment="1">
      <alignment wrapText="1"/>
    </xf>
    <xf numFmtId="0" fontId="46" fillId="0" borderId="82" xfId="0" applyFont="1" applyBorder="1" applyAlignment="1">
      <alignment wrapText="1"/>
    </xf>
    <xf numFmtId="0" fontId="46" fillId="0" borderId="84" xfId="0" applyFont="1" applyBorder="1" applyAlignment="1">
      <alignment wrapText="1"/>
    </xf>
    <xf numFmtId="0" fontId="46" fillId="0" borderId="74" xfId="0" applyFont="1" applyBorder="1" applyAlignment="1">
      <alignment wrapText="1"/>
    </xf>
    <xf numFmtId="0" fontId="46" fillId="0" borderId="75" xfId="0" applyFont="1" applyBorder="1" applyAlignment="1">
      <alignment wrapText="1"/>
    </xf>
    <xf numFmtId="0" fontId="46" fillId="0" borderId="76" xfId="0" applyFont="1" applyBorder="1" applyAlignment="1">
      <alignment wrapText="1"/>
    </xf>
    <xf numFmtId="0" fontId="46" fillId="13" borderId="73" xfId="0" applyFont="1" applyFill="1" applyBorder="1" applyAlignment="1">
      <alignment vertical="center" wrapText="1"/>
    </xf>
    <xf numFmtId="2" fontId="46" fillId="0" borderId="24" xfId="0" applyNumberFormat="1" applyFont="1" applyBorder="1" applyAlignment="1">
      <alignment horizontal="center" vertical="center" wrapText="1"/>
    </xf>
    <xf numFmtId="0" fontId="46" fillId="13" borderId="25" xfId="0" applyFont="1" applyFill="1" applyBorder="1" applyAlignment="1">
      <alignment vertical="center" wrapText="1"/>
    </xf>
    <xf numFmtId="0" fontId="46" fillId="13" borderId="74" xfId="0" applyFont="1" applyFill="1" applyBorder="1" applyAlignment="1">
      <alignment vertical="center" wrapText="1"/>
    </xf>
    <xf numFmtId="0" fontId="46" fillId="0" borderId="20" xfId="0" applyFont="1" applyBorder="1" applyAlignment="1">
      <alignment wrapText="1"/>
    </xf>
    <xf numFmtId="0" fontId="47" fillId="0" borderId="20" xfId="0" applyFont="1" applyBorder="1" applyAlignment="1">
      <alignment wrapText="1"/>
    </xf>
    <xf numFmtId="0" fontId="47" fillId="0" borderId="1" xfId="0" applyFont="1" applyBorder="1" applyAlignment="1">
      <alignment wrapText="1"/>
    </xf>
    <xf numFmtId="0" fontId="46" fillId="0" borderId="1" xfId="0" applyFont="1" applyBorder="1" applyAlignment="1">
      <alignment horizontal="right" wrapText="1"/>
    </xf>
    <xf numFmtId="0" fontId="49" fillId="0" borderId="0" xfId="0" applyFont="1" applyAlignment="1"/>
    <xf numFmtId="0" fontId="46" fillId="0" borderId="17" xfId="0" applyFont="1" applyBorder="1" applyAlignment="1">
      <alignment wrapText="1"/>
    </xf>
    <xf numFmtId="0" fontId="46" fillId="18" borderId="24" xfId="0" applyFont="1" applyFill="1" applyBorder="1" applyAlignment="1">
      <alignment wrapText="1"/>
    </xf>
    <xf numFmtId="0" fontId="46" fillId="0" borderId="34" xfId="0" applyFont="1" applyBorder="1" applyAlignment="1">
      <alignment wrapText="1"/>
    </xf>
    <xf numFmtId="9" fontId="46" fillId="0" borderId="24" xfId="0" applyNumberFormat="1" applyFont="1" applyBorder="1" applyAlignment="1">
      <alignment vertical="center" wrapText="1"/>
    </xf>
    <xf numFmtId="10" fontId="46" fillId="0" borderId="24" xfId="0" applyNumberFormat="1" applyFont="1" applyBorder="1" applyAlignment="1">
      <alignment vertical="center" wrapText="1"/>
    </xf>
    <xf numFmtId="10" fontId="47" fillId="33" borderId="24" xfId="0" applyNumberFormat="1" applyFont="1" applyFill="1" applyBorder="1" applyAlignment="1">
      <alignment horizontal="center" vertical="center" wrapText="1"/>
    </xf>
    <xf numFmtId="165" fontId="47" fillId="10" borderId="47" xfId="0" applyNumberFormat="1" applyFont="1" applyFill="1" applyBorder="1" applyAlignment="1">
      <alignment horizontal="center" vertical="center" wrapText="1"/>
    </xf>
    <xf numFmtId="9" fontId="47" fillId="12" borderId="31" xfId="0" applyNumberFormat="1" applyFont="1" applyFill="1" applyBorder="1" applyAlignment="1">
      <alignment horizontal="center" vertical="center" wrapText="1"/>
    </xf>
    <xf numFmtId="165" fontId="47" fillId="31" borderId="47" xfId="0" applyNumberFormat="1" applyFont="1" applyFill="1" applyBorder="1" applyAlignment="1">
      <alignment horizontal="center" vertical="center" wrapText="1"/>
    </xf>
    <xf numFmtId="0" fontId="46" fillId="13" borderId="54" xfId="0" applyFont="1" applyFill="1" applyBorder="1" applyAlignment="1">
      <alignment vertical="center" wrapText="1"/>
    </xf>
    <xf numFmtId="0" fontId="46" fillId="13" borderId="113" xfId="0" applyFont="1" applyFill="1" applyBorder="1" applyAlignment="1">
      <alignment vertical="center" wrapText="1"/>
    </xf>
    <xf numFmtId="9" fontId="47" fillId="0" borderId="71" xfId="0" applyNumberFormat="1" applyFont="1" applyBorder="1" applyAlignment="1">
      <alignment horizontal="center" vertical="center" wrapText="1"/>
    </xf>
    <xf numFmtId="0" fontId="47" fillId="0" borderId="34" xfId="0" applyFont="1" applyBorder="1" applyAlignment="1">
      <alignment horizontal="center" vertical="center" wrapText="1"/>
    </xf>
    <xf numFmtId="9" fontId="46" fillId="0" borderId="47" xfId="0" applyNumberFormat="1" applyFont="1" applyBorder="1" applyAlignment="1">
      <alignment horizontal="center" vertical="center" wrapText="1"/>
    </xf>
    <xf numFmtId="9" fontId="47" fillId="0" borderId="111" xfId="0" applyNumberFormat="1" applyFont="1" applyBorder="1" applyAlignment="1">
      <alignment horizontal="center" vertical="center" wrapText="1"/>
    </xf>
    <xf numFmtId="165" fontId="47" fillId="0" borderId="111" xfId="0" applyNumberFormat="1" applyFont="1" applyBorder="1" applyAlignment="1">
      <alignment horizontal="center" vertical="center" wrapText="1"/>
    </xf>
    <xf numFmtId="165" fontId="46" fillId="0" borderId="47" xfId="0" applyNumberFormat="1" applyFont="1" applyBorder="1" applyAlignment="1">
      <alignment horizontal="center" vertical="center" wrapText="1"/>
    </xf>
    <xf numFmtId="0" fontId="46" fillId="0" borderId="113" xfId="0" applyFont="1" applyBorder="1" applyAlignment="1">
      <alignment wrapText="1"/>
    </xf>
    <xf numFmtId="9" fontId="47" fillId="12" borderId="114" xfId="0" applyNumberFormat="1" applyFont="1" applyFill="1" applyBorder="1" applyAlignment="1">
      <alignment horizontal="center" vertical="center" wrapText="1"/>
    </xf>
    <xf numFmtId="0" fontId="46" fillId="0" borderId="34" xfId="0" applyFont="1" applyBorder="1" applyAlignment="1">
      <alignment horizontal="center" vertical="center" wrapText="1"/>
    </xf>
    <xf numFmtId="9" fontId="47" fillId="7" borderId="114" xfId="0" applyNumberFormat="1" applyFont="1" applyFill="1" applyBorder="1" applyAlignment="1">
      <alignment horizontal="center" vertical="center" wrapText="1"/>
    </xf>
    <xf numFmtId="0" fontId="46" fillId="42" borderId="54" xfId="0" applyFont="1" applyFill="1" applyBorder="1" applyAlignment="1">
      <alignment vertical="center" wrapText="1"/>
    </xf>
    <xf numFmtId="0" fontId="46" fillId="18" borderId="24" xfId="0" applyFont="1" applyFill="1" applyBorder="1" applyAlignment="1">
      <alignment horizontal="center" vertical="center" wrapText="1"/>
    </xf>
    <xf numFmtId="0" fontId="46" fillId="42" borderId="113" xfId="0" applyFont="1" applyFill="1" applyBorder="1" applyAlignment="1">
      <alignment vertical="center" wrapText="1"/>
    </xf>
    <xf numFmtId="9" fontId="47" fillId="18" borderId="111" xfId="0" applyNumberFormat="1" applyFont="1" applyFill="1" applyBorder="1" applyAlignment="1">
      <alignment horizontal="center" vertical="center" wrapText="1"/>
    </xf>
    <xf numFmtId="9" fontId="47" fillId="17" borderId="111" xfId="0" applyNumberFormat="1" applyFont="1" applyFill="1" applyBorder="1" applyAlignment="1">
      <alignment horizontal="center" vertical="center" wrapText="1"/>
    </xf>
    <xf numFmtId="0" fontId="46" fillId="18" borderId="113" xfId="0" applyFont="1" applyFill="1" applyBorder="1" applyAlignment="1">
      <alignment wrapText="1"/>
    </xf>
    <xf numFmtId="2" fontId="46" fillId="18" borderId="24" xfId="0" applyNumberFormat="1" applyFont="1" applyFill="1" applyBorder="1" applyAlignment="1">
      <alignment horizontal="center" vertical="center" wrapText="1"/>
    </xf>
    <xf numFmtId="9" fontId="46" fillId="18" borderId="24" xfId="0" applyNumberFormat="1" applyFont="1" applyFill="1" applyBorder="1" applyAlignment="1">
      <alignment horizontal="center" vertical="center" wrapText="1"/>
    </xf>
    <xf numFmtId="167" fontId="46" fillId="0" borderId="24" xfId="0" applyNumberFormat="1" applyFont="1" applyBorder="1" applyAlignment="1">
      <alignment horizontal="center" vertical="center" wrapText="1"/>
    </xf>
    <xf numFmtId="0" fontId="45" fillId="0" borderId="24" xfId="0" applyFont="1" applyBorder="1" applyAlignment="1">
      <alignment horizontal="center" vertical="center"/>
    </xf>
    <xf numFmtId="10" fontId="47" fillId="10" borderId="47" xfId="0" applyNumberFormat="1" applyFont="1" applyFill="1" applyBorder="1" applyAlignment="1">
      <alignment horizontal="center" vertical="center" wrapText="1"/>
    </xf>
    <xf numFmtId="0" fontId="46" fillId="0" borderId="113" xfId="0" applyFont="1" applyBorder="1" applyAlignment="1">
      <alignment vertical="center" wrapText="1"/>
    </xf>
    <xf numFmtId="9" fontId="46" fillId="24" borderId="24" xfId="0" applyNumberFormat="1" applyFont="1" applyFill="1" applyBorder="1" applyAlignment="1">
      <alignment horizontal="left" vertical="center" wrapText="1"/>
    </xf>
    <xf numFmtId="0" fontId="46" fillId="17" borderId="113" xfId="0" applyFont="1" applyFill="1" applyBorder="1" applyAlignment="1">
      <alignment wrapText="1"/>
    </xf>
    <xf numFmtId="43" fontId="46" fillId="0" borderId="24" xfId="3" applyFont="1" applyBorder="1" applyAlignment="1">
      <alignment horizontal="center" vertical="center" wrapText="1"/>
    </xf>
    <xf numFmtId="0" fontId="46" fillId="18" borderId="113" xfId="0" applyFont="1" applyFill="1" applyBorder="1" applyAlignment="1">
      <alignment vertical="center" wrapText="1"/>
    </xf>
    <xf numFmtId="0" fontId="48" fillId="0" borderId="24" xfId="0" applyFont="1" applyBorder="1" applyAlignment="1">
      <alignment horizontal="center" vertical="center"/>
    </xf>
    <xf numFmtId="10" fontId="46" fillId="0" borderId="47" xfId="0" applyNumberFormat="1" applyFont="1" applyBorder="1" applyAlignment="1">
      <alignment horizontal="center" vertical="center" wrapText="1"/>
    </xf>
    <xf numFmtId="167" fontId="48" fillId="0" borderId="24" xfId="0" applyNumberFormat="1" applyFont="1" applyBorder="1" applyAlignment="1">
      <alignment horizontal="center" vertical="center"/>
    </xf>
    <xf numFmtId="0" fontId="46" fillId="48" borderId="113" xfId="0" applyFont="1" applyFill="1" applyBorder="1" applyAlignment="1">
      <alignment vertical="center" wrapText="1"/>
    </xf>
    <xf numFmtId="9" fontId="47" fillId="49" borderId="111" xfId="0" applyNumberFormat="1" applyFont="1" applyFill="1" applyBorder="1" applyAlignment="1">
      <alignment horizontal="center" vertical="center" wrapText="1"/>
    </xf>
    <xf numFmtId="0" fontId="46" fillId="0" borderId="126" xfId="0" applyFont="1" applyBorder="1" applyAlignment="1">
      <alignment wrapText="1"/>
    </xf>
    <xf numFmtId="0" fontId="48" fillId="18" borderId="24" xfId="0" applyFont="1" applyFill="1" applyBorder="1" applyAlignment="1"/>
    <xf numFmtId="0" fontId="51" fillId="0" borderId="22" xfId="0" applyFont="1" applyBorder="1" applyAlignment="1">
      <alignment wrapText="1"/>
    </xf>
    <xf numFmtId="0" fontId="51" fillId="0" borderId="34" xfId="0" applyFont="1" applyBorder="1" applyAlignment="1">
      <alignment wrapText="1"/>
    </xf>
    <xf numFmtId="9" fontId="53" fillId="0" borderId="24" xfId="0" applyNumberFormat="1" applyFont="1" applyBorder="1" applyAlignment="1">
      <alignment horizontal="center" vertical="center"/>
    </xf>
    <xf numFmtId="0" fontId="54" fillId="0" borderId="24" xfId="0" applyFont="1" applyBorder="1" applyAlignment="1"/>
    <xf numFmtId="165" fontId="51" fillId="0" borderId="24" xfId="0" applyNumberFormat="1" applyFont="1" applyBorder="1" applyAlignment="1">
      <alignment wrapText="1"/>
    </xf>
    <xf numFmtId="0" fontId="54" fillId="0" borderId="0" xfId="0" applyFont="1" applyAlignment="1"/>
    <xf numFmtId="0" fontId="46" fillId="0" borderId="4" xfId="0" applyFont="1" applyBorder="1" applyAlignment="1">
      <alignment wrapText="1"/>
    </xf>
    <xf numFmtId="0" fontId="46" fillId="0" borderId="19" xfId="0" applyFont="1" applyBorder="1" applyAlignment="1">
      <alignment wrapText="1"/>
    </xf>
    <xf numFmtId="0" fontId="46" fillId="0" borderId="16" xfId="0" applyFont="1" applyBorder="1" applyAlignment="1">
      <alignment wrapText="1"/>
    </xf>
    <xf numFmtId="165" fontId="47" fillId="7" borderId="34" xfId="0" applyNumberFormat="1" applyFont="1" applyFill="1" applyBorder="1" applyAlignment="1">
      <alignment horizontal="center" vertical="center" wrapText="1"/>
    </xf>
    <xf numFmtId="165" fontId="47" fillId="35" borderId="24" xfId="0" applyNumberFormat="1" applyFont="1" applyFill="1" applyBorder="1" applyAlignment="1">
      <alignment horizontal="center" vertical="center" wrapText="1"/>
    </xf>
    <xf numFmtId="9" fontId="47" fillId="12" borderId="110" xfId="0" applyNumberFormat="1" applyFont="1" applyFill="1" applyBorder="1" applyAlignment="1">
      <alignment horizontal="center" vertical="center" wrapText="1"/>
    </xf>
    <xf numFmtId="9" fontId="47" fillId="0" borderId="112" xfId="0" applyNumberFormat="1" applyFont="1" applyBorder="1" applyAlignment="1">
      <alignment horizontal="center" vertical="center" wrapText="1"/>
    </xf>
    <xf numFmtId="9" fontId="47" fillId="12" borderId="43" xfId="0" applyNumberFormat="1" applyFont="1" applyFill="1" applyBorder="1" applyAlignment="1">
      <alignment horizontal="center" vertical="center" wrapText="1"/>
    </xf>
    <xf numFmtId="9" fontId="47" fillId="12" borderId="115" xfId="0" applyNumberFormat="1" applyFont="1" applyFill="1" applyBorder="1" applyAlignment="1">
      <alignment horizontal="center" vertical="center" wrapText="1"/>
    </xf>
    <xf numFmtId="0" fontId="46" fillId="0" borderId="27" xfId="0" applyFont="1" applyBorder="1" applyAlignment="1">
      <alignment wrapText="1"/>
    </xf>
    <xf numFmtId="0" fontId="46" fillId="46" borderId="24" xfId="0" applyFont="1" applyFill="1" applyBorder="1" applyAlignment="1">
      <alignment wrapText="1"/>
    </xf>
    <xf numFmtId="43" fontId="47" fillId="0" borderId="34" xfId="3" applyFont="1" applyBorder="1" applyAlignment="1">
      <alignment horizontal="center" vertical="center" wrapText="1"/>
    </xf>
    <xf numFmtId="0" fontId="46" fillId="18" borderId="16" xfId="0" applyFont="1" applyFill="1" applyBorder="1" applyAlignment="1">
      <alignment wrapText="1"/>
    </xf>
    <xf numFmtId="0" fontId="46" fillId="24" borderId="24" xfId="0" applyFont="1" applyFill="1" applyBorder="1" applyAlignment="1">
      <alignment wrapText="1"/>
    </xf>
    <xf numFmtId="10" fontId="47" fillId="31" borderId="24" xfId="0" applyNumberFormat="1" applyFont="1" applyFill="1" applyBorder="1" applyAlignment="1">
      <alignment horizontal="center" vertical="center" wrapText="1"/>
    </xf>
    <xf numFmtId="3" fontId="45" fillId="18" borderId="24" xfId="0" applyNumberFormat="1" applyFont="1" applyFill="1" applyBorder="1" applyAlignment="1">
      <alignment horizontal="center" vertical="center" wrapText="1"/>
    </xf>
    <xf numFmtId="4" fontId="45" fillId="18" borderId="24" xfId="0" applyNumberFormat="1" applyFont="1" applyFill="1" applyBorder="1" applyAlignment="1">
      <alignment horizontal="center" vertical="center" wrapText="1"/>
    </xf>
    <xf numFmtId="9" fontId="47" fillId="0" borderId="43" xfId="0" applyNumberFormat="1" applyFont="1" applyBorder="1" applyAlignment="1">
      <alignment horizontal="center" vertical="center" wrapText="1"/>
    </xf>
    <xf numFmtId="3" fontId="45" fillId="18" borderId="31" xfId="0" applyNumberFormat="1" applyFont="1" applyFill="1" applyBorder="1" applyAlignment="1">
      <alignment horizontal="center" vertical="center" wrapText="1"/>
    </xf>
    <xf numFmtId="9" fontId="46" fillId="24" borderId="31" xfId="0" applyNumberFormat="1" applyFont="1" applyFill="1" applyBorder="1" applyAlignment="1">
      <alignment horizontal="center" vertical="center" wrapText="1"/>
    </xf>
    <xf numFmtId="9" fontId="46" fillId="24" borderId="51" xfId="0" applyNumberFormat="1" applyFont="1" applyFill="1" applyBorder="1" applyAlignment="1">
      <alignment horizontal="center" vertical="center" wrapText="1"/>
    </xf>
    <xf numFmtId="0" fontId="41" fillId="0" borderId="19" xfId="0" applyFont="1" applyBorder="1" applyAlignment="1">
      <alignment wrapText="1"/>
    </xf>
    <xf numFmtId="9" fontId="25" fillId="0" borderId="115" xfId="0" applyNumberFormat="1" applyFont="1" applyBorder="1" applyAlignment="1">
      <alignment horizontal="center" vertical="center" wrapText="1"/>
    </xf>
    <xf numFmtId="0" fontId="42" fillId="0" borderId="109" xfId="0" applyFont="1" applyBorder="1" applyAlignment="1"/>
    <xf numFmtId="0" fontId="42" fillId="0" borderId="51" xfId="0" applyFont="1" applyBorder="1" applyAlignment="1"/>
    <xf numFmtId="10" fontId="25" fillId="8" borderId="51" xfId="0" applyNumberFormat="1" applyFont="1" applyFill="1" applyBorder="1" applyAlignment="1">
      <alignment vertical="center" wrapText="1"/>
    </xf>
    <xf numFmtId="0" fontId="41" fillId="0" borderId="51" xfId="0" applyFont="1" applyBorder="1" applyAlignment="1">
      <alignment wrapText="1"/>
    </xf>
    <xf numFmtId="0" fontId="57" fillId="0" borderId="3" xfId="0" applyFont="1" applyBorder="1" applyAlignment="1">
      <alignment wrapText="1"/>
    </xf>
    <xf numFmtId="0" fontId="58" fillId="0" borderId="3" xfId="0" applyFont="1" applyBorder="1" applyAlignment="1">
      <alignment wrapText="1"/>
    </xf>
    <xf numFmtId="0" fontId="59" fillId="0" borderId="0" xfId="0" applyFont="1" applyAlignment="1"/>
    <xf numFmtId="0" fontId="57" fillId="0" borderId="27" xfId="0" applyFont="1" applyBorder="1" applyAlignment="1">
      <alignment wrapText="1"/>
    </xf>
    <xf numFmtId="0" fontId="58" fillId="3" borderId="123" xfId="0" applyFont="1" applyFill="1" applyBorder="1" applyAlignment="1">
      <alignment horizontal="center" vertical="center" wrapText="1"/>
    </xf>
    <xf numFmtId="0" fontId="58" fillId="4" borderId="138" xfId="0" applyFont="1" applyFill="1" applyBorder="1" applyAlignment="1">
      <alignment horizontal="center" vertical="center" wrapText="1"/>
    </xf>
    <xf numFmtId="0" fontId="58" fillId="4" borderId="139" xfId="0" applyFont="1" applyFill="1" applyBorder="1" applyAlignment="1">
      <alignment horizontal="center" vertical="center" wrapText="1"/>
    </xf>
    <xf numFmtId="0" fontId="58" fillId="47" borderId="141" xfId="0" applyFont="1" applyFill="1" applyBorder="1" applyAlignment="1">
      <alignment horizontal="center" vertical="center" wrapText="1"/>
    </xf>
    <xf numFmtId="0" fontId="57" fillId="0" borderId="1" xfId="0" applyFont="1" applyBorder="1" applyAlignment="1">
      <alignment wrapText="1"/>
    </xf>
    <xf numFmtId="0" fontId="59" fillId="0" borderId="70" xfId="0" applyFont="1" applyBorder="1" applyAlignment="1"/>
    <xf numFmtId="0" fontId="57" fillId="0" borderId="20" xfId="0" applyFont="1" applyBorder="1" applyAlignment="1">
      <alignment wrapText="1"/>
    </xf>
    <xf numFmtId="0" fontId="57" fillId="0" borderId="22" xfId="0" applyFont="1" applyBorder="1" applyAlignment="1">
      <alignment wrapText="1"/>
    </xf>
    <xf numFmtId="0" fontId="57" fillId="0" borderId="53" xfId="0" applyFont="1" applyBorder="1" applyAlignment="1">
      <alignment vertical="center" wrapText="1"/>
    </xf>
    <xf numFmtId="9" fontId="58" fillId="7" borderId="24" xfId="0" applyNumberFormat="1" applyFont="1" applyFill="1" applyBorder="1" applyAlignment="1">
      <alignment horizontal="center" vertical="center" wrapText="1"/>
    </xf>
    <xf numFmtId="165" fontId="58" fillId="10" borderId="24" xfId="0" applyNumberFormat="1" applyFont="1" applyFill="1" applyBorder="1" applyAlignment="1">
      <alignment horizontal="center" vertical="center" wrapText="1"/>
    </xf>
    <xf numFmtId="165" fontId="58" fillId="33" borderId="24" xfId="0" applyNumberFormat="1" applyFont="1" applyFill="1" applyBorder="1" applyAlignment="1">
      <alignment horizontal="center" vertical="center" wrapText="1"/>
    </xf>
    <xf numFmtId="9" fontId="58" fillId="12" borderId="29" xfId="0" applyNumberFormat="1" applyFont="1" applyFill="1" applyBorder="1" applyAlignment="1">
      <alignment horizontal="center" vertical="center" wrapText="1"/>
    </xf>
    <xf numFmtId="0" fontId="57" fillId="0" borderId="24" xfId="0" applyFont="1" applyBorder="1" applyAlignment="1">
      <alignment wrapText="1"/>
    </xf>
    <xf numFmtId="165" fontId="58" fillId="31" borderId="24" xfId="0" applyNumberFormat="1" applyFont="1" applyFill="1" applyBorder="1" applyAlignment="1">
      <alignment horizontal="center" vertical="center" wrapText="1"/>
    </xf>
    <xf numFmtId="9" fontId="58" fillId="0" borderId="6" xfId="0" applyNumberFormat="1" applyFont="1" applyBorder="1" applyAlignment="1">
      <alignment horizontal="center" vertical="center" wrapText="1"/>
    </xf>
    <xf numFmtId="0" fontId="58" fillId="0" borderId="14" xfId="0" applyFont="1" applyBorder="1" applyAlignment="1">
      <alignment horizontal="center" vertical="center" wrapText="1"/>
    </xf>
    <xf numFmtId="0" fontId="59" fillId="18" borderId="47" xfId="0" applyFont="1" applyFill="1" applyBorder="1" applyAlignment="1">
      <alignment horizontal="center" vertical="center"/>
    </xf>
    <xf numFmtId="0" fontId="59" fillId="18" borderId="24" xfId="0" applyFont="1" applyFill="1" applyBorder="1" applyAlignment="1">
      <alignment horizontal="center" vertical="center"/>
    </xf>
    <xf numFmtId="167" fontId="57" fillId="0" borderId="29" xfId="0" applyNumberFormat="1" applyFont="1" applyBorder="1" applyAlignment="1">
      <alignment horizontal="center" vertical="center" wrapText="1"/>
    </xf>
    <xf numFmtId="167" fontId="57" fillId="0" borderId="14" xfId="0" applyNumberFormat="1" applyFont="1" applyBorder="1" applyAlignment="1">
      <alignment horizontal="center" vertical="center" wrapText="1"/>
    </xf>
    <xf numFmtId="0" fontId="57" fillId="0" borderId="14" xfId="0" applyFont="1" applyBorder="1" applyAlignment="1">
      <alignment horizontal="center" vertical="center" wrapText="1"/>
    </xf>
    <xf numFmtId="0" fontId="57" fillId="20" borderId="14" xfId="0" applyFont="1" applyFill="1" applyBorder="1" applyAlignment="1">
      <alignment horizontal="center" vertical="center" wrapText="1"/>
    </xf>
    <xf numFmtId="165" fontId="57" fillId="0" borderId="45" xfId="0" applyNumberFormat="1" applyFont="1" applyBorder="1" applyAlignment="1">
      <alignment horizontal="center" vertical="center" wrapText="1"/>
    </xf>
    <xf numFmtId="165" fontId="57" fillId="0" borderId="24" xfId="0" applyNumberFormat="1" applyFont="1" applyBorder="1" applyAlignment="1">
      <alignment horizontal="center" vertical="center" wrapText="1"/>
    </xf>
    <xf numFmtId="9" fontId="57" fillId="0" borderId="29" xfId="0" applyNumberFormat="1" applyFont="1" applyBorder="1" applyAlignment="1">
      <alignment horizontal="center" vertical="center" wrapText="1"/>
    </xf>
    <xf numFmtId="9" fontId="57" fillId="0" borderId="14" xfId="0" applyNumberFormat="1" applyFont="1" applyBorder="1" applyAlignment="1">
      <alignment horizontal="center" vertical="center" wrapText="1"/>
    </xf>
    <xf numFmtId="2" fontId="57" fillId="0" borderId="14" xfId="0" applyNumberFormat="1" applyFont="1" applyBorder="1" applyAlignment="1">
      <alignment horizontal="center" vertical="center" wrapText="1"/>
    </xf>
    <xf numFmtId="2" fontId="57" fillId="20" borderId="14" xfId="0" applyNumberFormat="1" applyFont="1" applyFill="1" applyBorder="1" applyAlignment="1">
      <alignment horizontal="center" vertical="center" wrapText="1"/>
    </xf>
    <xf numFmtId="10" fontId="57" fillId="0" borderId="24" xfId="0" applyNumberFormat="1" applyFont="1" applyBorder="1" applyAlignment="1">
      <alignment horizontal="center" vertical="center" wrapText="1"/>
    </xf>
    <xf numFmtId="0" fontId="58" fillId="0" borderId="14" xfId="0" applyFont="1" applyBorder="1" applyAlignment="1">
      <alignment wrapText="1"/>
    </xf>
    <xf numFmtId="0" fontId="57" fillId="0" borderId="45" xfId="0" applyFont="1" applyBorder="1" applyAlignment="1">
      <alignment wrapText="1"/>
    </xf>
    <xf numFmtId="165" fontId="58" fillId="31" borderId="29" xfId="0" applyNumberFormat="1" applyFont="1" applyFill="1" applyBorder="1" applyAlignment="1">
      <alignment horizontal="center" vertical="center" wrapText="1"/>
    </xf>
    <xf numFmtId="165" fontId="58" fillId="31" borderId="14" xfId="0" applyNumberFormat="1" applyFont="1" applyFill="1" applyBorder="1" applyAlignment="1">
      <alignment horizontal="center" vertical="center" wrapText="1"/>
    </xf>
    <xf numFmtId="0" fontId="57" fillId="0" borderId="14" xfId="0" applyFont="1" applyBorder="1" applyAlignment="1">
      <alignment vertical="center" wrapText="1"/>
    </xf>
    <xf numFmtId="0" fontId="57" fillId="0" borderId="45" xfId="0" applyFont="1" applyBorder="1" applyAlignment="1">
      <alignment horizontal="center" vertical="center" wrapText="1"/>
    </xf>
    <xf numFmtId="0" fontId="57" fillId="0" borderId="24" xfId="0" applyFont="1" applyBorder="1" applyAlignment="1">
      <alignment horizontal="center" vertical="center" wrapText="1"/>
    </xf>
    <xf numFmtId="165" fontId="57" fillId="0" borderId="45" xfId="0" applyNumberFormat="1" applyFont="1" applyBorder="1" applyAlignment="1">
      <alignment horizontal="center" wrapText="1"/>
    </xf>
    <xf numFmtId="169" fontId="57" fillId="0" borderId="45" xfId="3" applyNumberFormat="1" applyFont="1" applyBorder="1" applyAlignment="1">
      <alignment horizontal="center" vertical="center" wrapText="1"/>
    </xf>
    <xf numFmtId="169" fontId="57" fillId="0" borderId="14" xfId="3" applyNumberFormat="1" applyFont="1" applyBorder="1" applyAlignment="1">
      <alignment horizontal="center" vertical="center" wrapText="1"/>
    </xf>
    <xf numFmtId="0" fontId="57" fillId="18" borderId="14" xfId="0" applyFont="1" applyFill="1" applyBorder="1" applyAlignment="1">
      <alignment horizontal="center" vertical="center" wrapText="1"/>
    </xf>
    <xf numFmtId="9" fontId="58" fillId="18" borderId="6" xfId="0" applyNumberFormat="1" applyFont="1" applyFill="1" applyBorder="1" applyAlignment="1">
      <alignment horizontal="center" vertical="center" wrapText="1"/>
    </xf>
    <xf numFmtId="164" fontId="57" fillId="0" borderId="24" xfId="0" applyNumberFormat="1" applyFont="1" applyBorder="1" applyAlignment="1">
      <alignment horizontal="center" vertical="center" wrapText="1"/>
    </xf>
    <xf numFmtId="165" fontId="58" fillId="12" borderId="29" xfId="0" applyNumberFormat="1" applyFont="1" applyFill="1" applyBorder="1" applyAlignment="1">
      <alignment horizontal="center" vertical="center" wrapText="1"/>
    </xf>
    <xf numFmtId="9" fontId="58" fillId="0" borderId="21" xfId="0" applyNumberFormat="1" applyFont="1" applyBorder="1" applyAlignment="1">
      <alignment horizontal="center" vertical="center" wrapText="1"/>
    </xf>
    <xf numFmtId="0" fontId="58" fillId="0" borderId="29" xfId="0" applyFont="1" applyBorder="1" applyAlignment="1">
      <alignment horizontal="center" vertical="center" wrapText="1"/>
    </xf>
    <xf numFmtId="0" fontId="57" fillId="0" borderId="84" xfId="0" applyFont="1" applyBorder="1" applyAlignment="1">
      <alignment vertical="center" wrapText="1"/>
    </xf>
    <xf numFmtId="9" fontId="58" fillId="7" borderId="29" xfId="0" applyNumberFormat="1" applyFont="1" applyFill="1" applyBorder="1" applyAlignment="1">
      <alignment horizontal="center" vertical="center" wrapText="1"/>
    </xf>
    <xf numFmtId="9" fontId="58" fillId="7" borderId="14" xfId="0" applyNumberFormat="1" applyFont="1" applyFill="1" applyBorder="1" applyAlignment="1">
      <alignment horizontal="center" vertical="center" wrapText="1"/>
    </xf>
    <xf numFmtId="165" fontId="58" fillId="40" borderId="29" xfId="0" applyNumberFormat="1" applyFont="1" applyFill="1" applyBorder="1" applyAlignment="1">
      <alignment horizontal="center" vertical="center" wrapText="1"/>
    </xf>
    <xf numFmtId="165" fontId="58" fillId="10" borderId="14" xfId="0" applyNumberFormat="1" applyFont="1" applyFill="1" applyBorder="1" applyAlignment="1">
      <alignment horizontal="center" vertical="center" wrapText="1"/>
    </xf>
    <xf numFmtId="0" fontId="57" fillId="0" borderId="14" xfId="0" applyFont="1" applyBorder="1" applyAlignment="1">
      <alignment wrapText="1"/>
    </xf>
    <xf numFmtId="165" fontId="58" fillId="33" borderId="45" xfId="0" applyNumberFormat="1" applyFont="1" applyFill="1" applyBorder="1" applyAlignment="1">
      <alignment horizontal="center" vertical="center" wrapText="1"/>
    </xf>
    <xf numFmtId="165" fontId="58" fillId="4" borderId="24" xfId="0" applyNumberFormat="1" applyFont="1" applyFill="1" applyBorder="1" applyAlignment="1">
      <alignment horizontal="center" vertical="center" wrapText="1"/>
    </xf>
    <xf numFmtId="0" fontId="57" fillId="18" borderId="58" xfId="0" applyFont="1" applyFill="1" applyBorder="1" applyAlignment="1">
      <alignment vertical="center" wrapText="1"/>
    </xf>
    <xf numFmtId="0" fontId="57" fillId="0" borderId="54" xfId="0" applyFont="1" applyBorder="1" applyAlignment="1">
      <alignment vertical="center" wrapText="1"/>
    </xf>
    <xf numFmtId="43" fontId="58" fillId="0" borderId="14" xfId="3" applyFont="1" applyBorder="1" applyAlignment="1">
      <alignment horizontal="center" vertical="center" wrapText="1"/>
    </xf>
    <xf numFmtId="165" fontId="57" fillId="0" borderId="14" xfId="1" applyNumberFormat="1" applyFont="1" applyBorder="1" applyAlignment="1">
      <alignment horizontal="center" vertical="center" wrapText="1"/>
    </xf>
    <xf numFmtId="165" fontId="58" fillId="33" borderId="29" xfId="0" applyNumberFormat="1" applyFont="1" applyFill="1" applyBorder="1" applyAlignment="1">
      <alignment horizontal="center" vertical="center" wrapText="1"/>
    </xf>
    <xf numFmtId="165" fontId="58" fillId="35" borderId="14" xfId="0" applyNumberFormat="1" applyFont="1" applyFill="1" applyBorder="1" applyAlignment="1">
      <alignment horizontal="center" vertical="center" wrapText="1"/>
    </xf>
    <xf numFmtId="165" fontId="58" fillId="37" borderId="24" xfId="0" applyNumberFormat="1" applyFont="1" applyFill="1" applyBorder="1" applyAlignment="1">
      <alignment horizontal="center" vertical="center" wrapText="1"/>
    </xf>
    <xf numFmtId="9" fontId="57" fillId="18" borderId="29" xfId="0" applyNumberFormat="1" applyFont="1" applyFill="1" applyBorder="1" applyAlignment="1">
      <alignment horizontal="center" vertical="center" wrapText="1"/>
    </xf>
    <xf numFmtId="9" fontId="57" fillId="18" borderId="14" xfId="0" applyNumberFormat="1" applyFont="1" applyFill="1" applyBorder="1" applyAlignment="1">
      <alignment horizontal="center" vertical="center" wrapText="1"/>
    </xf>
    <xf numFmtId="0" fontId="57" fillId="0" borderId="23" xfId="0" applyFont="1" applyBorder="1" applyAlignment="1">
      <alignment horizontal="center" vertical="center" wrapText="1"/>
    </xf>
    <xf numFmtId="0" fontId="57" fillId="0" borderId="57" xfId="0" applyFont="1" applyBorder="1" applyAlignment="1">
      <alignment vertical="center" wrapText="1"/>
    </xf>
    <xf numFmtId="165" fontId="58" fillId="33" borderId="137" xfId="0" applyNumberFormat="1" applyFont="1" applyFill="1" applyBorder="1" applyAlignment="1">
      <alignment horizontal="center" vertical="center" wrapText="1"/>
    </xf>
    <xf numFmtId="165" fontId="58" fillId="35" borderId="24" xfId="0" applyNumberFormat="1" applyFont="1" applyFill="1" applyBorder="1" applyAlignment="1">
      <alignment horizontal="center" vertical="center" wrapText="1"/>
    </xf>
    <xf numFmtId="0" fontId="57" fillId="0" borderId="24" xfId="0" applyFont="1" applyBorder="1" applyAlignment="1">
      <alignment vertical="center" wrapText="1"/>
    </xf>
    <xf numFmtId="3" fontId="59" fillId="0" borderId="24" xfId="0" applyNumberFormat="1" applyFont="1" applyBorder="1" applyAlignment="1">
      <alignment horizontal="center" vertical="center" wrapText="1"/>
    </xf>
    <xf numFmtId="165" fontId="57" fillId="0" borderId="137" xfId="0" applyNumberFormat="1" applyFont="1" applyBorder="1" applyAlignment="1">
      <alignment horizontal="center" vertical="center" wrapText="1"/>
    </xf>
    <xf numFmtId="0" fontId="59" fillId="0" borderId="47" xfId="0" applyFont="1" applyFill="1" applyBorder="1" applyAlignment="1">
      <alignment horizontal="center" vertical="center" wrapText="1"/>
    </xf>
    <xf numFmtId="0" fontId="57" fillId="18" borderId="24" xfId="0" applyFont="1" applyFill="1" applyBorder="1" applyAlignment="1">
      <alignment horizontal="center" vertical="center" wrapText="1"/>
    </xf>
    <xf numFmtId="9" fontId="58" fillId="22" borderId="29" xfId="1" applyFont="1" applyFill="1" applyBorder="1" applyAlignment="1">
      <alignment horizontal="center" vertical="center" wrapText="1"/>
    </xf>
    <xf numFmtId="0" fontId="62" fillId="0" borderId="47" xfId="0" applyFont="1" applyBorder="1" applyAlignment="1">
      <alignment horizontal="center" vertical="center" wrapText="1"/>
    </xf>
    <xf numFmtId="0" fontId="62" fillId="0" borderId="24" xfId="0" applyFont="1" applyBorder="1" applyAlignment="1">
      <alignment horizontal="center" vertical="center" wrapText="1"/>
    </xf>
    <xf numFmtId="0" fontId="59" fillId="0" borderId="24" xfId="0" applyFont="1" applyBorder="1" applyAlignment="1">
      <alignment horizontal="center" vertical="center"/>
    </xf>
    <xf numFmtId="9" fontId="57" fillId="0" borderId="85" xfId="0" applyNumberFormat="1" applyFont="1" applyBorder="1" applyAlignment="1">
      <alignment horizontal="center" vertical="center" wrapText="1"/>
    </xf>
    <xf numFmtId="9" fontId="57" fillId="0" borderId="23" xfId="0" applyNumberFormat="1" applyFont="1" applyBorder="1" applyAlignment="1">
      <alignment horizontal="center" vertical="center" wrapText="1"/>
    </xf>
    <xf numFmtId="9" fontId="57" fillId="0" borderId="137" xfId="0" applyNumberFormat="1" applyFont="1" applyBorder="1" applyAlignment="1">
      <alignment horizontal="center" vertical="center" wrapText="1"/>
    </xf>
    <xf numFmtId="9" fontId="57" fillId="0" borderId="24" xfId="0" applyNumberFormat="1" applyFont="1" applyBorder="1" applyAlignment="1">
      <alignment horizontal="center" vertical="center" wrapText="1"/>
    </xf>
    <xf numFmtId="165" fontId="58" fillId="40" borderId="137" xfId="0" applyNumberFormat="1" applyFont="1" applyFill="1" applyBorder="1" applyAlignment="1">
      <alignment horizontal="center" vertical="center" wrapText="1"/>
    </xf>
    <xf numFmtId="165" fontId="58" fillId="40" borderId="24" xfId="0" applyNumberFormat="1" applyFont="1" applyFill="1" applyBorder="1" applyAlignment="1">
      <alignment horizontal="center" vertical="center" wrapText="1"/>
    </xf>
    <xf numFmtId="0" fontId="57" fillId="18" borderId="24" xfId="0" applyFont="1" applyFill="1" applyBorder="1" applyAlignment="1">
      <alignment wrapText="1"/>
    </xf>
    <xf numFmtId="165" fontId="58" fillId="31" borderId="137" xfId="0" applyNumberFormat="1" applyFont="1" applyFill="1" applyBorder="1" applyAlignment="1">
      <alignment horizontal="center" vertical="center" wrapText="1"/>
    </xf>
    <xf numFmtId="0" fontId="57" fillId="18" borderId="24" xfId="0" applyFont="1" applyFill="1" applyBorder="1" applyAlignment="1">
      <alignment vertical="center" wrapText="1"/>
    </xf>
    <xf numFmtId="0" fontId="63" fillId="18" borderId="24" xfId="0" applyFont="1" applyFill="1" applyBorder="1" applyAlignment="1">
      <alignment horizontal="center" vertical="center" wrapText="1"/>
    </xf>
    <xf numFmtId="0" fontId="57" fillId="18" borderId="47" xfId="0" applyFont="1" applyFill="1" applyBorder="1" applyAlignment="1">
      <alignment horizontal="center" vertical="center" wrapText="1"/>
    </xf>
    <xf numFmtId="9" fontId="57" fillId="0" borderId="136" xfId="0" applyNumberFormat="1" applyFont="1" applyBorder="1" applyAlignment="1">
      <alignment horizontal="center" vertical="center" wrapText="1"/>
    </xf>
    <xf numFmtId="0" fontId="58" fillId="0" borderId="23" xfId="0" applyFont="1" applyBorder="1" applyAlignment="1">
      <alignment horizontal="center" vertical="center" wrapText="1"/>
    </xf>
    <xf numFmtId="165" fontId="57" fillId="0" borderId="142" xfId="0" applyNumberFormat="1" applyFont="1" applyBorder="1" applyAlignment="1">
      <alignment horizontal="center" vertical="center" wrapText="1"/>
    </xf>
    <xf numFmtId="9" fontId="58" fillId="12" borderId="34" xfId="0" applyNumberFormat="1" applyFont="1" applyFill="1" applyBorder="1" applyAlignment="1">
      <alignment horizontal="center" vertical="center" wrapText="1"/>
    </xf>
    <xf numFmtId="0" fontId="58" fillId="0" borderId="24" xfId="0" applyFont="1" applyBorder="1" applyAlignment="1">
      <alignment horizontal="center" vertical="center" wrapText="1"/>
    </xf>
    <xf numFmtId="165" fontId="58" fillId="31" borderId="34" xfId="0" applyNumberFormat="1" applyFont="1" applyFill="1" applyBorder="1" applyAlignment="1">
      <alignment horizontal="center" vertical="center" wrapText="1"/>
    </xf>
    <xf numFmtId="165" fontId="58" fillId="31" borderId="47" xfId="0" applyNumberFormat="1" applyFont="1" applyFill="1" applyBorder="1" applyAlignment="1">
      <alignment horizontal="center" vertical="center" wrapText="1"/>
    </xf>
    <xf numFmtId="9" fontId="57" fillId="0" borderId="34" xfId="0" applyNumberFormat="1" applyFont="1" applyBorder="1" applyAlignment="1">
      <alignment horizontal="center" vertical="center" wrapText="1"/>
    </xf>
    <xf numFmtId="165" fontId="57" fillId="0" borderId="113" xfId="0" applyNumberFormat="1" applyFont="1" applyBorder="1" applyAlignment="1">
      <alignment horizontal="center" vertical="center" wrapText="1"/>
    </xf>
    <xf numFmtId="0" fontId="58" fillId="0" borderId="20" xfId="0" applyFont="1" applyBorder="1" applyAlignment="1">
      <alignment wrapText="1"/>
    </xf>
    <xf numFmtId="0" fontId="58" fillId="0" borderId="1" xfId="0" applyFont="1" applyBorder="1" applyAlignment="1">
      <alignment wrapText="1"/>
    </xf>
    <xf numFmtId="0" fontId="60" fillId="0" borderId="0" xfId="0" applyFont="1" applyAlignment="1"/>
    <xf numFmtId="164" fontId="46" fillId="0" borderId="1" xfId="0" applyNumberFormat="1" applyFont="1" applyBorder="1" applyAlignment="1">
      <alignment wrapText="1"/>
    </xf>
    <xf numFmtId="0" fontId="46" fillId="0" borderId="2" xfId="0" applyFont="1" applyBorder="1" applyAlignment="1">
      <alignment wrapText="1"/>
    </xf>
    <xf numFmtId="0" fontId="46" fillId="18" borderId="31" xfId="0" applyFont="1" applyFill="1" applyBorder="1" applyAlignment="1">
      <alignment wrapText="1"/>
    </xf>
    <xf numFmtId="0" fontId="46" fillId="0" borderId="49" xfId="0" applyFont="1" applyBorder="1" applyAlignment="1">
      <alignment wrapText="1"/>
    </xf>
    <xf numFmtId="0" fontId="46" fillId="0" borderId="26" xfId="0" applyFont="1" applyBorder="1" applyAlignment="1">
      <alignment vertical="center" wrapText="1"/>
    </xf>
    <xf numFmtId="0" fontId="46" fillId="0" borderId="6" xfId="0" applyFont="1" applyBorder="1" applyAlignment="1">
      <alignment vertical="center" wrapText="1"/>
    </xf>
    <xf numFmtId="0" fontId="46" fillId="0" borderId="9" xfId="0" applyFont="1" applyBorder="1" applyAlignment="1">
      <alignment vertical="center" wrapText="1"/>
    </xf>
    <xf numFmtId="0" fontId="46" fillId="0" borderId="6" xfId="0" applyFont="1" applyBorder="1" applyAlignment="1">
      <alignment wrapText="1"/>
    </xf>
    <xf numFmtId="0" fontId="46" fillId="0" borderId="10" xfId="0" applyFont="1" applyBorder="1" applyAlignment="1">
      <alignment wrapText="1"/>
    </xf>
    <xf numFmtId="0" fontId="46" fillId="0" borderId="11" xfId="0" applyFont="1" applyBorder="1" applyAlignment="1">
      <alignment wrapText="1"/>
    </xf>
    <xf numFmtId="0" fontId="46" fillId="17" borderId="10" xfId="0" applyFont="1" applyFill="1" applyBorder="1" applyAlignment="1">
      <alignment wrapText="1"/>
    </xf>
    <xf numFmtId="0" fontId="46" fillId="0" borderId="10" xfId="0" applyFont="1" applyBorder="1" applyAlignment="1">
      <alignment vertical="center" wrapText="1"/>
    </xf>
    <xf numFmtId="0" fontId="46" fillId="18" borderId="10" xfId="0" applyFont="1" applyFill="1" applyBorder="1" applyAlignment="1">
      <alignment wrapText="1"/>
    </xf>
    <xf numFmtId="0" fontId="61" fillId="11" borderId="8" xfId="0" applyFont="1" applyFill="1" applyBorder="1" applyAlignment="1">
      <alignment vertical="center" wrapText="1"/>
    </xf>
    <xf numFmtId="0" fontId="61" fillId="11" borderId="9" xfId="0" applyFont="1" applyFill="1" applyBorder="1" applyAlignment="1">
      <alignment vertical="center" wrapText="1"/>
    </xf>
    <xf numFmtId="0" fontId="57" fillId="29" borderId="10" xfId="0" applyFont="1" applyFill="1" applyBorder="1" applyAlignment="1">
      <alignment vertical="center" wrapText="1"/>
    </xf>
    <xf numFmtId="0" fontId="57" fillId="0" borderId="1" xfId="0" applyFont="1" applyBorder="1" applyAlignment="1">
      <alignment horizontal="right" wrapText="1"/>
    </xf>
    <xf numFmtId="0" fontId="58" fillId="0" borderId="3" xfId="0" applyFont="1" applyBorder="1" applyAlignment="1">
      <alignment horizontal="center" wrapText="1"/>
    </xf>
    <xf numFmtId="10" fontId="57" fillId="0" borderId="3" xfId="1" applyNumberFormat="1" applyFont="1" applyBorder="1" applyAlignment="1">
      <alignment wrapText="1"/>
    </xf>
    <xf numFmtId="0" fontId="58" fillId="4" borderId="25" xfId="0" applyFont="1" applyFill="1" applyBorder="1" applyAlignment="1">
      <alignment horizontal="center" vertical="center" wrapText="1"/>
    </xf>
    <xf numFmtId="9" fontId="58" fillId="0" borderId="116" xfId="0" applyNumberFormat="1" applyFont="1" applyBorder="1" applyAlignment="1">
      <alignment horizontal="center" vertical="center" wrapText="1"/>
    </xf>
    <xf numFmtId="0" fontId="59" fillId="0" borderId="38" xfId="0" applyFont="1" applyBorder="1" applyAlignment="1"/>
    <xf numFmtId="0" fontId="59" fillId="0" borderId="44" xfId="0" applyFont="1" applyBorder="1" applyAlignment="1"/>
    <xf numFmtId="165" fontId="58" fillId="8" borderId="26" xfId="0" applyNumberFormat="1" applyFont="1" applyFill="1" applyBorder="1" applyAlignment="1">
      <alignment horizontal="center" vertical="center" wrapText="1"/>
    </xf>
    <xf numFmtId="0" fontId="57" fillId="0" borderId="41" xfId="0" applyFont="1" applyBorder="1" applyAlignment="1">
      <alignment vertical="center" wrapText="1"/>
    </xf>
    <xf numFmtId="10" fontId="58" fillId="7" borderId="13" xfId="0" applyNumberFormat="1" applyFont="1" applyFill="1" applyBorder="1" applyAlignment="1">
      <alignment horizontal="center" vertical="center" wrapText="1"/>
    </xf>
    <xf numFmtId="10" fontId="58" fillId="7" borderId="25" xfId="0" applyNumberFormat="1" applyFont="1" applyFill="1" applyBorder="1" applyAlignment="1">
      <alignment horizontal="center" vertical="center" wrapText="1"/>
    </xf>
    <xf numFmtId="165" fontId="58" fillId="33" borderId="9" xfId="0" applyNumberFormat="1" applyFont="1" applyFill="1" applyBorder="1" applyAlignment="1">
      <alignment horizontal="center" vertical="center" wrapText="1"/>
    </xf>
    <xf numFmtId="165" fontId="58" fillId="10" borderId="9" xfId="0" applyNumberFormat="1" applyFont="1" applyFill="1" applyBorder="1" applyAlignment="1">
      <alignment horizontal="center" vertical="center" wrapText="1"/>
    </xf>
    <xf numFmtId="10" fontId="57" fillId="0" borderId="26" xfId="0" applyNumberFormat="1" applyFont="1" applyBorder="1" applyAlignment="1">
      <alignment vertical="center" wrapText="1"/>
    </xf>
    <xf numFmtId="9" fontId="58" fillId="12" borderId="9" xfId="0" applyNumberFormat="1" applyFont="1" applyFill="1" applyBorder="1" applyAlignment="1">
      <alignment horizontal="center" vertical="center" wrapText="1"/>
    </xf>
    <xf numFmtId="0" fontId="57" fillId="0" borderId="26" xfId="0" applyFont="1" applyBorder="1" applyAlignment="1">
      <alignment vertical="center" wrapText="1"/>
    </xf>
    <xf numFmtId="165" fontId="58" fillId="31" borderId="9" xfId="0" applyNumberFormat="1" applyFont="1" applyFill="1" applyBorder="1" applyAlignment="1">
      <alignment horizontal="center" vertical="center" wrapText="1"/>
    </xf>
    <xf numFmtId="0" fontId="57" fillId="0" borderId="6" xfId="0" applyFont="1" applyBorder="1" applyAlignment="1">
      <alignment vertical="center" wrapText="1"/>
    </xf>
    <xf numFmtId="0" fontId="58" fillId="0" borderId="6"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9" xfId="0" applyFont="1" applyBorder="1" applyAlignment="1">
      <alignment horizontal="center" vertical="center" wrapText="1"/>
    </xf>
    <xf numFmtId="9" fontId="57" fillId="0" borderId="6" xfId="0" applyNumberFormat="1" applyFont="1" applyBorder="1" applyAlignment="1">
      <alignment horizontal="center" vertical="center" wrapText="1"/>
    </xf>
    <xf numFmtId="9" fontId="58" fillId="10" borderId="9" xfId="0" applyNumberFormat="1" applyFont="1" applyFill="1" applyBorder="1" applyAlignment="1">
      <alignment horizontal="center" vertical="center" wrapText="1"/>
    </xf>
    <xf numFmtId="0" fontId="57" fillId="0" borderId="9" xfId="0" applyFont="1" applyBorder="1" applyAlignment="1">
      <alignment vertical="center" wrapText="1"/>
    </xf>
    <xf numFmtId="9" fontId="57" fillId="0" borderId="9" xfId="0" applyNumberFormat="1" applyFont="1" applyBorder="1" applyAlignment="1">
      <alignment horizontal="center" vertical="center" wrapText="1"/>
    </xf>
    <xf numFmtId="3" fontId="58" fillId="0" borderId="6" xfId="0" applyNumberFormat="1" applyFont="1" applyBorder="1" applyAlignment="1">
      <alignment horizontal="center" vertical="center" wrapText="1"/>
    </xf>
    <xf numFmtId="10" fontId="58" fillId="7" borderId="9" xfId="0" applyNumberFormat="1" applyFont="1" applyFill="1" applyBorder="1" applyAlignment="1">
      <alignment horizontal="center" vertical="center" wrapText="1"/>
    </xf>
    <xf numFmtId="9" fontId="57" fillId="0" borderId="6" xfId="1" applyFont="1" applyBorder="1" applyAlignment="1">
      <alignment horizontal="center" vertical="center" wrapText="1"/>
    </xf>
    <xf numFmtId="9" fontId="57" fillId="0" borderId="21" xfId="0" applyNumberFormat="1" applyFont="1" applyBorder="1" applyAlignment="1">
      <alignment horizontal="center" vertical="center" wrapText="1"/>
    </xf>
    <xf numFmtId="0" fontId="57" fillId="0" borderId="21" xfId="0" applyFont="1" applyBorder="1" applyAlignment="1">
      <alignment horizontal="center" vertical="center" wrapText="1"/>
    </xf>
    <xf numFmtId="0" fontId="57" fillId="0" borderId="13" xfId="0" applyFont="1" applyBorder="1" applyAlignment="1">
      <alignment horizontal="center" vertical="center" wrapText="1"/>
    </xf>
    <xf numFmtId="9" fontId="57" fillId="0" borderId="86" xfId="0" applyNumberFormat="1" applyFont="1" applyBorder="1" applyAlignment="1">
      <alignment horizontal="center" vertical="center" wrapText="1"/>
    </xf>
    <xf numFmtId="0" fontId="57" fillId="0" borderId="86" xfId="0" applyFont="1" applyBorder="1" applyAlignment="1">
      <alignment horizontal="center" vertical="center" wrapText="1"/>
    </xf>
    <xf numFmtId="9" fontId="57" fillId="0" borderId="129" xfId="0" applyNumberFormat="1" applyFont="1" applyBorder="1" applyAlignment="1">
      <alignment horizontal="center" vertical="center" wrapText="1"/>
    </xf>
    <xf numFmtId="0" fontId="57" fillId="0" borderId="50" xfId="0" applyFont="1" applyBorder="1" applyAlignment="1">
      <alignment horizontal="center" vertical="center" wrapText="1"/>
    </xf>
    <xf numFmtId="165" fontId="58" fillId="31" borderId="129" xfId="0" applyNumberFormat="1" applyFont="1" applyFill="1" applyBorder="1" applyAlignment="1">
      <alignment horizontal="center" vertical="center" wrapText="1"/>
    </xf>
    <xf numFmtId="165" fontId="58" fillId="31" borderId="13" xfId="0" applyNumberFormat="1" applyFont="1" applyFill="1" applyBorder="1" applyAlignment="1">
      <alignment horizontal="center" vertical="center" wrapText="1"/>
    </xf>
    <xf numFmtId="9" fontId="57" fillId="0" borderId="13" xfId="0" applyNumberFormat="1" applyFont="1" applyBorder="1" applyAlignment="1">
      <alignment horizontal="center" vertical="center" wrapText="1"/>
    </xf>
    <xf numFmtId="9" fontId="57" fillId="0" borderId="111" xfId="0" applyNumberFormat="1" applyFont="1" applyBorder="1" applyAlignment="1">
      <alignment horizontal="center" vertical="center" wrapText="1"/>
    </xf>
    <xf numFmtId="9" fontId="57" fillId="0" borderId="25" xfId="0" applyNumberFormat="1" applyFont="1" applyBorder="1" applyAlignment="1">
      <alignment horizontal="center" vertical="center" wrapText="1"/>
    </xf>
    <xf numFmtId="0" fontId="59" fillId="0" borderId="131" xfId="0" applyFont="1" applyBorder="1" applyAlignment="1">
      <alignment horizontal="center" vertical="center" wrapText="1"/>
    </xf>
    <xf numFmtId="0" fontId="59" fillId="0" borderId="25" xfId="0" applyFont="1" applyBorder="1" applyAlignment="1">
      <alignment horizontal="center" vertical="center" wrapText="1"/>
    </xf>
    <xf numFmtId="0" fontId="59" fillId="0" borderId="40" xfId="0" applyFont="1" applyBorder="1" applyAlignment="1">
      <alignment horizontal="center" vertical="center" wrapText="1"/>
    </xf>
    <xf numFmtId="9" fontId="57" fillId="0" borderId="112" xfId="0" applyNumberFormat="1" applyFont="1" applyBorder="1" applyAlignment="1">
      <alignment horizontal="center" vertical="center" wrapText="1"/>
    </xf>
    <xf numFmtId="0" fontId="57" fillId="0" borderId="13" xfId="0" applyFont="1" applyBorder="1" applyAlignment="1">
      <alignment vertical="center" wrapText="1"/>
    </xf>
    <xf numFmtId="165" fontId="58" fillId="31" borderId="26" xfId="0" applyNumberFormat="1" applyFont="1" applyFill="1" applyBorder="1" applyAlignment="1">
      <alignment horizontal="center" vertical="center" wrapText="1"/>
    </xf>
    <xf numFmtId="165" fontId="57" fillId="0" borderId="6" xfId="1" applyNumberFormat="1" applyFont="1" applyBorder="1" applyAlignment="1">
      <alignment vertical="center" wrapText="1"/>
    </xf>
    <xf numFmtId="165" fontId="57" fillId="0" borderId="13" xfId="1" applyNumberFormat="1" applyFont="1" applyBorder="1" applyAlignment="1">
      <alignment vertical="center" wrapText="1"/>
    </xf>
    <xf numFmtId="10" fontId="58" fillId="31" borderId="9" xfId="0" applyNumberFormat="1" applyFont="1" applyFill="1" applyBorder="1" applyAlignment="1">
      <alignment horizontal="center" vertical="center" wrapText="1"/>
    </xf>
    <xf numFmtId="165" fontId="58" fillId="0" borderId="6" xfId="0" applyNumberFormat="1" applyFont="1" applyBorder="1" applyAlignment="1">
      <alignment horizontal="center" vertical="center" wrapText="1"/>
    </xf>
    <xf numFmtId="0" fontId="58" fillId="18" borderId="6" xfId="0" applyFont="1" applyFill="1" applyBorder="1" applyAlignment="1">
      <alignment horizontal="center" vertical="center" wrapText="1"/>
    </xf>
    <xf numFmtId="168" fontId="57" fillId="0" borderId="6" xfId="0" applyNumberFormat="1" applyFont="1" applyBorder="1" applyAlignment="1">
      <alignment horizontal="center" vertical="center" wrapText="1"/>
    </xf>
    <xf numFmtId="168" fontId="57" fillId="0" borderId="13" xfId="0" applyNumberFormat="1" applyFont="1" applyBorder="1" applyAlignment="1">
      <alignment horizontal="center" vertical="center" wrapText="1"/>
    </xf>
    <xf numFmtId="167" fontId="57" fillId="0" borderId="9" xfId="0" applyNumberFormat="1" applyFont="1" applyBorder="1" applyAlignment="1">
      <alignment horizontal="center" vertical="center" wrapText="1"/>
    </xf>
    <xf numFmtId="165" fontId="57" fillId="0" borderId="9" xfId="0" applyNumberFormat="1" applyFont="1" applyBorder="1" applyAlignment="1">
      <alignment horizontal="center" vertical="center" wrapText="1"/>
    </xf>
    <xf numFmtId="9" fontId="57" fillId="0" borderId="130" xfId="0" applyNumberFormat="1" applyFont="1" applyBorder="1" applyAlignment="1">
      <alignment horizontal="center" vertical="center" wrapText="1"/>
    </xf>
    <xf numFmtId="0" fontId="57" fillId="0" borderId="130" xfId="0" applyFont="1" applyBorder="1" applyAlignment="1">
      <alignment horizontal="center" vertical="center" wrapText="1"/>
    </xf>
    <xf numFmtId="9" fontId="57" fillId="0" borderId="26" xfId="0" applyNumberFormat="1" applyFont="1" applyBorder="1" applyAlignment="1">
      <alignment horizontal="center" vertical="center" wrapText="1"/>
    </xf>
    <xf numFmtId="0" fontId="57" fillId="0" borderId="26" xfId="0" applyFont="1" applyBorder="1" applyAlignment="1">
      <alignment horizontal="center" vertical="center" wrapText="1"/>
    </xf>
    <xf numFmtId="167" fontId="57" fillId="0" borderId="6" xfId="0" applyNumberFormat="1" applyFont="1" applyBorder="1" applyAlignment="1">
      <alignment horizontal="center" vertical="center" wrapText="1"/>
    </xf>
    <xf numFmtId="0" fontId="57" fillId="0" borderId="21" xfId="0" applyFont="1" applyBorder="1" applyAlignment="1">
      <alignment vertical="center" wrapText="1"/>
    </xf>
    <xf numFmtId="0" fontId="59" fillId="18" borderId="25" xfId="2" applyFont="1" applyFill="1" applyBorder="1" applyAlignment="1">
      <alignment horizontal="center" vertical="center"/>
    </xf>
    <xf numFmtId="10" fontId="57" fillId="0" borderId="6" xfId="0" applyNumberFormat="1" applyFont="1" applyBorder="1" applyAlignment="1">
      <alignment horizontal="center" vertical="center" wrapText="1"/>
    </xf>
    <xf numFmtId="10" fontId="57" fillId="0" borderId="9" xfId="0" applyNumberFormat="1" applyFont="1" applyBorder="1" applyAlignment="1">
      <alignment horizontal="center" vertical="center" wrapText="1"/>
    </xf>
    <xf numFmtId="10" fontId="58" fillId="0" borderId="6" xfId="0" applyNumberFormat="1" applyFont="1" applyBorder="1" applyAlignment="1">
      <alignment horizontal="center" vertical="center" wrapText="1"/>
    </xf>
    <xf numFmtId="170" fontId="57" fillId="0" borderId="6" xfId="0" applyNumberFormat="1" applyFont="1" applyBorder="1" applyAlignment="1">
      <alignment horizontal="center" vertical="center" wrapText="1"/>
    </xf>
    <xf numFmtId="165" fontId="58" fillId="37" borderId="9" xfId="0" applyNumberFormat="1" applyFont="1" applyFill="1" applyBorder="1" applyAlignment="1">
      <alignment horizontal="center" vertical="center" wrapText="1"/>
    </xf>
    <xf numFmtId="0" fontId="58" fillId="0" borderId="9" xfId="0" applyFont="1" applyBorder="1" applyAlignment="1">
      <alignment horizontal="center" vertical="center" wrapText="1"/>
    </xf>
    <xf numFmtId="165" fontId="57" fillId="0" borderId="6" xfId="0" applyNumberFormat="1" applyFont="1" applyBorder="1" applyAlignment="1">
      <alignment horizontal="center" vertical="center" wrapText="1"/>
    </xf>
    <xf numFmtId="0" fontId="58" fillId="0" borderId="1" xfId="0" applyFont="1" applyBorder="1" applyAlignment="1">
      <alignment horizontal="center" wrapText="1"/>
    </xf>
    <xf numFmtId="0" fontId="58" fillId="0" borderId="0" xfId="0" applyFont="1" applyAlignment="1">
      <alignment horizontal="center"/>
    </xf>
    <xf numFmtId="10" fontId="57" fillId="0" borderId="3" xfId="0" applyNumberFormat="1" applyFont="1" applyBorder="1" applyAlignment="1">
      <alignment wrapText="1"/>
    </xf>
    <xf numFmtId="0" fontId="58" fillId="4" borderId="9" xfId="0" applyFont="1" applyFill="1" applyBorder="1" applyAlignment="1">
      <alignment horizontal="center" vertical="center" wrapText="1"/>
    </xf>
    <xf numFmtId="0" fontId="57" fillId="0" borderId="28" xfId="0" applyFont="1" applyBorder="1" applyAlignment="1">
      <alignment vertical="center" wrapText="1"/>
    </xf>
    <xf numFmtId="0" fontId="57" fillId="20" borderId="9" xfId="0" applyFont="1" applyFill="1" applyBorder="1" applyAlignment="1">
      <alignment horizontal="center" vertical="center" wrapText="1"/>
    </xf>
    <xf numFmtId="0" fontId="57" fillId="18" borderId="9" xfId="0" applyFont="1" applyFill="1" applyBorder="1" applyAlignment="1">
      <alignment horizontal="center" vertical="center" wrapText="1"/>
    </xf>
    <xf numFmtId="165" fontId="58" fillId="4" borderId="9" xfId="0" applyNumberFormat="1" applyFont="1" applyFill="1" applyBorder="1" applyAlignment="1">
      <alignment horizontal="center" vertical="center" wrapText="1"/>
    </xf>
    <xf numFmtId="0" fontId="57" fillId="20" borderId="21" xfId="0" applyFont="1" applyFill="1" applyBorder="1" applyAlignment="1">
      <alignment horizontal="center" vertical="center" wrapText="1"/>
    </xf>
    <xf numFmtId="0" fontId="57" fillId="20" borderId="25" xfId="0" applyFont="1" applyFill="1" applyBorder="1" applyAlignment="1">
      <alignment horizontal="center" vertical="center" wrapText="1"/>
    </xf>
    <xf numFmtId="0" fontId="57" fillId="0" borderId="25" xfId="0" applyFont="1" applyBorder="1" applyAlignment="1">
      <alignment horizontal="center" vertical="center" wrapText="1"/>
    </xf>
    <xf numFmtId="0" fontId="57" fillId="0" borderId="25" xfId="0" applyFont="1" applyBorder="1" applyAlignment="1">
      <alignment vertical="center" wrapText="1"/>
    </xf>
    <xf numFmtId="0" fontId="57" fillId="0" borderId="0" xfId="0" applyFont="1" applyBorder="1" applyAlignment="1">
      <alignment vertical="center" wrapText="1"/>
    </xf>
    <xf numFmtId="0" fontId="59" fillId="0" borderId="41" xfId="0" applyFont="1" applyBorder="1" applyAlignment="1">
      <alignment horizontal="center" vertical="center" wrapText="1"/>
    </xf>
    <xf numFmtId="0" fontId="57" fillId="0" borderId="53" xfId="0" applyFont="1" applyBorder="1" applyAlignment="1">
      <alignment horizontal="center" vertical="center" wrapText="1"/>
    </xf>
    <xf numFmtId="170" fontId="57" fillId="0" borderId="9" xfId="0" applyNumberFormat="1" applyFont="1" applyBorder="1" applyAlignment="1">
      <alignment horizontal="center" vertical="center" wrapText="1"/>
    </xf>
    <xf numFmtId="0" fontId="57" fillId="0" borderId="17" xfId="0" applyFont="1" applyBorder="1" applyAlignment="1">
      <alignment wrapText="1"/>
    </xf>
    <xf numFmtId="165" fontId="58" fillId="10" borderId="13" xfId="0" applyNumberFormat="1" applyFont="1" applyFill="1" applyBorder="1" applyAlignment="1">
      <alignment horizontal="center" vertical="center" wrapText="1"/>
    </xf>
    <xf numFmtId="165" fontId="58" fillId="33" borderId="111" xfId="0" applyNumberFormat="1" applyFont="1" applyFill="1" applyBorder="1" applyAlignment="1">
      <alignment horizontal="center" vertical="center" wrapText="1"/>
    </xf>
    <xf numFmtId="165" fontId="58" fillId="31" borderId="111" xfId="0" applyNumberFormat="1" applyFont="1" applyFill="1" applyBorder="1" applyAlignment="1">
      <alignment horizontal="center" vertical="center" wrapText="1"/>
    </xf>
    <xf numFmtId="165" fontId="58" fillId="31" borderId="18" xfId="0" applyNumberFormat="1" applyFont="1" applyFill="1" applyBorder="1" applyAlignment="1">
      <alignment horizontal="center" vertical="center" wrapText="1"/>
    </xf>
    <xf numFmtId="165" fontId="58" fillId="31" borderId="75" xfId="0" applyNumberFormat="1" applyFont="1" applyFill="1" applyBorder="1" applyAlignment="1">
      <alignment horizontal="center" vertical="center" wrapText="1"/>
    </xf>
    <xf numFmtId="165" fontId="58" fillId="33" borderId="13" xfId="0" applyNumberFormat="1" applyFont="1" applyFill="1" applyBorder="1" applyAlignment="1">
      <alignment horizontal="center" vertical="center" wrapText="1"/>
    </xf>
    <xf numFmtId="165" fontId="57" fillId="0" borderId="13" xfId="0" applyNumberFormat="1" applyFont="1" applyBorder="1" applyAlignment="1">
      <alignment horizontal="center" vertical="center" wrapText="1"/>
    </xf>
    <xf numFmtId="165" fontId="57" fillId="0" borderId="111" xfId="0" applyNumberFormat="1" applyFont="1" applyBorder="1" applyAlignment="1">
      <alignment horizontal="center" vertical="center" wrapText="1"/>
    </xf>
    <xf numFmtId="165" fontId="57" fillId="0" borderId="134" xfId="0" applyNumberFormat="1" applyFont="1" applyBorder="1" applyAlignment="1">
      <alignment horizontal="center" vertical="center" wrapText="1"/>
    </xf>
    <xf numFmtId="165" fontId="58" fillId="4" borderId="13" xfId="0" applyNumberFormat="1" applyFont="1" applyFill="1" applyBorder="1" applyAlignment="1">
      <alignment horizontal="center" vertical="center" wrapText="1"/>
    </xf>
    <xf numFmtId="165" fontId="58" fillId="31" borderId="25" xfId="0" applyNumberFormat="1" applyFont="1" applyFill="1" applyBorder="1" applyAlignment="1">
      <alignment horizontal="center" vertical="center" wrapText="1"/>
    </xf>
    <xf numFmtId="9" fontId="57" fillId="0" borderId="75" xfId="0" applyNumberFormat="1" applyFont="1" applyBorder="1" applyAlignment="1">
      <alignment horizontal="center" vertical="center" wrapText="1"/>
    </xf>
    <xf numFmtId="9" fontId="57" fillId="0" borderId="134" xfId="0" applyNumberFormat="1" applyFont="1" applyBorder="1" applyAlignment="1">
      <alignment horizontal="center" vertical="center" wrapText="1"/>
    </xf>
    <xf numFmtId="165" fontId="57" fillId="0" borderId="7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165" fontId="58" fillId="35" borderId="13" xfId="0" applyNumberFormat="1" applyFont="1" applyFill="1" applyBorder="1" applyAlignment="1">
      <alignment horizontal="center" vertical="center" wrapText="1"/>
    </xf>
    <xf numFmtId="165" fontId="58" fillId="33" borderId="25" xfId="0" applyNumberFormat="1" applyFont="1" applyFill="1" applyBorder="1" applyAlignment="1">
      <alignment horizontal="center" vertical="center" wrapText="1"/>
    </xf>
    <xf numFmtId="9" fontId="57" fillId="0" borderId="74" xfId="0" applyNumberFormat="1" applyFont="1" applyBorder="1" applyAlignment="1">
      <alignment horizontal="center" vertical="center" wrapText="1"/>
    </xf>
    <xf numFmtId="0" fontId="57" fillId="0" borderId="3" xfId="0" applyFont="1" applyBorder="1" applyAlignment="1">
      <alignment horizontal="center" wrapText="1"/>
    </xf>
    <xf numFmtId="0" fontId="57" fillId="0" borderId="14" xfId="0" applyFont="1" applyBorder="1" applyAlignment="1">
      <alignment horizontal="center" wrapText="1"/>
    </xf>
    <xf numFmtId="0" fontId="57" fillId="0" borderId="24" xfId="0" applyFont="1" applyBorder="1" applyAlignment="1">
      <alignment horizontal="center" wrapText="1"/>
    </xf>
    <xf numFmtId="0" fontId="57" fillId="18" borderId="24" xfId="0" applyFont="1" applyFill="1" applyBorder="1" applyAlignment="1">
      <alignment horizontal="center" wrapText="1"/>
    </xf>
    <xf numFmtId="0" fontId="57" fillId="0" borderId="20" xfId="0" applyFont="1" applyBorder="1" applyAlignment="1">
      <alignment horizontal="center" wrapText="1"/>
    </xf>
    <xf numFmtId="0" fontId="57" fillId="0" borderId="1" xfId="0" applyFont="1" applyBorder="1" applyAlignment="1">
      <alignment horizontal="center" wrapText="1"/>
    </xf>
    <xf numFmtId="0" fontId="59" fillId="0" borderId="0" xfId="0" applyFont="1" applyAlignment="1">
      <alignment horizontal="center"/>
    </xf>
    <xf numFmtId="165" fontId="58" fillId="4" borderId="45" xfId="0" applyNumberFormat="1" applyFont="1" applyFill="1" applyBorder="1" applyAlignment="1">
      <alignment horizontal="center" vertical="center" wrapText="1"/>
    </xf>
    <xf numFmtId="0" fontId="57" fillId="20" borderId="23" xfId="0" applyFont="1" applyFill="1" applyBorder="1" applyAlignment="1">
      <alignment horizontal="center" vertical="center" wrapText="1"/>
    </xf>
    <xf numFmtId="165" fontId="57" fillId="18" borderId="24" xfId="0" applyNumberFormat="1" applyFont="1" applyFill="1" applyBorder="1" applyAlignment="1">
      <alignment horizontal="center" vertical="center" wrapText="1"/>
    </xf>
    <xf numFmtId="165" fontId="58" fillId="4" borderId="137" xfId="0" applyNumberFormat="1" applyFont="1" applyFill="1" applyBorder="1" applyAlignment="1">
      <alignment horizontal="center" vertical="center" wrapText="1"/>
    </xf>
    <xf numFmtId="165" fontId="57" fillId="0" borderId="143" xfId="0" applyNumberFormat="1" applyFont="1" applyBorder="1" applyAlignment="1">
      <alignment horizontal="center" vertical="center" wrapText="1"/>
    </xf>
    <xf numFmtId="165" fontId="58" fillId="4" borderId="113" xfId="0" applyNumberFormat="1" applyFont="1" applyFill="1" applyBorder="1" applyAlignment="1">
      <alignment horizontal="center" vertical="center" wrapText="1"/>
    </xf>
    <xf numFmtId="0" fontId="57" fillId="20" borderId="24" xfId="0" applyFont="1" applyFill="1" applyBorder="1" applyAlignment="1">
      <alignment horizontal="center" vertical="center" wrapText="1"/>
    </xf>
    <xf numFmtId="0" fontId="59" fillId="20" borderId="24" xfId="0" applyFont="1" applyFill="1" applyBorder="1" applyAlignment="1">
      <alignment horizontal="center" vertical="center"/>
    </xf>
    <xf numFmtId="0" fontId="62" fillId="20" borderId="24" xfId="0" applyFont="1" applyFill="1" applyBorder="1" applyAlignment="1">
      <alignment horizontal="center" vertical="center" wrapText="1"/>
    </xf>
    <xf numFmtId="0" fontId="63" fillId="20" borderId="24" xfId="0" applyFont="1" applyFill="1" applyBorder="1" applyAlignment="1">
      <alignment horizontal="center" vertical="center" wrapText="1"/>
    </xf>
    <xf numFmtId="0" fontId="45" fillId="13" borderId="0" xfId="0" applyFont="1" applyFill="1" applyBorder="1" applyAlignment="1">
      <alignment horizontal="center" vertical="center"/>
    </xf>
    <xf numFmtId="165" fontId="47" fillId="33" borderId="47" xfId="0" applyNumberFormat="1" applyFont="1" applyFill="1" applyBorder="1" applyAlignment="1">
      <alignment horizontal="center" vertical="center" wrapText="1"/>
    </xf>
    <xf numFmtId="0" fontId="58" fillId="47" borderId="36" xfId="0" applyFont="1" applyFill="1" applyBorder="1" applyAlignment="1">
      <alignment horizontal="center" vertical="center" wrapText="1"/>
    </xf>
    <xf numFmtId="0" fontId="58" fillId="47" borderId="43" xfId="0" applyFont="1" applyFill="1" applyBorder="1" applyAlignment="1">
      <alignment horizontal="center" vertical="center" wrapText="1"/>
    </xf>
    <xf numFmtId="0" fontId="48" fillId="0" borderId="24" xfId="0" applyFont="1" applyBorder="1" applyAlignment="1"/>
    <xf numFmtId="165" fontId="52" fillId="8" borderId="24" xfId="0" applyNumberFormat="1" applyFont="1" applyFill="1" applyBorder="1" applyAlignment="1">
      <alignment horizontal="center" vertical="center" wrapText="1"/>
    </xf>
    <xf numFmtId="165" fontId="52" fillId="5" borderId="24" xfId="0" applyNumberFormat="1" applyFont="1" applyFill="1" applyBorder="1" applyAlignment="1">
      <alignment horizontal="center" vertical="center" wrapText="1"/>
    </xf>
    <xf numFmtId="10" fontId="52" fillId="8" borderId="24" xfId="0" applyNumberFormat="1" applyFont="1" applyFill="1" applyBorder="1" applyAlignment="1">
      <alignment horizontal="center" vertical="center" wrapText="1"/>
    </xf>
    <xf numFmtId="10" fontId="52" fillId="5" borderId="47" xfId="0" applyNumberFormat="1" applyFont="1" applyFill="1" applyBorder="1" applyAlignment="1">
      <alignment horizontal="center" vertical="center" wrapText="1"/>
    </xf>
    <xf numFmtId="0" fontId="49" fillId="17" borderId="24" xfId="0" applyFont="1" applyFill="1" applyBorder="1" applyAlignment="1">
      <alignment vertical="center" wrapText="1"/>
    </xf>
    <xf numFmtId="0" fontId="46" fillId="20" borderId="24" xfId="0" applyFont="1" applyFill="1" applyBorder="1" applyAlignment="1">
      <alignment horizontal="center" vertical="center" wrapText="1"/>
    </xf>
    <xf numFmtId="2" fontId="46" fillId="20" borderId="24" xfId="0" applyNumberFormat="1" applyFont="1" applyFill="1" applyBorder="1" applyAlignment="1">
      <alignment horizontal="center" vertical="center" wrapText="1"/>
    </xf>
    <xf numFmtId="0" fontId="45" fillId="20" borderId="24" xfId="0" applyFont="1" applyFill="1" applyBorder="1" applyAlignment="1">
      <alignment horizontal="center" vertical="center" wrapText="1"/>
    </xf>
    <xf numFmtId="43" fontId="46" fillId="20" borderId="24" xfId="3" applyFont="1" applyFill="1" applyBorder="1" applyAlignment="1">
      <alignment horizontal="center" vertical="center" wrapText="1"/>
    </xf>
    <xf numFmtId="0" fontId="48" fillId="20" borderId="24" xfId="0" applyFont="1" applyFill="1" applyBorder="1" applyAlignment="1">
      <alignment horizontal="center" vertical="center"/>
    </xf>
    <xf numFmtId="167" fontId="48" fillId="20" borderId="24" xfId="0" applyNumberFormat="1" applyFont="1" applyFill="1" applyBorder="1" applyAlignment="1">
      <alignment horizontal="center" vertical="center"/>
    </xf>
    <xf numFmtId="9" fontId="46" fillId="20" borderId="24" xfId="0" applyNumberFormat="1" applyFont="1" applyFill="1" applyBorder="1" applyAlignment="1">
      <alignment horizontal="center" vertical="center" wrapText="1"/>
    </xf>
    <xf numFmtId="166" fontId="46" fillId="0" borderId="24" xfId="0" applyNumberFormat="1" applyFont="1" applyBorder="1" applyAlignment="1">
      <alignment wrapText="1"/>
    </xf>
    <xf numFmtId="10" fontId="25" fillId="8" borderId="51" xfId="0" applyNumberFormat="1" applyFont="1" applyFill="1" applyBorder="1" applyAlignment="1">
      <alignment horizontal="center" vertical="center" wrapText="1"/>
    </xf>
    <xf numFmtId="10" fontId="25" fillId="5" borderId="51" xfId="0" applyNumberFormat="1" applyFont="1" applyFill="1" applyBorder="1" applyAlignment="1">
      <alignment horizontal="center" vertical="center" wrapText="1"/>
    </xf>
    <xf numFmtId="0" fontId="47" fillId="17" borderId="24" xfId="0" applyFont="1" applyFill="1" applyBorder="1" applyAlignment="1">
      <alignment wrapText="1"/>
    </xf>
    <xf numFmtId="0" fontId="37" fillId="0" borderId="3" xfId="0" applyFont="1" applyBorder="1" applyAlignment="1">
      <alignment wrapText="1"/>
    </xf>
    <xf numFmtId="0" fontId="37" fillId="18" borderId="3" xfId="0" applyFont="1" applyFill="1" applyBorder="1" applyAlignment="1">
      <alignment wrapText="1"/>
    </xf>
    <xf numFmtId="0" fontId="37" fillId="0" borderId="51" xfId="0" applyFont="1" applyBorder="1" applyAlignment="1">
      <alignment wrapText="1"/>
    </xf>
    <xf numFmtId="9" fontId="40" fillId="0" borderId="32" xfId="0" applyNumberFormat="1" applyFont="1" applyBorder="1" applyAlignment="1">
      <alignment horizontal="center" vertical="center"/>
    </xf>
    <xf numFmtId="0" fontId="38" fillId="0" borderId="51" xfId="0" applyFont="1" applyBorder="1" applyAlignment="1"/>
    <xf numFmtId="0" fontId="41" fillId="0" borderId="51" xfId="0" applyFont="1" applyBorder="1" applyAlignment="1">
      <alignment horizontal="center" wrapText="1"/>
    </xf>
    <xf numFmtId="0" fontId="37" fillId="0" borderId="24" xfId="0" applyFont="1" applyBorder="1" applyAlignment="1">
      <alignment horizontal="center" vertical="center" wrapText="1"/>
    </xf>
    <xf numFmtId="165" fontId="35" fillId="4" borderId="24" xfId="0" applyNumberFormat="1" applyFont="1" applyFill="1" applyBorder="1" applyAlignment="1">
      <alignment horizontal="center" vertical="center" wrapText="1"/>
    </xf>
    <xf numFmtId="3" fontId="45" fillId="20" borderId="24" xfId="0" applyNumberFormat="1" applyFont="1" applyFill="1" applyBorder="1" applyAlignment="1">
      <alignment horizontal="center" vertical="center" wrapText="1"/>
    </xf>
    <xf numFmtId="4" fontId="45" fillId="20" borderId="24" xfId="0" applyNumberFormat="1" applyFont="1" applyFill="1" applyBorder="1" applyAlignment="1">
      <alignment horizontal="center" vertical="center" wrapText="1"/>
    </xf>
    <xf numFmtId="0" fontId="57" fillId="20" borderId="6" xfId="0" applyFont="1" applyFill="1" applyBorder="1" applyAlignment="1">
      <alignment horizontal="center" vertical="center" wrapText="1"/>
    </xf>
    <xf numFmtId="0" fontId="58" fillId="0" borderId="13" xfId="0" applyFont="1" applyBorder="1" applyAlignment="1">
      <alignment horizontal="center" vertical="center" wrapText="1"/>
    </xf>
    <xf numFmtId="0" fontId="59" fillId="18" borderId="116" xfId="2" applyFont="1" applyFill="1" applyBorder="1" applyAlignment="1">
      <alignment horizontal="center" vertical="center"/>
    </xf>
    <xf numFmtId="0" fontId="57" fillId="0" borderId="71" xfId="0" applyFont="1" applyBorder="1" applyAlignment="1">
      <alignment horizontal="center" vertical="center" wrapText="1"/>
    </xf>
    <xf numFmtId="9" fontId="46" fillId="24" borderId="47" xfId="0" applyNumberFormat="1" applyFont="1" applyFill="1" applyBorder="1" applyAlignment="1">
      <alignment horizontal="center" vertical="center" wrapText="1"/>
    </xf>
    <xf numFmtId="0" fontId="49" fillId="24" borderId="24" xfId="0" applyFont="1" applyFill="1" applyBorder="1" applyAlignment="1">
      <alignment vertical="center"/>
    </xf>
    <xf numFmtId="0" fontId="49" fillId="17" borderId="24" xfId="0" applyFont="1" applyFill="1" applyBorder="1" applyAlignment="1">
      <alignment vertical="center"/>
    </xf>
    <xf numFmtId="0" fontId="48" fillId="17" borderId="24" xfId="0" applyFont="1" applyFill="1" applyBorder="1" applyAlignment="1">
      <alignment horizontal="left" vertical="center" wrapText="1"/>
    </xf>
    <xf numFmtId="0" fontId="49" fillId="24" borderId="24" xfId="0" applyFont="1" applyFill="1" applyBorder="1" applyAlignment="1">
      <alignment horizontal="center" vertical="center"/>
    </xf>
    <xf numFmtId="9" fontId="47" fillId="24" borderId="24" xfId="0" applyNumberFormat="1" applyFont="1" applyFill="1" applyBorder="1" applyAlignment="1">
      <alignment horizontal="left" vertical="center" wrapText="1"/>
    </xf>
    <xf numFmtId="9" fontId="47" fillId="24" borderId="24" xfId="0" applyNumberFormat="1" applyFont="1" applyFill="1" applyBorder="1" applyAlignment="1">
      <alignment horizontal="center" vertical="center" wrapText="1"/>
    </xf>
    <xf numFmtId="0" fontId="49" fillId="17" borderId="24" xfId="0" applyFont="1" applyFill="1" applyBorder="1" applyAlignment="1">
      <alignment horizontal="left" vertical="center" wrapText="1"/>
    </xf>
    <xf numFmtId="0" fontId="58" fillId="24" borderId="24" xfId="0" applyFont="1" applyFill="1" applyBorder="1" applyAlignment="1">
      <alignment vertical="center" wrapText="1"/>
    </xf>
    <xf numFmtId="167" fontId="46" fillId="20" borderId="24" xfId="0" applyNumberFormat="1" applyFont="1" applyFill="1" applyBorder="1" applyAlignment="1">
      <alignment horizontal="center" vertical="center" wrapText="1"/>
    </xf>
    <xf numFmtId="170" fontId="57" fillId="20" borderId="14" xfId="0" applyNumberFormat="1" applyFont="1" applyFill="1" applyBorder="1" applyAlignment="1">
      <alignment horizontal="center" vertical="center" wrapText="1"/>
    </xf>
    <xf numFmtId="9" fontId="57" fillId="24" borderId="47" xfId="0" applyNumberFormat="1" applyFont="1" applyFill="1" applyBorder="1" applyAlignment="1">
      <alignment horizontal="center" vertical="center" wrapText="1"/>
    </xf>
    <xf numFmtId="0" fontId="58" fillId="17" borderId="24" xfId="0" applyFont="1" applyFill="1" applyBorder="1" applyAlignment="1">
      <alignment vertical="center" wrapText="1"/>
    </xf>
    <xf numFmtId="9" fontId="58" fillId="24" borderId="24" xfId="0" applyNumberFormat="1" applyFont="1" applyFill="1" applyBorder="1" applyAlignment="1">
      <alignment horizontal="center" vertical="center" wrapText="1"/>
    </xf>
    <xf numFmtId="1" fontId="57" fillId="20" borderId="14" xfId="0" applyNumberFormat="1" applyFont="1" applyFill="1" applyBorder="1" applyAlignment="1">
      <alignment horizontal="center" vertical="center" wrapText="1"/>
    </xf>
    <xf numFmtId="1" fontId="57" fillId="0" borderId="14" xfId="0" applyNumberFormat="1" applyFont="1" applyBorder="1" applyAlignment="1">
      <alignment vertical="center" wrapText="1"/>
    </xf>
    <xf numFmtId="10" fontId="58" fillId="31" borderId="24" xfId="0" applyNumberFormat="1" applyFont="1" applyFill="1" applyBorder="1" applyAlignment="1">
      <alignment horizontal="center" vertical="center" wrapText="1"/>
    </xf>
    <xf numFmtId="0" fontId="47" fillId="17" borderId="9" xfId="0" applyFont="1" applyFill="1" applyBorder="1" applyAlignment="1">
      <alignment vertical="center" wrapText="1"/>
    </xf>
    <xf numFmtId="0" fontId="47" fillId="46" borderId="9" xfId="0" applyFont="1" applyFill="1" applyBorder="1" applyAlignment="1">
      <alignment vertical="center" wrapText="1"/>
    </xf>
    <xf numFmtId="9" fontId="47" fillId="24" borderId="25" xfId="0" applyNumberFormat="1" applyFont="1" applyFill="1" applyBorder="1" applyAlignment="1">
      <alignment horizontal="center" vertical="center" wrapText="1"/>
    </xf>
    <xf numFmtId="9" fontId="37" fillId="24" borderId="116" xfId="0" applyNumberFormat="1" applyFont="1" applyFill="1" applyBorder="1" applyAlignment="1">
      <alignment horizontal="center" vertical="center" wrapText="1"/>
    </xf>
    <xf numFmtId="9" fontId="57" fillId="0" borderId="9" xfId="0" applyNumberFormat="1" applyFont="1" applyBorder="1" applyAlignment="1">
      <alignment vertical="center" wrapText="1"/>
    </xf>
    <xf numFmtId="0" fontId="47" fillId="17" borderId="25" xfId="0" applyFont="1" applyFill="1" applyBorder="1" applyAlignment="1">
      <alignment vertical="center" wrapText="1"/>
    </xf>
    <xf numFmtId="0" fontId="47" fillId="24" borderId="25" xfId="0" applyFont="1" applyFill="1" applyBorder="1" applyAlignment="1">
      <alignment vertical="center" wrapText="1"/>
    </xf>
    <xf numFmtId="9" fontId="46" fillId="18" borderId="113" xfId="0" applyNumberFormat="1" applyFont="1" applyFill="1" applyBorder="1" applyAlignment="1">
      <alignment horizontal="center" vertical="center" wrapText="1"/>
    </xf>
    <xf numFmtId="0" fontId="47" fillId="17" borderId="25" xfId="0" applyFont="1" applyFill="1" applyBorder="1" applyAlignment="1">
      <alignment wrapText="1"/>
    </xf>
    <xf numFmtId="9" fontId="37" fillId="18" borderId="47" xfId="0" applyNumberFormat="1" applyFont="1" applyFill="1" applyBorder="1" applyAlignment="1">
      <alignment horizontal="center" vertical="center" wrapText="1"/>
    </xf>
    <xf numFmtId="0" fontId="57" fillId="0" borderId="0" xfId="0" applyFont="1" applyBorder="1" applyAlignment="1">
      <alignment wrapText="1"/>
    </xf>
    <xf numFmtId="10" fontId="47" fillId="32" borderId="109" xfId="0" applyNumberFormat="1" applyFont="1" applyFill="1" applyBorder="1" applyAlignment="1">
      <alignment vertical="center" wrapText="1"/>
    </xf>
    <xf numFmtId="0" fontId="48" fillId="18" borderId="34" xfId="0" applyFont="1" applyFill="1" applyBorder="1" applyAlignment="1"/>
    <xf numFmtId="165" fontId="47" fillId="32" borderId="117" xfId="0" applyNumberFormat="1" applyFont="1" applyFill="1" applyBorder="1" applyAlignment="1">
      <alignment horizontal="center" vertical="center" wrapText="1"/>
    </xf>
    <xf numFmtId="9" fontId="46" fillId="24" borderId="28" xfId="0" applyNumberFormat="1" applyFont="1" applyFill="1" applyBorder="1" applyAlignment="1">
      <alignment horizontal="center" vertical="center" wrapText="1"/>
    </xf>
    <xf numFmtId="9" fontId="46" fillId="24" borderId="113" xfId="0" applyNumberFormat="1" applyFont="1" applyFill="1" applyBorder="1" applyAlignment="1">
      <alignment horizontal="center" vertical="center" wrapText="1"/>
    </xf>
    <xf numFmtId="9" fontId="46" fillId="46" borderId="34" xfId="0" applyNumberFormat="1" applyFont="1" applyFill="1" applyBorder="1" applyAlignment="1">
      <alignment horizontal="left" vertical="center" wrapText="1"/>
    </xf>
    <xf numFmtId="165" fontId="58" fillId="10" borderId="111" xfId="0" applyNumberFormat="1" applyFont="1" applyFill="1" applyBorder="1" applyAlignment="1">
      <alignment horizontal="center" vertical="center" wrapText="1"/>
    </xf>
    <xf numFmtId="165" fontId="58" fillId="35" borderId="111" xfId="0" applyNumberFormat="1" applyFont="1" applyFill="1" applyBorder="1" applyAlignment="1">
      <alignment horizontal="center" vertical="center" wrapText="1"/>
    </xf>
    <xf numFmtId="9" fontId="47" fillId="17" borderId="25" xfId="0" applyNumberFormat="1" applyFont="1" applyFill="1" applyBorder="1" applyAlignment="1">
      <alignment horizontal="left" vertical="center" wrapText="1"/>
    </xf>
    <xf numFmtId="9" fontId="58" fillId="24" borderId="24" xfId="0" applyNumberFormat="1" applyFont="1" applyFill="1" applyBorder="1" applyAlignment="1">
      <alignment horizontal="left" vertical="center" wrapText="1"/>
    </xf>
    <xf numFmtId="9" fontId="46" fillId="46" borderId="113" xfId="0" applyNumberFormat="1" applyFont="1" applyFill="1" applyBorder="1" applyAlignment="1">
      <alignment horizontal="center" vertical="center" wrapText="1"/>
    </xf>
    <xf numFmtId="165" fontId="47" fillId="32" borderId="113" xfId="0" applyNumberFormat="1" applyFont="1" applyFill="1" applyBorder="1" applyAlignment="1">
      <alignment horizontal="center" vertical="center" wrapText="1"/>
    </xf>
    <xf numFmtId="0" fontId="46" fillId="0" borderId="0" xfId="0" applyFont="1" applyBorder="1" applyAlignment="1">
      <alignment wrapText="1"/>
    </xf>
    <xf numFmtId="0" fontId="45" fillId="13" borderId="45" xfId="0" applyFont="1" applyFill="1" applyBorder="1" applyAlignment="1">
      <alignment horizontal="center" vertical="center"/>
    </xf>
    <xf numFmtId="0" fontId="45" fillId="13" borderId="24" xfId="0" applyFont="1" applyFill="1" applyBorder="1" applyAlignment="1">
      <alignment horizontal="center" vertical="center"/>
    </xf>
    <xf numFmtId="0" fontId="46" fillId="0" borderId="47" xfId="0" applyFont="1" applyBorder="1" applyAlignment="1">
      <alignment wrapText="1"/>
    </xf>
    <xf numFmtId="0" fontId="46" fillId="0" borderId="51" xfId="0" applyFont="1" applyBorder="1" applyAlignment="1">
      <alignment wrapText="1"/>
    </xf>
    <xf numFmtId="0" fontId="57" fillId="0" borderId="3" xfId="0" applyFont="1" applyBorder="1" applyAlignment="1">
      <alignment vertical="center" wrapText="1"/>
    </xf>
    <xf numFmtId="0" fontId="57" fillId="0" borderId="87" xfId="0" applyFont="1" applyBorder="1" applyAlignment="1">
      <alignment vertical="center" wrapText="1"/>
    </xf>
    <xf numFmtId="0" fontId="57" fillId="0" borderId="56" xfId="0" applyFont="1" applyBorder="1" applyAlignment="1">
      <alignment vertical="center" wrapText="1"/>
    </xf>
    <xf numFmtId="0" fontId="57" fillId="0" borderId="43" xfId="0" applyFont="1" applyBorder="1" applyAlignment="1">
      <alignment vertical="center" wrapText="1"/>
    </xf>
    <xf numFmtId="0" fontId="57" fillId="0" borderId="83" xfId="0" applyFont="1" applyBorder="1" applyAlignment="1">
      <alignment vertical="center" wrapText="1"/>
    </xf>
    <xf numFmtId="0" fontId="57" fillId="0" borderId="80" xfId="0" applyFont="1" applyBorder="1" applyAlignment="1">
      <alignment vertical="center" wrapText="1"/>
    </xf>
    <xf numFmtId="0" fontId="57" fillId="0" borderId="74" xfId="0" applyFont="1" applyBorder="1" applyAlignment="1">
      <alignment vertical="center" wrapText="1"/>
    </xf>
    <xf numFmtId="0" fontId="57" fillId="18" borderId="25" xfId="0" applyFont="1" applyFill="1" applyBorder="1" applyAlignment="1">
      <alignment vertical="center" wrapText="1"/>
    </xf>
    <xf numFmtId="0" fontId="57" fillId="0" borderId="58" xfId="0" applyFont="1" applyBorder="1" applyAlignment="1">
      <alignment vertical="center" wrapText="1"/>
    </xf>
    <xf numFmtId="0" fontId="57" fillId="0" borderId="64" xfId="0" applyFont="1" applyBorder="1" applyAlignment="1">
      <alignment vertical="center" wrapText="1"/>
    </xf>
    <xf numFmtId="0" fontId="57" fillId="0" borderId="75" xfId="0" applyFont="1" applyBorder="1" applyAlignment="1">
      <alignment vertical="center" wrapText="1"/>
    </xf>
    <xf numFmtId="0" fontId="57" fillId="0" borderId="72" xfId="0" applyFont="1" applyBorder="1" applyAlignment="1">
      <alignment vertical="center" wrapText="1"/>
    </xf>
    <xf numFmtId="0" fontId="57" fillId="0" borderId="73" xfId="0" applyFont="1" applyBorder="1" applyAlignment="1">
      <alignment vertical="center" wrapText="1"/>
    </xf>
    <xf numFmtId="0" fontId="57" fillId="0" borderId="79" xfId="0" applyFont="1" applyBorder="1" applyAlignment="1">
      <alignment vertical="center" wrapText="1"/>
    </xf>
    <xf numFmtId="0" fontId="57" fillId="0" borderId="77" xfId="0" applyFont="1" applyBorder="1" applyAlignment="1">
      <alignment vertical="center" wrapText="1"/>
    </xf>
    <xf numFmtId="0" fontId="57" fillId="18" borderId="54" xfId="0" applyFont="1" applyFill="1" applyBorder="1" applyAlignment="1">
      <alignment vertical="center" wrapText="1"/>
    </xf>
    <xf numFmtId="0" fontId="57" fillId="0" borderId="75" xfId="0" applyFont="1" applyBorder="1" applyAlignment="1">
      <alignment horizontal="center" vertical="center" wrapText="1"/>
    </xf>
    <xf numFmtId="0" fontId="57" fillId="0" borderId="72" xfId="0" applyFont="1" applyBorder="1" applyAlignment="1">
      <alignment horizontal="center" vertical="center" wrapText="1"/>
    </xf>
    <xf numFmtId="0" fontId="57" fillId="0" borderId="76" xfId="0" applyFont="1" applyBorder="1" applyAlignment="1">
      <alignment horizontal="center" vertical="center" wrapText="1"/>
    </xf>
    <xf numFmtId="0" fontId="57" fillId="0" borderId="54" xfId="0" applyFont="1" applyBorder="1" applyAlignment="1">
      <alignment horizontal="center" vertical="center" wrapText="1"/>
    </xf>
    <xf numFmtId="0" fontId="57" fillId="18" borderId="54" xfId="0" applyFont="1" applyFill="1" applyBorder="1" applyAlignment="1">
      <alignment horizontal="center" vertical="center" wrapText="1"/>
    </xf>
    <xf numFmtId="0" fontId="57" fillId="0" borderId="56"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9" xfId="0" applyFont="1" applyBorder="1" applyAlignment="1">
      <alignment horizontal="center" vertical="center" wrapText="1"/>
    </xf>
    <xf numFmtId="0" fontId="57" fillId="0" borderId="76" xfId="0" applyFont="1" applyBorder="1" applyAlignment="1">
      <alignment vertical="center" wrapText="1"/>
    </xf>
    <xf numFmtId="0" fontId="57" fillId="0" borderId="61" xfId="0" applyFont="1" applyBorder="1" applyAlignment="1">
      <alignment vertical="center" wrapText="1"/>
    </xf>
    <xf numFmtId="0" fontId="57" fillId="0" borderId="20" xfId="0" applyFont="1" applyBorder="1" applyAlignment="1">
      <alignment vertical="center" wrapText="1"/>
    </xf>
    <xf numFmtId="0" fontId="57" fillId="0" borderId="1" xfId="0" applyFont="1" applyBorder="1" applyAlignment="1">
      <alignment vertical="center" wrapText="1"/>
    </xf>
    <xf numFmtId="0" fontId="59" fillId="0" borderId="0" xfId="0" applyFont="1" applyAlignment="1">
      <alignment vertical="center"/>
    </xf>
    <xf numFmtId="165" fontId="57" fillId="0" borderId="9" xfId="1" applyNumberFormat="1" applyFont="1" applyBorder="1" applyAlignment="1">
      <alignment horizontal="center" vertical="center" wrapText="1"/>
    </xf>
    <xf numFmtId="9" fontId="47" fillId="24" borderId="34" xfId="0" applyNumberFormat="1" applyFont="1" applyFill="1" applyBorder="1" applyAlignment="1">
      <alignment horizontal="center" vertical="center" wrapText="1"/>
    </xf>
    <xf numFmtId="9" fontId="47" fillId="17" borderId="34" xfId="0" applyNumberFormat="1" applyFont="1" applyFill="1" applyBorder="1" applyAlignment="1">
      <alignment horizontal="left" vertical="center" wrapText="1"/>
    </xf>
    <xf numFmtId="0" fontId="47" fillId="17" borderId="24" xfId="0" applyFont="1" applyFill="1" applyBorder="1" applyAlignment="1">
      <alignment vertical="center" wrapText="1"/>
    </xf>
    <xf numFmtId="0" fontId="46" fillId="18" borderId="27" xfId="0" applyFont="1" applyFill="1" applyBorder="1" applyAlignment="1">
      <alignment wrapText="1"/>
    </xf>
    <xf numFmtId="1" fontId="57" fillId="0" borderId="14" xfId="0" applyNumberFormat="1" applyFont="1" applyBorder="1" applyAlignment="1">
      <alignment horizontal="center" vertical="center" wrapText="1"/>
    </xf>
    <xf numFmtId="170" fontId="46" fillId="0" borderId="24" xfId="0" applyNumberFormat="1" applyFont="1" applyBorder="1" applyAlignment="1">
      <alignment horizontal="center" vertical="center" wrapText="1"/>
    </xf>
    <xf numFmtId="0" fontId="47" fillId="17" borderId="34" xfId="0" applyFont="1" applyFill="1" applyBorder="1" applyAlignment="1">
      <alignment horizontal="center" vertical="center" wrapText="1"/>
    </xf>
    <xf numFmtId="9" fontId="46" fillId="24" borderId="47" xfId="0" applyNumberFormat="1" applyFont="1" applyFill="1" applyBorder="1" applyAlignment="1">
      <alignment horizontal="left" vertical="center" wrapText="1"/>
    </xf>
    <xf numFmtId="0" fontId="47" fillId="17" borderId="31" xfId="0" applyFont="1" applyFill="1" applyBorder="1" applyAlignment="1">
      <alignment horizontal="left" vertical="center" wrapText="1"/>
    </xf>
    <xf numFmtId="0" fontId="47" fillId="17" borderId="51" xfId="0" applyFont="1" applyFill="1" applyBorder="1" applyAlignment="1">
      <alignment wrapText="1"/>
    </xf>
    <xf numFmtId="9" fontId="14" fillId="0" borderId="24" xfId="1" applyNumberFormat="1" applyFont="1" applyBorder="1" applyAlignment="1">
      <alignment horizontal="center" vertical="center"/>
    </xf>
    <xf numFmtId="0" fontId="68" fillId="0" borderId="0" xfId="0" applyFont="1" applyAlignment="1"/>
    <xf numFmtId="0" fontId="65" fillId="0" borderId="22" xfId="0" applyFont="1" applyBorder="1" applyAlignment="1">
      <alignment wrapText="1"/>
    </xf>
    <xf numFmtId="0" fontId="65" fillId="0" borderId="53" xfId="0" applyFont="1" applyBorder="1" applyAlignment="1">
      <alignment vertical="center" wrapText="1"/>
    </xf>
    <xf numFmtId="165" fontId="66" fillId="34" borderId="34" xfId="0" applyNumberFormat="1" applyFont="1" applyFill="1" applyBorder="1" applyAlignment="1">
      <alignment horizontal="center" vertical="center" wrapText="1"/>
    </xf>
    <xf numFmtId="165" fontId="66" fillId="36" borderId="24" xfId="0" applyNumberFormat="1" applyFont="1" applyFill="1" applyBorder="1" applyAlignment="1">
      <alignment horizontal="center" vertical="center" wrapText="1"/>
    </xf>
    <xf numFmtId="0" fontId="65" fillId="0" borderId="51" xfId="0" applyFont="1" applyBorder="1" applyAlignment="1">
      <alignment horizontal="center" wrapText="1"/>
    </xf>
    <xf numFmtId="0" fontId="65" fillId="0" borderId="51" xfId="0" applyFont="1" applyBorder="1" applyAlignment="1">
      <alignment wrapText="1"/>
    </xf>
    <xf numFmtId="165" fontId="66" fillId="33" borderId="116" xfId="0" applyNumberFormat="1" applyFont="1" applyFill="1" applyBorder="1" applyAlignment="1">
      <alignment horizontal="center" vertical="center" wrapText="1"/>
    </xf>
    <xf numFmtId="165" fontId="66" fillId="10" borderId="24" xfId="0" applyNumberFormat="1" applyFont="1" applyFill="1" applyBorder="1" applyAlignment="1">
      <alignment horizontal="center" vertical="center" wrapText="1"/>
    </xf>
    <xf numFmtId="165" fontId="66" fillId="33" borderId="24" xfId="0" applyNumberFormat="1" applyFont="1" applyFill="1" applyBorder="1" applyAlignment="1">
      <alignment horizontal="center" vertical="center" wrapText="1"/>
    </xf>
    <xf numFmtId="9" fontId="66" fillId="12" borderId="29" xfId="0" applyNumberFormat="1" applyFont="1" applyFill="1" applyBorder="1" applyAlignment="1">
      <alignment horizontal="center" vertical="center" wrapText="1"/>
    </xf>
    <xf numFmtId="0" fontId="66" fillId="0" borderId="30" xfId="0" applyFont="1" applyBorder="1" applyAlignment="1">
      <alignment wrapText="1"/>
    </xf>
    <xf numFmtId="0" fontId="65" fillId="0" borderId="135" xfId="0" applyFont="1" applyBorder="1" applyAlignment="1">
      <alignment wrapText="1"/>
    </xf>
    <xf numFmtId="0" fontId="65" fillId="0" borderId="24" xfId="0" applyFont="1" applyBorder="1" applyAlignment="1">
      <alignment wrapText="1"/>
    </xf>
    <xf numFmtId="165" fontId="66" fillId="31" borderId="136" xfId="0" applyNumberFormat="1" applyFont="1" applyFill="1" applyBorder="1" applyAlignment="1">
      <alignment horizontal="center" vertical="center" wrapText="1"/>
    </xf>
    <xf numFmtId="165" fontId="66" fillId="31" borderId="30" xfId="0" applyNumberFormat="1" applyFont="1" applyFill="1" applyBorder="1" applyAlignment="1">
      <alignment horizontal="center" vertical="center" wrapText="1"/>
    </xf>
    <xf numFmtId="0" fontId="65" fillId="0" borderId="30" xfId="0" applyFont="1" applyBorder="1" applyAlignment="1">
      <alignment horizontal="center" vertical="center" wrapText="1"/>
    </xf>
    <xf numFmtId="0" fontId="65" fillId="0" borderId="30" xfId="0" applyFont="1" applyBorder="1" applyAlignment="1">
      <alignment vertical="center" wrapText="1"/>
    </xf>
    <xf numFmtId="165" fontId="66" fillId="4" borderId="135" xfId="0" applyNumberFormat="1" applyFont="1" applyFill="1" applyBorder="1" applyAlignment="1">
      <alignment horizontal="center" vertical="center" wrapText="1"/>
    </xf>
    <xf numFmtId="165" fontId="66" fillId="4" borderId="24" xfId="0" applyNumberFormat="1" applyFont="1" applyFill="1" applyBorder="1" applyAlignment="1">
      <alignment horizontal="center" vertical="center" wrapText="1"/>
    </xf>
    <xf numFmtId="165" fontId="66" fillId="31" borderId="24" xfId="0" applyNumberFormat="1" applyFont="1" applyFill="1" applyBorder="1" applyAlignment="1">
      <alignment horizontal="center" vertical="center" wrapText="1"/>
    </xf>
    <xf numFmtId="9" fontId="47" fillId="17" borderId="24" xfId="0" applyNumberFormat="1" applyFont="1" applyFill="1" applyBorder="1" applyAlignment="1">
      <alignment horizontal="left" vertical="center" wrapText="1"/>
    </xf>
    <xf numFmtId="0" fontId="46" fillId="17" borderId="21" xfId="0" applyFont="1" applyFill="1" applyBorder="1" applyAlignment="1">
      <alignment vertical="center" wrapText="1"/>
    </xf>
    <xf numFmtId="0" fontId="47" fillId="46" borderId="144" xfId="0" applyFont="1" applyFill="1" applyBorder="1" applyAlignment="1">
      <alignment vertical="center" wrapText="1"/>
    </xf>
    <xf numFmtId="9" fontId="47" fillId="24" borderId="31" xfId="0" applyNumberFormat="1" applyFont="1" applyFill="1" applyBorder="1" applyAlignment="1">
      <alignment horizontal="left" vertical="center" wrapText="1"/>
    </xf>
    <xf numFmtId="9" fontId="47" fillId="24" borderId="51" xfId="0" applyNumberFormat="1" applyFont="1" applyFill="1" applyBorder="1" applyAlignment="1">
      <alignment horizontal="left" vertical="center" wrapText="1"/>
    </xf>
    <xf numFmtId="0" fontId="46" fillId="0" borderId="144" xfId="0" applyFont="1" applyBorder="1" applyAlignment="1">
      <alignment vertical="center" wrapText="1"/>
    </xf>
    <xf numFmtId="9" fontId="47" fillId="24" borderId="25" xfId="0" applyNumberFormat="1" applyFont="1" applyFill="1" applyBorder="1" applyAlignment="1">
      <alignment horizontal="left" vertical="center" wrapText="1"/>
    </xf>
    <xf numFmtId="0" fontId="47" fillId="46" borderId="25" xfId="0" applyFont="1" applyFill="1" applyBorder="1" applyAlignment="1">
      <alignment vertical="center" wrapText="1"/>
    </xf>
    <xf numFmtId="0" fontId="47" fillId="0" borderId="9" xfId="0" applyFont="1" applyBorder="1" applyAlignment="1">
      <alignment horizontal="left" vertical="center" wrapText="1"/>
    </xf>
    <xf numFmtId="9" fontId="47" fillId="24" borderId="34" xfId="0" applyNumberFormat="1" applyFont="1" applyFill="1" applyBorder="1" applyAlignment="1">
      <alignment horizontal="left" vertical="center" wrapText="1"/>
    </xf>
    <xf numFmtId="165" fontId="58" fillId="50" borderId="24" xfId="0" applyNumberFormat="1" applyFont="1" applyFill="1" applyBorder="1" applyAlignment="1">
      <alignment horizontal="center" vertical="center" wrapText="1"/>
    </xf>
    <xf numFmtId="165" fontId="58" fillId="32" borderId="47" xfId="0" applyNumberFormat="1" applyFont="1" applyFill="1" applyBorder="1" applyAlignment="1">
      <alignment horizontal="center" vertical="center" wrapText="1"/>
    </xf>
    <xf numFmtId="0" fontId="49" fillId="24" borderId="24" xfId="0" applyFont="1" applyFill="1" applyBorder="1" applyAlignment="1">
      <alignment horizontal="left" vertical="center" wrapText="1"/>
    </xf>
    <xf numFmtId="0" fontId="49" fillId="24" borderId="24" xfId="0" applyFont="1" applyFill="1" applyBorder="1" applyAlignment="1">
      <alignment vertical="center" wrapText="1"/>
    </xf>
    <xf numFmtId="10" fontId="20" fillId="43" borderId="21" xfId="0" applyNumberFormat="1" applyFont="1" applyFill="1" applyBorder="1" applyAlignment="1">
      <alignment horizontal="center" vertical="center" wrapText="1"/>
    </xf>
    <xf numFmtId="165" fontId="24" fillId="40" borderId="24" xfId="0" applyNumberFormat="1" applyFont="1" applyFill="1" applyBorder="1" applyAlignment="1">
      <alignment horizontal="center" vertical="center" wrapText="1"/>
    </xf>
    <xf numFmtId="165" fontId="58" fillId="50" borderId="111" xfId="0" applyNumberFormat="1" applyFont="1" applyFill="1" applyBorder="1" applyAlignment="1">
      <alignment horizontal="left" vertical="center" wrapText="1"/>
    </xf>
    <xf numFmtId="165" fontId="26" fillId="18" borderId="93" xfId="0" applyNumberFormat="1" applyFont="1" applyFill="1" applyBorder="1" applyAlignment="1">
      <alignment horizontal="center" vertical="center"/>
    </xf>
    <xf numFmtId="165" fontId="26" fillId="18" borderId="94" xfId="0" applyNumberFormat="1" applyFont="1" applyFill="1" applyBorder="1" applyAlignment="1">
      <alignment horizontal="center" vertical="center"/>
    </xf>
    <xf numFmtId="10" fontId="73" fillId="8" borderId="51" xfId="0" applyNumberFormat="1" applyFont="1" applyFill="1" applyBorder="1" applyAlignment="1">
      <alignment horizontal="center" vertical="center" wrapText="1"/>
    </xf>
    <xf numFmtId="10" fontId="73" fillId="5" borderId="51" xfId="0" applyNumberFormat="1" applyFont="1" applyFill="1" applyBorder="1" applyAlignment="1">
      <alignment horizontal="center" vertical="center" wrapText="1"/>
    </xf>
    <xf numFmtId="0" fontId="0" fillId="0" borderId="36" xfId="0" applyFont="1" applyBorder="1" applyAlignment="1"/>
    <xf numFmtId="0" fontId="11" fillId="51" borderId="25" xfId="0" applyFont="1" applyFill="1" applyBorder="1" applyAlignment="1">
      <alignment horizontal="center" vertical="center" wrapText="1"/>
    </xf>
    <xf numFmtId="165" fontId="0" fillId="0" borderId="0" xfId="0" applyNumberFormat="1" applyFont="1" applyAlignment="1"/>
    <xf numFmtId="165" fontId="74" fillId="17" borderId="106" xfId="1" applyNumberFormat="1" applyFont="1" applyFill="1" applyBorder="1" applyAlignment="1">
      <alignment horizontal="center" vertical="center" wrapText="1"/>
    </xf>
    <xf numFmtId="165" fontId="11" fillId="0" borderId="24" xfId="0" applyNumberFormat="1" applyFont="1" applyBorder="1" applyAlignment="1">
      <alignment horizontal="center" vertical="center"/>
    </xf>
    <xf numFmtId="0" fontId="11" fillId="45" borderId="24" xfId="0" applyFont="1" applyFill="1" applyBorder="1" applyAlignment="1">
      <alignment horizontal="center" wrapText="1"/>
    </xf>
    <xf numFmtId="0" fontId="11" fillId="45" borderId="24" xfId="0" applyFont="1" applyFill="1" applyBorder="1" applyAlignment="1">
      <alignment horizontal="center" vertical="center" wrapText="1"/>
    </xf>
    <xf numFmtId="165" fontId="0" fillId="0" borderId="0" xfId="1" applyNumberFormat="1" applyFont="1" applyAlignment="1">
      <alignment horizontal="left"/>
    </xf>
    <xf numFmtId="165" fontId="6" fillId="0" borderId="0" xfId="1" applyNumberFormat="1" applyFont="1" applyAlignment="1">
      <alignment horizontal="left" wrapText="1"/>
    </xf>
    <xf numFmtId="0" fontId="11" fillId="51" borderId="24" xfId="0" applyFont="1" applyFill="1" applyBorder="1" applyAlignment="1">
      <alignment horizontal="center" wrapText="1"/>
    </xf>
    <xf numFmtId="0" fontId="11" fillId="53" borderId="24" xfId="0" applyFont="1" applyFill="1" applyBorder="1" applyAlignment="1">
      <alignment horizontal="center" wrapText="1"/>
    </xf>
    <xf numFmtId="165" fontId="75" fillId="18" borderId="24" xfId="0" applyNumberFormat="1" applyFont="1" applyFill="1" applyBorder="1" applyAlignment="1">
      <alignment horizontal="center" vertical="center"/>
    </xf>
    <xf numFmtId="0" fontId="11" fillId="0" borderId="145" xfId="0" applyFont="1" applyBorder="1" applyAlignment="1"/>
    <xf numFmtId="0" fontId="11" fillId="45" borderId="145" xfId="0" applyFont="1" applyFill="1" applyBorder="1" applyAlignment="1">
      <alignment horizontal="center" wrapText="1"/>
    </xf>
    <xf numFmtId="0" fontId="27" fillId="0" borderId="145" xfId="0" applyFont="1" applyBorder="1" applyAlignment="1">
      <alignment wrapText="1"/>
    </xf>
    <xf numFmtId="0" fontId="33" fillId="0" borderId="145" xfId="0" applyFont="1" applyBorder="1" applyAlignment="1">
      <alignment wrapText="1"/>
    </xf>
    <xf numFmtId="9" fontId="58" fillId="7" borderId="25" xfId="1" applyFont="1" applyFill="1" applyBorder="1" applyAlignment="1">
      <alignment horizontal="center" vertical="center" wrapText="1"/>
    </xf>
    <xf numFmtId="168" fontId="0" fillId="0" borderId="0" xfId="0" applyNumberFormat="1" applyFont="1" applyAlignment="1"/>
    <xf numFmtId="165" fontId="64" fillId="8" borderId="9" xfId="0" applyNumberFormat="1" applyFont="1" applyFill="1" applyBorder="1" applyAlignment="1">
      <alignment horizontal="center" vertical="center" wrapText="1"/>
    </xf>
    <xf numFmtId="165" fontId="64" fillId="5" borderId="26" xfId="0" applyNumberFormat="1" applyFont="1" applyFill="1" applyBorder="1" applyAlignment="1">
      <alignment horizontal="center" vertical="center" wrapText="1"/>
    </xf>
    <xf numFmtId="165" fontId="64" fillId="5" borderId="18" xfId="0" applyNumberFormat="1" applyFont="1" applyFill="1" applyBorder="1" applyAlignment="1">
      <alignment horizontal="center" vertical="center" wrapText="1"/>
    </xf>
    <xf numFmtId="165" fontId="64" fillId="30" borderId="18" xfId="0" applyNumberFormat="1" applyFont="1" applyFill="1" applyBorder="1" applyAlignment="1">
      <alignment horizontal="center" vertical="center" wrapText="1"/>
    </xf>
    <xf numFmtId="10" fontId="58" fillId="4" borderId="45" xfId="0" applyNumberFormat="1" applyFont="1" applyFill="1" applyBorder="1" applyAlignment="1">
      <alignment horizontal="center" vertical="center" wrapText="1"/>
    </xf>
    <xf numFmtId="43" fontId="57" fillId="0" borderId="45" xfId="3" applyFont="1" applyBorder="1" applyAlignment="1">
      <alignment horizontal="center" vertical="center" wrapText="1"/>
    </xf>
    <xf numFmtId="10" fontId="64" fillId="30" borderId="71" xfId="0" applyNumberFormat="1" applyFont="1" applyFill="1" applyBorder="1" applyAlignment="1">
      <alignment horizontal="center" vertical="center" wrapText="1"/>
    </xf>
    <xf numFmtId="165" fontId="47" fillId="50" borderId="24" xfId="0" applyNumberFormat="1" applyFont="1" applyFill="1" applyBorder="1" applyAlignment="1">
      <alignment horizontal="center" vertical="center" wrapText="1"/>
    </xf>
    <xf numFmtId="164" fontId="67" fillId="0" borderId="24" xfId="0" applyNumberFormat="1" applyFont="1" applyBorder="1" applyAlignment="1">
      <alignment horizontal="center" vertical="center"/>
    </xf>
    <xf numFmtId="164" fontId="16" fillId="44" borderId="96" xfId="0" applyNumberFormat="1" applyFont="1" applyFill="1" applyBorder="1" applyAlignment="1">
      <alignment horizontal="center" vertical="center"/>
    </xf>
    <xf numFmtId="165" fontId="16" fillId="44" borderId="96" xfId="0" applyNumberFormat="1" applyFont="1" applyFill="1" applyBorder="1" applyAlignment="1">
      <alignment horizontal="center" vertical="center"/>
    </xf>
    <xf numFmtId="0" fontId="77" fillId="0" borderId="126" xfId="0" applyFont="1" applyBorder="1" applyAlignment="1">
      <alignment wrapText="1"/>
    </xf>
    <xf numFmtId="10" fontId="78" fillId="33" borderId="26" xfId="0" applyNumberFormat="1" applyFont="1" applyFill="1" applyBorder="1" applyAlignment="1">
      <alignment horizontal="center" vertical="center" wrapText="1"/>
    </xf>
    <xf numFmtId="10" fontId="78" fillId="5" borderId="18" xfId="0" applyNumberFormat="1" applyFont="1" applyFill="1" applyBorder="1" applyAlignment="1">
      <alignment horizontal="center" vertical="center" wrapText="1"/>
    </xf>
    <xf numFmtId="10" fontId="78" fillId="5" borderId="25" xfId="0" applyNumberFormat="1" applyFont="1" applyFill="1" applyBorder="1" applyAlignment="1">
      <alignment horizontal="center" vertical="center" wrapText="1"/>
    </xf>
    <xf numFmtId="0" fontId="77" fillId="0" borderId="70" xfId="0" applyFont="1" applyBorder="1" applyAlignment="1">
      <alignment horizontal="center" wrapText="1"/>
    </xf>
    <xf numFmtId="0" fontId="77" fillId="0" borderId="25" xfId="0" applyFont="1" applyBorder="1" applyAlignment="1">
      <alignment wrapText="1"/>
    </xf>
    <xf numFmtId="0" fontId="77" fillId="0" borderId="70" xfId="0" applyFont="1" applyBorder="1" applyAlignment="1">
      <alignment wrapText="1"/>
    </xf>
    <xf numFmtId="0" fontId="80" fillId="0" borderId="0" xfId="0" applyFont="1" applyAlignment="1"/>
    <xf numFmtId="0" fontId="0" fillId="0" borderId="0" xfId="0"/>
    <xf numFmtId="165" fontId="0" fillId="0" borderId="0" xfId="1" applyNumberFormat="1" applyFont="1"/>
    <xf numFmtId="0" fontId="0" fillId="17" borderId="0" xfId="0" applyFill="1"/>
    <xf numFmtId="165" fontId="0" fillId="17" borderId="0" xfId="1" applyNumberFormat="1" applyFont="1" applyFill="1"/>
    <xf numFmtId="0" fontId="85" fillId="51" borderId="24" xfId="0" applyFont="1" applyFill="1" applyBorder="1" applyAlignment="1">
      <alignment horizontal="center" vertical="center" wrapText="1"/>
    </xf>
    <xf numFmtId="0" fontId="0" fillId="0" borderId="24" xfId="0" applyBorder="1"/>
    <xf numFmtId="0" fontId="83" fillId="0" borderId="24" xfId="0" applyFont="1" applyBorder="1" applyAlignment="1">
      <alignment wrapText="1"/>
    </xf>
    <xf numFmtId="172" fontId="0" fillId="0" borderId="24" xfId="0" applyNumberFormat="1" applyBorder="1"/>
    <xf numFmtId="171" fontId="83" fillId="0" borderId="24" xfId="0" applyNumberFormat="1" applyFont="1" applyBorder="1"/>
    <xf numFmtId="172" fontId="83" fillId="0" borderId="24" xfId="0" applyNumberFormat="1" applyFont="1" applyBorder="1"/>
    <xf numFmtId="0" fontId="83" fillId="0" borderId="24" xfId="0" applyFont="1" applyBorder="1"/>
    <xf numFmtId="171" fontId="84" fillId="0" borderId="24" xfId="0" applyNumberFormat="1" applyFont="1" applyBorder="1"/>
    <xf numFmtId="172" fontId="84" fillId="0" borderId="24" xfId="0" applyNumberFormat="1" applyFont="1" applyBorder="1"/>
    <xf numFmtId="0" fontId="84" fillId="0" borderId="24" xfId="0" applyFont="1" applyBorder="1"/>
    <xf numFmtId="172" fontId="83" fillId="17" borderId="24" xfId="0" applyNumberFormat="1" applyFont="1" applyFill="1" applyBorder="1"/>
    <xf numFmtId="165" fontId="83" fillId="0" borderId="24" xfId="1" applyNumberFormat="1" applyFont="1" applyBorder="1"/>
    <xf numFmtId="165" fontId="0" fillId="0" borderId="24" xfId="1" applyNumberFormat="1" applyFont="1" applyBorder="1"/>
    <xf numFmtId="0" fontId="0" fillId="17" borderId="24" xfId="0" applyFill="1" applyBorder="1"/>
    <xf numFmtId="171" fontId="83" fillId="17" borderId="24" xfId="0" applyNumberFormat="1" applyFont="1" applyFill="1" applyBorder="1"/>
    <xf numFmtId="165" fontId="0" fillId="0" borderId="24" xfId="0" applyNumberFormat="1" applyBorder="1"/>
    <xf numFmtId="10" fontId="83" fillId="0" borderId="24" xfId="0" applyNumberFormat="1" applyFont="1" applyBorder="1"/>
    <xf numFmtId="10" fontId="0" fillId="0" borderId="24" xfId="0" applyNumberFormat="1" applyBorder="1"/>
    <xf numFmtId="171" fontId="84" fillId="17" borderId="24" xfId="0" applyNumberFormat="1" applyFont="1" applyFill="1" applyBorder="1"/>
    <xf numFmtId="0" fontId="84" fillId="17" borderId="24" xfId="0" applyFont="1" applyFill="1" applyBorder="1"/>
    <xf numFmtId="0" fontId="86" fillId="0" borderId="24" xfId="0" applyFont="1" applyBorder="1" applyAlignment="1">
      <alignment wrapText="1"/>
    </xf>
    <xf numFmtId="0" fontId="87" fillId="0" borderId="24" xfId="0" applyFont="1" applyBorder="1" applyAlignment="1">
      <alignment wrapText="1"/>
    </xf>
    <xf numFmtId="0" fontId="83" fillId="0" borderId="47" xfId="0" applyFont="1" applyBorder="1" applyAlignment="1">
      <alignment wrapText="1"/>
    </xf>
    <xf numFmtId="0" fontId="83" fillId="0" borderId="34" xfId="0" applyFont="1" applyBorder="1" applyAlignment="1">
      <alignment wrapText="1"/>
    </xf>
    <xf numFmtId="0" fontId="85" fillId="27" borderId="31" xfId="0" applyFont="1" applyFill="1" applyBorder="1" applyAlignment="1">
      <alignment horizontal="center" vertical="center" wrapText="1"/>
    </xf>
    <xf numFmtId="0" fontId="85" fillId="23" borderId="24" xfId="0" applyFont="1" applyFill="1" applyBorder="1" applyAlignment="1">
      <alignment vertical="center" wrapText="1"/>
    </xf>
    <xf numFmtId="172" fontId="11" fillId="23" borderId="24" xfId="0" applyNumberFormat="1" applyFont="1" applyFill="1" applyBorder="1" applyAlignment="1">
      <alignment vertical="center"/>
    </xf>
    <xf numFmtId="0" fontId="11" fillId="23" borderId="24" xfId="0" applyFont="1" applyFill="1" applyBorder="1" applyAlignment="1">
      <alignment vertical="center"/>
    </xf>
    <xf numFmtId="172" fontId="86" fillId="0" borderId="24" xfId="0" applyNumberFormat="1" applyFont="1" applyBorder="1"/>
    <xf numFmtId="0" fontId="86" fillId="0" borderId="24" xfId="0" applyFont="1" applyBorder="1"/>
    <xf numFmtId="0" fontId="90" fillId="0" borderId="0" xfId="0" applyFont="1"/>
    <xf numFmtId="165" fontId="35" fillId="56" borderId="71" xfId="0" applyNumberFormat="1" applyFont="1" applyFill="1" applyBorder="1" applyAlignment="1">
      <alignment horizontal="center" vertical="center" wrapText="1"/>
    </xf>
    <xf numFmtId="165" fontId="35" fillId="56" borderId="72" xfId="0" applyNumberFormat="1" applyFont="1" applyFill="1" applyBorder="1" applyAlignment="1">
      <alignment horizontal="center" vertical="center" wrapText="1"/>
    </xf>
    <xf numFmtId="165" fontId="35" fillId="56" borderId="73" xfId="0" applyNumberFormat="1" applyFont="1" applyFill="1" applyBorder="1" applyAlignment="1">
      <alignment horizontal="center" vertical="center" wrapText="1"/>
    </xf>
    <xf numFmtId="165" fontId="85" fillId="54" borderId="25" xfId="0" applyNumberFormat="1" applyFont="1" applyFill="1" applyBorder="1" applyAlignment="1">
      <alignment horizontal="center" vertical="center" wrapText="1"/>
    </xf>
    <xf numFmtId="165" fontId="88" fillId="54" borderId="25" xfId="0" applyNumberFormat="1" applyFont="1" applyFill="1" applyBorder="1" applyAlignment="1">
      <alignment horizontal="center" vertical="center" wrapText="1"/>
    </xf>
    <xf numFmtId="165" fontId="85" fillId="54" borderId="24" xfId="0" applyNumberFormat="1" applyFont="1" applyFill="1" applyBorder="1" applyAlignment="1">
      <alignment vertical="center" wrapText="1"/>
    </xf>
    <xf numFmtId="165" fontId="89" fillId="54" borderId="25" xfId="0" applyNumberFormat="1" applyFont="1" applyFill="1" applyBorder="1" applyAlignment="1">
      <alignment horizontal="center" vertical="center" wrapText="1"/>
    </xf>
    <xf numFmtId="0" fontId="46" fillId="29" borderId="10" xfId="0" applyFont="1" applyFill="1" applyBorder="1" applyAlignment="1">
      <alignment vertical="center" wrapText="1"/>
    </xf>
    <xf numFmtId="164" fontId="17" fillId="0" borderId="0" xfId="1" applyNumberFormat="1" applyFont="1" applyAlignment="1"/>
    <xf numFmtId="0" fontId="48" fillId="17" borderId="24" xfId="0" applyFont="1" applyFill="1" applyBorder="1" applyAlignment="1"/>
    <xf numFmtId="0" fontId="46" fillId="0" borderId="21" xfId="0" applyFont="1" applyBorder="1" applyAlignment="1">
      <alignment vertical="center" wrapText="1"/>
    </xf>
    <xf numFmtId="167" fontId="57" fillId="20" borderId="14" xfId="0" applyNumberFormat="1" applyFont="1" applyFill="1" applyBorder="1" applyAlignment="1">
      <alignment horizontal="center" vertical="center" wrapText="1"/>
    </xf>
    <xf numFmtId="0" fontId="46" fillId="17" borderId="24" xfId="0" applyFont="1" applyFill="1" applyBorder="1" applyAlignment="1">
      <alignment wrapText="1"/>
    </xf>
    <xf numFmtId="9" fontId="58" fillId="0" borderId="26" xfId="0" applyNumberFormat="1" applyFont="1" applyBorder="1" applyAlignment="1">
      <alignment horizontal="center" vertical="center" wrapText="1"/>
    </xf>
    <xf numFmtId="165" fontId="14" fillId="0" borderId="0" xfId="0" applyNumberFormat="1" applyFont="1" applyAlignment="1"/>
    <xf numFmtId="165" fontId="57" fillId="0" borderId="50" xfId="0" applyNumberFormat="1" applyFont="1" applyBorder="1" applyAlignment="1">
      <alignment horizontal="center" vertical="center" wrapText="1"/>
    </xf>
    <xf numFmtId="165" fontId="57" fillId="18" borderId="9" xfId="0" applyNumberFormat="1" applyFont="1" applyFill="1" applyBorder="1" applyAlignment="1">
      <alignment horizontal="center" vertical="center" wrapText="1"/>
    </xf>
    <xf numFmtId="0" fontId="47" fillId="24" borderId="27" xfId="0" applyFont="1" applyFill="1" applyBorder="1" applyAlignment="1">
      <alignment vertical="center" wrapText="1"/>
    </xf>
    <xf numFmtId="0" fontId="47" fillId="17" borderId="27" xfId="0" applyFont="1" applyFill="1" applyBorder="1" applyAlignment="1">
      <alignment vertical="center" wrapText="1"/>
    </xf>
    <xf numFmtId="0" fontId="37" fillId="18" borderId="47" xfId="0" applyFont="1" applyFill="1" applyBorder="1" applyAlignment="1">
      <alignment wrapText="1"/>
    </xf>
    <xf numFmtId="9" fontId="47" fillId="18" borderId="112" xfId="0" applyNumberFormat="1" applyFont="1" applyFill="1" applyBorder="1" applyAlignment="1">
      <alignment horizontal="center" vertical="center" wrapText="1"/>
    </xf>
    <xf numFmtId="0" fontId="57" fillId="29" borderId="55" xfId="0" applyFont="1" applyFill="1" applyBorder="1" applyAlignment="1">
      <alignment vertical="center" wrapText="1"/>
    </xf>
    <xf numFmtId="3" fontId="59" fillId="20" borderId="24" xfId="0" applyNumberFormat="1" applyFont="1" applyFill="1" applyBorder="1" applyAlignment="1">
      <alignment horizontal="center" vertical="center" wrapText="1"/>
    </xf>
    <xf numFmtId="0" fontId="46" fillId="29" borderId="55" xfId="0" applyFont="1" applyFill="1" applyBorder="1" applyAlignment="1">
      <alignment vertical="center" wrapText="1"/>
    </xf>
    <xf numFmtId="0" fontId="46" fillId="29" borderId="54" xfId="0" applyFont="1" applyFill="1" applyBorder="1" applyAlignment="1">
      <alignment vertical="center" wrapText="1"/>
    </xf>
    <xf numFmtId="9" fontId="47" fillId="24" borderId="47" xfId="0" applyNumberFormat="1" applyFont="1" applyFill="1" applyBorder="1" applyAlignment="1">
      <alignment horizontal="left" vertical="center" wrapText="1"/>
    </xf>
    <xf numFmtId="0" fontId="46" fillId="0" borderId="31" xfId="0" applyFont="1" applyBorder="1" applyAlignment="1">
      <alignment wrapText="1"/>
    </xf>
    <xf numFmtId="0" fontId="46" fillId="29" borderId="16" xfId="0" applyFont="1" applyFill="1" applyBorder="1" applyAlignment="1">
      <alignment vertical="center" wrapText="1"/>
    </xf>
    <xf numFmtId="0" fontId="46" fillId="49" borderId="24" xfId="0" applyFont="1" applyFill="1" applyBorder="1" applyAlignment="1">
      <alignment horizontal="center" vertical="center" wrapText="1"/>
    </xf>
    <xf numFmtId="10" fontId="66" fillId="31" borderId="24" xfId="0" applyNumberFormat="1" applyFont="1" applyFill="1" applyBorder="1" applyAlignment="1">
      <alignment horizontal="center" vertical="center" wrapText="1"/>
    </xf>
    <xf numFmtId="10" fontId="57" fillId="0" borderId="14" xfId="1" applyNumberFormat="1" applyFont="1" applyBorder="1" applyAlignment="1">
      <alignment horizontal="center" vertical="center" wrapText="1"/>
    </xf>
    <xf numFmtId="44" fontId="46" fillId="0" borderId="24" xfId="4" applyFont="1" applyBorder="1" applyAlignment="1">
      <alignment vertical="center" wrapText="1"/>
    </xf>
    <xf numFmtId="165" fontId="57" fillId="20" borderId="14" xfId="1" applyNumberFormat="1" applyFont="1" applyFill="1" applyBorder="1" applyAlignment="1">
      <alignment horizontal="center" vertical="center" wrapText="1"/>
    </xf>
    <xf numFmtId="2" fontId="48" fillId="0" borderId="24" xfId="0" applyNumberFormat="1" applyFont="1" applyBorder="1" applyAlignment="1">
      <alignment horizontal="center" vertical="center"/>
    </xf>
    <xf numFmtId="2" fontId="48" fillId="20" borderId="24" xfId="0" applyNumberFormat="1" applyFont="1" applyFill="1" applyBorder="1" applyAlignment="1">
      <alignment horizontal="center" vertical="center"/>
    </xf>
    <xf numFmtId="165" fontId="46" fillId="18" borderId="24" xfId="0" applyNumberFormat="1" applyFont="1" applyFill="1" applyBorder="1" applyAlignment="1">
      <alignment horizontal="center" vertical="center" wrapText="1"/>
    </xf>
    <xf numFmtId="0" fontId="57" fillId="20" borderId="132" xfId="0" applyFont="1" applyFill="1" applyBorder="1" applyAlignment="1">
      <alignment horizontal="center" vertical="center" wrapText="1"/>
    </xf>
    <xf numFmtId="0" fontId="59" fillId="20" borderId="133" xfId="0" applyFont="1" applyFill="1" applyBorder="1" applyAlignment="1">
      <alignment horizontal="center" vertical="center" wrapText="1"/>
    </xf>
    <xf numFmtId="0" fontId="59" fillId="20" borderId="0" xfId="0" applyFont="1" applyFill="1" applyBorder="1" applyAlignment="1">
      <alignment horizontal="center" vertical="center" wrapText="1"/>
    </xf>
    <xf numFmtId="0" fontId="59" fillId="20" borderId="70" xfId="0" applyFont="1" applyFill="1" applyBorder="1" applyAlignment="1">
      <alignment horizontal="center" vertical="center" wrapText="1"/>
    </xf>
    <xf numFmtId="167" fontId="57" fillId="20" borderId="9" xfId="0" applyNumberFormat="1" applyFont="1" applyFill="1" applyBorder="1" applyAlignment="1">
      <alignment horizontal="center" vertical="center" wrapText="1"/>
    </xf>
    <xf numFmtId="0" fontId="57" fillId="20" borderId="130" xfId="0" applyFont="1" applyFill="1" applyBorder="1" applyAlignment="1">
      <alignment horizontal="center" vertical="center" wrapText="1"/>
    </xf>
    <xf numFmtId="0" fontId="57" fillId="0" borderId="47" xfId="0" applyFont="1" applyBorder="1" applyAlignment="1">
      <alignment horizontal="center" vertical="center" wrapText="1"/>
    </xf>
    <xf numFmtId="165" fontId="58" fillId="31" borderId="85" xfId="0" applyNumberFormat="1" applyFont="1" applyFill="1" applyBorder="1" applyAlignment="1">
      <alignment horizontal="center" vertical="center" wrapText="1"/>
    </xf>
    <xf numFmtId="164" fontId="93" fillId="0" borderId="0" xfId="1" applyNumberFormat="1" applyFont="1" applyAlignment="1"/>
    <xf numFmtId="0" fontId="14" fillId="0" borderId="24" xfId="0" applyFont="1" applyBorder="1" applyAlignment="1">
      <alignment horizontal="center"/>
    </xf>
    <xf numFmtId="165" fontId="27" fillId="0" borderId="0" xfId="0" applyNumberFormat="1" applyFont="1" applyAlignment="1">
      <alignment horizontal="center" vertical="center"/>
    </xf>
    <xf numFmtId="165" fontId="27" fillId="0" borderId="24" xfId="0" applyNumberFormat="1" applyFont="1" applyBorder="1" applyAlignment="1">
      <alignment horizontal="center" vertical="center"/>
    </xf>
    <xf numFmtId="0" fontId="14" fillId="0" borderId="24" xfId="0" applyFont="1" applyBorder="1" applyAlignment="1">
      <alignment wrapText="1"/>
    </xf>
    <xf numFmtId="165" fontId="14" fillId="0" borderId="24" xfId="0" applyNumberFormat="1" applyFont="1" applyBorder="1" applyAlignment="1">
      <alignment horizontal="center" vertical="center"/>
    </xf>
    <xf numFmtId="165" fontId="64" fillId="8" borderId="25" xfId="0" applyNumberFormat="1" applyFont="1" applyFill="1" applyBorder="1" applyAlignment="1">
      <alignment horizontal="center" vertical="center" wrapText="1"/>
    </xf>
    <xf numFmtId="165" fontId="64" fillId="5" borderId="43" xfId="0" applyNumberFormat="1" applyFont="1" applyFill="1" applyBorder="1" applyAlignment="1">
      <alignment horizontal="center" vertical="center" wrapText="1"/>
    </xf>
    <xf numFmtId="165" fontId="64" fillId="8" borderId="43" xfId="0" applyNumberFormat="1" applyFont="1" applyFill="1" applyBorder="1" applyAlignment="1">
      <alignment horizontal="center" vertical="center" wrapText="1"/>
    </xf>
    <xf numFmtId="173" fontId="31" fillId="0" borderId="0" xfId="1" applyNumberFormat="1" applyFont="1" applyAlignment="1"/>
    <xf numFmtId="173" fontId="94" fillId="0" borderId="0" xfId="0" applyNumberFormat="1" applyFont="1" applyAlignment="1"/>
    <xf numFmtId="0" fontId="4" fillId="0" borderId="0" xfId="0" applyFont="1" applyAlignment="1">
      <alignment vertical="center" wrapText="1"/>
    </xf>
    <xf numFmtId="0" fontId="21" fillId="0" borderId="35" xfId="0" applyFont="1" applyBorder="1" applyAlignment="1">
      <alignment horizontal="justify" vertical="center" wrapText="1"/>
    </xf>
    <xf numFmtId="43" fontId="0" fillId="0" borderId="0" xfId="3" applyFont="1" applyAlignment="1"/>
    <xf numFmtId="10" fontId="64" fillId="8" borderId="75" xfId="0" applyNumberFormat="1" applyFont="1" applyFill="1" applyBorder="1" applyAlignment="1">
      <alignment horizontal="center" vertical="center" wrapText="1"/>
    </xf>
    <xf numFmtId="10" fontId="64" fillId="8" borderId="43" xfId="0" applyNumberFormat="1" applyFont="1" applyFill="1" applyBorder="1" applyAlignment="1">
      <alignment horizontal="center" vertical="center" wrapText="1"/>
    </xf>
    <xf numFmtId="0" fontId="76" fillId="16" borderId="24" xfId="0" applyFont="1" applyFill="1" applyBorder="1" applyAlignment="1">
      <alignment horizontal="center" vertical="center" wrapText="1"/>
    </xf>
    <xf numFmtId="0" fontId="69" fillId="16" borderId="24" xfId="0" applyFont="1" applyFill="1" applyBorder="1" applyAlignment="1">
      <alignment horizontal="center" vertical="center" wrapText="1"/>
    </xf>
    <xf numFmtId="0" fontId="8" fillId="0" borderId="24" xfId="0" applyFont="1" applyBorder="1" applyAlignment="1">
      <alignment wrapText="1"/>
    </xf>
    <xf numFmtId="10" fontId="95" fillId="0" borderId="24" xfId="0" applyNumberFormat="1" applyFont="1" applyBorder="1" applyAlignment="1">
      <alignment horizontal="center" vertical="center"/>
    </xf>
    <xf numFmtId="10" fontId="95" fillId="0" borderId="24" xfId="1" applyNumberFormat="1" applyFont="1" applyBorder="1" applyAlignment="1">
      <alignment horizontal="center" vertical="center"/>
    </xf>
    <xf numFmtId="0" fontId="8" fillId="4" borderId="24" xfId="0" applyFont="1" applyFill="1" applyBorder="1" applyAlignment="1">
      <alignment horizontal="left" vertical="center" wrapText="1"/>
    </xf>
    <xf numFmtId="10" fontId="96" fillId="0" borderId="24" xfId="0" applyNumberFormat="1" applyFont="1" applyBorder="1" applyAlignment="1">
      <alignment horizontal="center" vertical="center"/>
    </xf>
    <xf numFmtId="10" fontId="97" fillId="0" borderId="0" xfId="1" applyNumberFormat="1" applyFont="1" applyAlignment="1">
      <alignment horizontal="center"/>
    </xf>
    <xf numFmtId="9" fontId="47" fillId="24" borderId="113" xfId="0" applyNumberFormat="1" applyFont="1" applyFill="1" applyBorder="1" applyAlignment="1">
      <alignment horizontal="center" vertical="center" wrapText="1"/>
    </xf>
    <xf numFmtId="0" fontId="99" fillId="0" borderId="162" xfId="0" applyFont="1" applyBorder="1" applyAlignment="1">
      <alignment horizontal="center" vertical="center"/>
    </xf>
    <xf numFmtId="0" fontId="99" fillId="0" borderId="163" xfId="0" applyFont="1" applyBorder="1" applyAlignment="1">
      <alignment horizontal="center" vertical="center"/>
    </xf>
    <xf numFmtId="0" fontId="99" fillId="0" borderId="163" xfId="0" applyFont="1" applyFill="1" applyBorder="1" applyAlignment="1">
      <alignment horizontal="center" vertical="center"/>
    </xf>
    <xf numFmtId="0" fontId="99" fillId="0" borderId="164" xfId="0" applyFont="1" applyFill="1" applyBorder="1" applyAlignment="1">
      <alignment horizontal="center" vertical="center"/>
    </xf>
    <xf numFmtId="0" fontId="99" fillId="0" borderId="28" xfId="0" applyFont="1" applyFill="1" applyBorder="1" applyAlignment="1">
      <alignment horizontal="center" vertical="center"/>
    </xf>
    <xf numFmtId="0" fontId="71" fillId="0" borderId="114" xfId="0" applyFont="1" applyBorder="1" applyAlignment="1">
      <alignment wrapText="1"/>
    </xf>
    <xf numFmtId="0" fontId="71" fillId="0" borderId="114" xfId="0" applyFont="1" applyFill="1" applyBorder="1" applyAlignment="1">
      <alignment wrapText="1"/>
    </xf>
    <xf numFmtId="0" fontId="71" fillId="0" borderId="110" xfId="0" applyFont="1" applyFill="1" applyBorder="1" applyAlignment="1">
      <alignment wrapText="1"/>
    </xf>
    <xf numFmtId="0" fontId="71" fillId="0" borderId="25" xfId="0" applyFont="1" applyFill="1" applyBorder="1" applyAlignment="1">
      <alignment wrapText="1"/>
    </xf>
    <xf numFmtId="0" fontId="0" fillId="0" borderId="27" xfId="0" applyFont="1" applyBorder="1" applyAlignment="1"/>
    <xf numFmtId="0" fontId="71" fillId="0" borderId="25" xfId="0" applyFont="1" applyBorder="1" applyAlignment="1">
      <alignment horizontal="center" wrapText="1"/>
    </xf>
    <xf numFmtId="0" fontId="71" fillId="57" borderId="25" xfId="0" applyFont="1" applyFill="1" applyBorder="1" applyAlignment="1">
      <alignment horizontal="center" wrapText="1"/>
    </xf>
    <xf numFmtId="0" fontId="99" fillId="0" borderId="114" xfId="0" applyFont="1" applyBorder="1" applyAlignment="1">
      <alignment horizontal="center" vertical="center"/>
    </xf>
    <xf numFmtId="0" fontId="99" fillId="0" borderId="114" xfId="0" applyFont="1" applyBorder="1" applyAlignment="1"/>
    <xf numFmtId="0" fontId="99" fillId="0" borderId="114" xfId="0" applyFont="1" applyFill="1" applyBorder="1" applyAlignment="1">
      <alignment horizontal="center" vertical="center"/>
    </xf>
    <xf numFmtId="0" fontId="71" fillId="0" borderId="115" xfId="0" applyFont="1" applyBorder="1" applyAlignment="1">
      <alignment wrapText="1"/>
    </xf>
    <xf numFmtId="0" fontId="99" fillId="0" borderId="115" xfId="0" applyFont="1" applyBorder="1" applyAlignment="1">
      <alignment horizontal="center" vertical="center"/>
    </xf>
    <xf numFmtId="0" fontId="99" fillId="0" borderId="110" xfId="0" applyFont="1" applyFill="1" applyBorder="1" applyAlignment="1">
      <alignment horizontal="center" vertical="center"/>
    </xf>
    <xf numFmtId="0" fontId="99" fillId="0" borderId="25" xfId="0" applyFont="1" applyFill="1" applyBorder="1" applyAlignment="1">
      <alignment horizontal="center" vertical="center"/>
    </xf>
    <xf numFmtId="165" fontId="57" fillId="0" borderId="18" xfId="0" applyNumberFormat="1" applyFont="1" applyBorder="1" applyAlignment="1">
      <alignment horizontal="center" vertical="center" wrapText="1"/>
    </xf>
    <xf numFmtId="170" fontId="57" fillId="20" borderId="9" xfId="0" applyNumberFormat="1" applyFont="1" applyFill="1" applyBorder="1" applyAlignment="1">
      <alignment horizontal="center" vertical="center" wrapText="1"/>
    </xf>
    <xf numFmtId="170" fontId="57" fillId="0" borderId="14" xfId="0" applyNumberFormat="1" applyFont="1" applyBorder="1" applyAlignment="1">
      <alignment horizontal="center" vertical="center" wrapText="1"/>
    </xf>
    <xf numFmtId="174" fontId="57" fillId="20" borderId="14" xfId="3" applyNumberFormat="1" applyFont="1" applyFill="1" applyBorder="1" applyAlignment="1">
      <alignment horizontal="center" vertical="center" wrapText="1"/>
    </xf>
    <xf numFmtId="0" fontId="65" fillId="0" borderId="4" xfId="0" applyFont="1" applyBorder="1" applyAlignment="1">
      <alignment wrapText="1"/>
    </xf>
    <xf numFmtId="0" fontId="65" fillId="0" borderId="16" xfId="0" applyFont="1" applyBorder="1" applyAlignment="1">
      <alignment wrapText="1"/>
    </xf>
    <xf numFmtId="9" fontId="66" fillId="7" borderId="114" xfId="0" applyNumberFormat="1" applyFont="1" applyFill="1" applyBorder="1" applyAlignment="1">
      <alignment horizontal="center" vertical="center" wrapText="1"/>
    </xf>
    <xf numFmtId="165" fontId="66" fillId="7" borderId="34" xfId="0" applyNumberFormat="1" applyFont="1" applyFill="1" applyBorder="1" applyAlignment="1">
      <alignment horizontal="center" vertical="center" wrapText="1"/>
    </xf>
    <xf numFmtId="9" fontId="65" fillId="0" borderId="24" xfId="0" applyNumberFormat="1" applyFont="1" applyBorder="1" applyAlignment="1">
      <alignment vertical="center" wrapText="1"/>
    </xf>
    <xf numFmtId="165" fontId="66" fillId="35" borderId="24" xfId="0" applyNumberFormat="1" applyFont="1" applyFill="1" applyBorder="1" applyAlignment="1">
      <alignment horizontal="center" vertical="center" wrapText="1"/>
    </xf>
    <xf numFmtId="165" fontId="66" fillId="55" borderId="24" xfId="0" applyNumberFormat="1" applyFont="1" applyFill="1" applyBorder="1" applyAlignment="1">
      <alignment horizontal="center" vertical="center" wrapText="1"/>
    </xf>
    <xf numFmtId="10" fontId="11" fillId="0" borderId="0" xfId="0" applyNumberFormat="1" applyFont="1" applyAlignment="1"/>
    <xf numFmtId="167" fontId="57" fillId="20" borderId="24" xfId="0" applyNumberFormat="1" applyFont="1" applyFill="1" applyBorder="1" applyAlignment="1">
      <alignment horizontal="center" vertical="center" wrapText="1"/>
    </xf>
    <xf numFmtId="170" fontId="57" fillId="0" borderId="24" xfId="0" applyNumberFormat="1" applyFont="1" applyBorder="1" applyAlignment="1">
      <alignment horizontal="center" vertical="center" wrapText="1"/>
    </xf>
    <xf numFmtId="9" fontId="44" fillId="0" borderId="40" xfId="1" applyNumberFormat="1" applyFont="1" applyBorder="1" applyAlignment="1">
      <alignment horizontal="center" vertical="center" wrapText="1"/>
    </xf>
    <xf numFmtId="0" fontId="47" fillId="24" borderId="9" xfId="0" applyFont="1" applyFill="1" applyBorder="1" applyAlignment="1">
      <alignment vertical="center" wrapText="1"/>
    </xf>
    <xf numFmtId="167" fontId="46" fillId="18" borderId="24" xfId="0" applyNumberFormat="1" applyFont="1" applyFill="1" applyBorder="1" applyAlignment="1">
      <alignment horizontal="center" vertical="center" wrapText="1"/>
    </xf>
    <xf numFmtId="9" fontId="57" fillId="18" borderId="9" xfId="0" applyNumberFormat="1" applyFont="1" applyFill="1" applyBorder="1" applyAlignment="1">
      <alignment horizontal="center" vertical="center" wrapText="1"/>
    </xf>
    <xf numFmtId="9" fontId="57" fillId="18" borderId="6" xfId="0" applyNumberFormat="1" applyFont="1" applyFill="1" applyBorder="1" applyAlignment="1">
      <alignment horizontal="center" vertical="center" wrapText="1"/>
    </xf>
    <xf numFmtId="9" fontId="57" fillId="18" borderId="13" xfId="0" applyNumberFormat="1" applyFont="1" applyFill="1" applyBorder="1" applyAlignment="1">
      <alignment horizontal="center" vertical="center" wrapText="1"/>
    </xf>
    <xf numFmtId="0" fontId="59" fillId="20" borderId="25" xfId="0" applyFont="1" applyFill="1" applyBorder="1" applyAlignment="1">
      <alignment horizontal="center" vertical="center" wrapText="1"/>
    </xf>
    <xf numFmtId="0" fontId="59" fillId="20" borderId="74" xfId="0" applyFont="1" applyFill="1" applyBorder="1" applyAlignment="1">
      <alignment horizontal="center" vertical="center" wrapText="1"/>
    </xf>
    <xf numFmtId="0" fontId="59" fillId="20" borderId="44" xfId="0" applyFont="1" applyFill="1" applyBorder="1" applyAlignment="1">
      <alignment horizontal="center" vertical="center" wrapText="1"/>
    </xf>
    <xf numFmtId="0" fontId="57" fillId="20" borderId="26" xfId="0" applyFont="1" applyFill="1" applyBorder="1" applyAlignment="1">
      <alignment horizontal="center" vertical="center" wrapText="1"/>
    </xf>
    <xf numFmtId="0" fontId="0" fillId="18" borderId="24" xfId="0" applyFont="1" applyFill="1" applyBorder="1" applyAlignment="1">
      <alignment wrapText="1"/>
    </xf>
    <xf numFmtId="0" fontId="4" fillId="18" borderId="24" xfId="0" applyFont="1" applyFill="1" applyBorder="1" applyAlignment="1">
      <alignment horizontal="left" vertical="center" wrapText="1"/>
    </xf>
    <xf numFmtId="0" fontId="3" fillId="49" borderId="24" xfId="0" applyFont="1" applyFill="1" applyBorder="1" applyAlignment="1">
      <alignment wrapText="1"/>
    </xf>
    <xf numFmtId="0" fontId="2" fillId="49" borderId="24" xfId="0" applyFont="1" applyFill="1" applyBorder="1" applyAlignment="1"/>
    <xf numFmtId="0" fontId="11" fillId="18" borderId="24" xfId="0" applyFont="1" applyFill="1" applyBorder="1" applyAlignment="1">
      <alignment horizontal="center" vertical="center"/>
    </xf>
    <xf numFmtId="0" fontId="37" fillId="0" borderId="47" xfId="0" applyFont="1" applyBorder="1" applyAlignment="1">
      <alignment vertical="center" wrapText="1"/>
    </xf>
    <xf numFmtId="9" fontId="0" fillId="0" borderId="0" xfId="0" applyNumberFormat="1" applyFont="1" applyAlignment="1"/>
    <xf numFmtId="165" fontId="78" fillId="38" borderId="116" xfId="0" applyNumberFormat="1" applyFont="1" applyFill="1" applyBorder="1" applyAlignment="1">
      <alignment vertical="center" wrapText="1"/>
    </xf>
    <xf numFmtId="165" fontId="66" fillId="39" borderId="47" xfId="0" applyNumberFormat="1" applyFont="1" applyFill="1" applyBorder="1" applyAlignment="1">
      <alignment horizontal="center" vertical="center" wrapText="1"/>
    </xf>
    <xf numFmtId="165" fontId="66" fillId="32" borderId="47" xfId="0" applyNumberFormat="1" applyFont="1" applyFill="1" applyBorder="1" applyAlignment="1">
      <alignment horizontal="center" vertical="center" wrapText="1"/>
    </xf>
    <xf numFmtId="9" fontId="57" fillId="18" borderId="47" xfId="0" applyNumberFormat="1" applyFont="1" applyFill="1" applyBorder="1" applyAlignment="1">
      <alignment horizontal="center" vertical="center" wrapText="1"/>
    </xf>
    <xf numFmtId="165" fontId="58" fillId="39" borderId="47" xfId="0" applyNumberFormat="1" applyFont="1" applyFill="1" applyBorder="1" applyAlignment="1">
      <alignment horizontal="center" vertical="center" wrapText="1"/>
    </xf>
    <xf numFmtId="0" fontId="57" fillId="0" borderId="170" xfId="0" applyFont="1" applyBorder="1" applyAlignment="1">
      <alignment wrapText="1"/>
    </xf>
    <xf numFmtId="0" fontId="58" fillId="47" borderId="171" xfId="0" applyFont="1" applyFill="1" applyBorder="1" applyAlignment="1">
      <alignment horizontal="center" vertical="center" wrapText="1"/>
    </xf>
    <xf numFmtId="0" fontId="58" fillId="47" borderId="172" xfId="0" applyFont="1" applyFill="1" applyBorder="1" applyAlignment="1">
      <alignment horizontal="center" vertical="center" wrapText="1"/>
    </xf>
    <xf numFmtId="0" fontId="77" fillId="0" borderId="24" xfId="0" applyFont="1" applyBorder="1" applyAlignment="1">
      <alignment wrapText="1"/>
    </xf>
    <xf numFmtId="0" fontId="80" fillId="0" borderId="24" xfId="0" applyFont="1" applyBorder="1" applyAlignment="1"/>
    <xf numFmtId="0" fontId="68" fillId="0" borderId="24" xfId="0" applyFont="1" applyBorder="1" applyAlignment="1"/>
    <xf numFmtId="0" fontId="35" fillId="24" borderId="24" xfId="0" applyFont="1" applyFill="1" applyBorder="1" applyAlignment="1">
      <alignment vertical="center" wrapText="1"/>
    </xf>
    <xf numFmtId="0" fontId="59" fillId="0" borderId="24" xfId="0" applyFont="1" applyBorder="1" applyAlignment="1"/>
    <xf numFmtId="9" fontId="58" fillId="17" borderId="24" xfId="0" applyNumberFormat="1" applyFont="1" applyFill="1" applyBorder="1" applyAlignment="1">
      <alignment horizontal="left" vertical="center" wrapText="1"/>
    </xf>
    <xf numFmtId="0" fontId="58" fillId="46" borderId="24" xfId="0" applyFont="1" applyFill="1" applyBorder="1" applyAlignment="1">
      <alignment vertical="center" wrapText="1"/>
    </xf>
    <xf numFmtId="0" fontId="58" fillId="17" borderId="24" xfId="0" applyFont="1" applyFill="1" applyBorder="1" applyAlignment="1">
      <alignment wrapText="1"/>
    </xf>
    <xf numFmtId="0" fontId="58" fillId="23" borderId="24" xfId="0" applyFont="1" applyFill="1" applyBorder="1" applyAlignment="1">
      <alignment vertical="center" wrapText="1"/>
    </xf>
    <xf numFmtId="0" fontId="58" fillId="46" borderId="24" xfId="0" applyFont="1" applyFill="1" applyBorder="1" applyAlignment="1">
      <alignment wrapText="1"/>
    </xf>
    <xf numFmtId="165" fontId="47" fillId="39" borderId="113" xfId="0" applyNumberFormat="1" applyFont="1" applyFill="1" applyBorder="1" applyAlignment="1">
      <alignment horizontal="center" vertical="center" wrapText="1"/>
    </xf>
    <xf numFmtId="165" fontId="47" fillId="38" borderId="113" xfId="0" applyNumberFormat="1" applyFont="1" applyFill="1" applyBorder="1" applyAlignment="1">
      <alignment horizontal="center" vertical="center" wrapText="1"/>
    </xf>
    <xf numFmtId="9" fontId="46" fillId="24" borderId="113" xfId="0" applyNumberFormat="1" applyFont="1" applyFill="1" applyBorder="1" applyAlignment="1">
      <alignment horizontal="left" vertical="center" wrapText="1"/>
    </xf>
    <xf numFmtId="9" fontId="46" fillId="17" borderId="113" xfId="0" applyNumberFormat="1" applyFont="1" applyFill="1" applyBorder="1" applyAlignment="1">
      <alignment horizontal="center" vertical="center" wrapText="1"/>
    </xf>
    <xf numFmtId="0" fontId="47" fillId="24" borderId="24" xfId="0" applyFont="1" applyFill="1" applyBorder="1" applyAlignment="1">
      <alignment vertical="center" wrapText="1"/>
    </xf>
    <xf numFmtId="0" fontId="47" fillId="24" borderId="24" xfId="0" applyFont="1" applyFill="1" applyBorder="1" applyAlignment="1">
      <alignment horizontal="left" vertical="center" wrapText="1"/>
    </xf>
    <xf numFmtId="0" fontId="47" fillId="46" borderId="24" xfId="0" applyFont="1" applyFill="1" applyBorder="1" applyAlignment="1">
      <alignment vertical="center" wrapText="1"/>
    </xf>
    <xf numFmtId="10" fontId="52" fillId="32" borderId="47" xfId="0" applyNumberFormat="1" applyFont="1" applyFill="1" applyBorder="1" applyAlignment="1">
      <alignment vertical="center" wrapText="1"/>
    </xf>
    <xf numFmtId="165" fontId="47" fillId="38" borderId="47" xfId="0" applyNumberFormat="1" applyFont="1" applyFill="1" applyBorder="1" applyAlignment="1">
      <alignment horizontal="center" vertical="center" wrapText="1"/>
    </xf>
    <xf numFmtId="165" fontId="47" fillId="32" borderId="47" xfId="0" applyNumberFormat="1" applyFont="1" applyFill="1" applyBorder="1" applyAlignment="1">
      <alignment horizontal="center" vertical="center" wrapText="1"/>
    </xf>
    <xf numFmtId="9" fontId="46" fillId="46" borderId="47" xfId="0" applyNumberFormat="1" applyFont="1" applyFill="1" applyBorder="1" applyAlignment="1">
      <alignment horizontal="center" vertical="center" wrapText="1"/>
    </xf>
    <xf numFmtId="9" fontId="46" fillId="24" borderId="47" xfId="0" applyNumberFormat="1" applyFont="1" applyFill="1" applyBorder="1" applyAlignment="1">
      <alignment horizontal="left" wrapText="1"/>
    </xf>
    <xf numFmtId="9" fontId="46" fillId="46" borderId="47" xfId="0" applyNumberFormat="1" applyFont="1" applyFill="1" applyBorder="1" applyAlignment="1">
      <alignment horizontal="left" vertical="center" wrapText="1"/>
    </xf>
    <xf numFmtId="9" fontId="46" fillId="17" borderId="47" xfId="0" applyNumberFormat="1" applyFont="1" applyFill="1" applyBorder="1" applyAlignment="1">
      <alignment horizontal="left" vertical="center" wrapText="1"/>
    </xf>
    <xf numFmtId="165" fontId="47" fillId="30" borderId="47" xfId="0" applyNumberFormat="1" applyFont="1" applyFill="1" applyBorder="1" applyAlignment="1">
      <alignment horizontal="left" vertical="center" wrapText="1"/>
    </xf>
    <xf numFmtId="9" fontId="46" fillId="18" borderId="47" xfId="0" applyNumberFormat="1" applyFont="1" applyFill="1" applyBorder="1" applyAlignment="1">
      <alignment horizontal="center" vertical="center" wrapText="1"/>
    </xf>
    <xf numFmtId="0" fontId="49" fillId="24" borderId="24" xfId="0" applyFont="1" applyFill="1" applyBorder="1" applyAlignment="1">
      <alignment horizontal="center" vertical="center" wrapText="1"/>
    </xf>
    <xf numFmtId="0" fontId="49" fillId="17" borderId="24" xfId="0" applyFont="1" applyFill="1" applyBorder="1" applyAlignment="1"/>
    <xf numFmtId="0" fontId="41" fillId="0" borderId="116" xfId="0" applyFont="1" applyBorder="1" applyAlignment="1">
      <alignment wrapText="1"/>
    </xf>
    <xf numFmtId="0" fontId="65" fillId="0" borderId="47" xfId="0" applyFont="1" applyBorder="1" applyAlignment="1">
      <alignment wrapText="1"/>
    </xf>
    <xf numFmtId="9" fontId="47" fillId="17" borderId="47" xfId="0" applyNumberFormat="1" applyFont="1" applyFill="1" applyBorder="1" applyAlignment="1">
      <alignment horizontal="left" vertical="center" wrapText="1"/>
    </xf>
    <xf numFmtId="0" fontId="47" fillId="17" borderId="47" xfId="0" applyFont="1" applyFill="1" applyBorder="1" applyAlignment="1">
      <alignment vertical="center" wrapText="1"/>
    </xf>
    <xf numFmtId="0" fontId="41" fillId="0" borderId="24" xfId="0" applyFont="1" applyBorder="1" applyAlignment="1">
      <alignment wrapText="1"/>
    </xf>
    <xf numFmtId="10" fontId="35" fillId="32" borderId="116" xfId="0" applyNumberFormat="1" applyFont="1" applyFill="1" applyBorder="1" applyAlignment="1">
      <alignment vertical="center" wrapText="1"/>
    </xf>
    <xf numFmtId="165" fontId="35" fillId="38" borderId="47" xfId="0" applyNumberFormat="1" applyFont="1" applyFill="1" applyBorder="1" applyAlignment="1">
      <alignment horizontal="center" vertical="center" wrapText="1"/>
    </xf>
    <xf numFmtId="165" fontId="35" fillId="32" borderId="47" xfId="0" applyNumberFormat="1" applyFont="1" applyFill="1" applyBorder="1" applyAlignment="1">
      <alignment horizontal="center" vertical="center" wrapText="1"/>
    </xf>
    <xf numFmtId="9" fontId="37" fillId="46" borderId="47" xfId="0" applyNumberFormat="1" applyFont="1" applyFill="1" applyBorder="1" applyAlignment="1">
      <alignment horizontal="left" vertical="center" wrapText="1"/>
    </xf>
    <xf numFmtId="0" fontId="35" fillId="46" borderId="24" xfId="0" applyFont="1" applyFill="1" applyBorder="1" applyAlignment="1">
      <alignment horizontal="center" vertical="center" wrapText="1"/>
    </xf>
    <xf numFmtId="0" fontId="35" fillId="17" borderId="24" xfId="0" applyFont="1" applyFill="1" applyBorder="1" applyAlignment="1">
      <alignment vertical="center" wrapText="1"/>
    </xf>
    <xf numFmtId="9" fontId="35" fillId="24" borderId="24" xfId="0" applyNumberFormat="1" applyFont="1" applyFill="1" applyBorder="1" applyAlignment="1">
      <alignment horizontal="center" vertical="center" wrapText="1"/>
    </xf>
    <xf numFmtId="9" fontId="35" fillId="24" borderId="24" xfId="0" applyNumberFormat="1" applyFont="1" applyFill="1" applyBorder="1" applyAlignment="1">
      <alignment horizontal="left" vertical="center" wrapText="1"/>
    </xf>
    <xf numFmtId="2" fontId="57" fillId="20" borderId="9" xfId="0" applyNumberFormat="1" applyFont="1" applyFill="1" applyBorder="1" applyAlignment="1">
      <alignment horizontal="center" vertical="center" wrapText="1"/>
    </xf>
    <xf numFmtId="165" fontId="57" fillId="0" borderId="74" xfId="0" applyNumberFormat="1" applyFont="1" applyBorder="1" applyAlignment="1">
      <alignment horizontal="center" vertical="center" wrapText="1"/>
    </xf>
    <xf numFmtId="0" fontId="57" fillId="18" borderId="6" xfId="0" applyFont="1" applyFill="1" applyBorder="1" applyAlignment="1">
      <alignment horizontal="center" vertical="center" wrapText="1"/>
    </xf>
    <xf numFmtId="165" fontId="46" fillId="0" borderId="24" xfId="0" applyNumberFormat="1" applyFont="1" applyBorder="1" applyAlignment="1">
      <alignment horizontal="center" wrapText="1"/>
    </xf>
    <xf numFmtId="0" fontId="19" fillId="24" borderId="18" xfId="0" applyFont="1" applyFill="1" applyBorder="1" applyAlignment="1">
      <alignment horizontal="center" vertical="center" wrapText="1"/>
    </xf>
    <xf numFmtId="0" fontId="19" fillId="25" borderId="18" xfId="0" applyFont="1" applyFill="1" applyBorder="1" applyAlignment="1">
      <alignment horizontal="center" vertical="center" wrapText="1"/>
    </xf>
    <xf numFmtId="0" fontId="19" fillId="17" borderId="18" xfId="0" applyFont="1" applyFill="1" applyBorder="1" applyAlignment="1">
      <alignment horizontal="center" vertical="center" wrapText="1"/>
    </xf>
    <xf numFmtId="0" fontId="19" fillId="26" borderId="18" xfId="0" applyFont="1" applyFill="1" applyBorder="1" applyAlignment="1">
      <alignment horizontal="center" vertical="center" wrapText="1"/>
    </xf>
    <xf numFmtId="0" fontId="19" fillId="23" borderId="18" xfId="0" applyFont="1" applyFill="1" applyBorder="1" applyAlignment="1">
      <alignment horizontal="center" vertical="center" wrapText="1"/>
    </xf>
    <xf numFmtId="169" fontId="57" fillId="20" borderId="14" xfId="3" applyNumberFormat="1" applyFont="1" applyFill="1" applyBorder="1" applyAlignment="1">
      <alignment horizontal="center" vertical="center" wrapText="1"/>
    </xf>
    <xf numFmtId="169" fontId="57" fillId="20" borderId="14" xfId="3" applyNumberFormat="1" applyFont="1" applyFill="1" applyBorder="1" applyAlignment="1">
      <alignment vertical="center" wrapText="1"/>
    </xf>
    <xf numFmtId="0" fontId="57" fillId="20" borderId="50" xfId="0" applyFont="1" applyFill="1" applyBorder="1" applyAlignment="1">
      <alignment horizontal="center" vertical="center" wrapText="1"/>
    </xf>
    <xf numFmtId="0" fontId="11" fillId="0" borderId="43" xfId="0" applyFont="1" applyBorder="1" applyAlignment="1">
      <alignment horizontal="center" vertical="center"/>
    </xf>
    <xf numFmtId="0" fontId="11" fillId="22" borderId="43" xfId="0" applyFont="1" applyFill="1" applyBorder="1" applyAlignment="1">
      <alignment horizontal="center" wrapText="1"/>
    </xf>
    <xf numFmtId="0" fontId="11" fillId="22" borderId="37" xfId="0" applyFont="1" applyFill="1" applyBorder="1" applyAlignment="1">
      <alignment horizontal="center" vertical="center" wrapText="1"/>
    </xf>
    <xf numFmtId="0" fontId="103" fillId="18" borderId="28" xfId="0" applyFont="1" applyFill="1" applyBorder="1" applyAlignment="1">
      <alignment vertical="center"/>
    </xf>
    <xf numFmtId="165" fontId="75" fillId="17" borderId="24" xfId="0" applyNumberFormat="1" applyFont="1" applyFill="1" applyBorder="1" applyAlignment="1">
      <alignment horizontal="center" vertical="center"/>
    </xf>
    <xf numFmtId="0" fontId="46" fillId="0" borderId="18" xfId="0" applyFont="1" applyBorder="1" applyAlignment="1">
      <alignment vertical="center" wrapText="1"/>
    </xf>
    <xf numFmtId="0" fontId="57" fillId="20" borderId="13" xfId="0" applyFont="1" applyFill="1" applyBorder="1" applyAlignment="1">
      <alignment horizontal="center" vertical="center" wrapText="1"/>
    </xf>
    <xf numFmtId="0" fontId="57" fillId="20" borderId="173" xfId="0" applyFont="1" applyFill="1" applyBorder="1" applyAlignment="1">
      <alignment horizontal="center" vertical="center" wrapText="1"/>
    </xf>
    <xf numFmtId="0" fontId="57" fillId="0" borderId="27" xfId="0" applyFont="1" applyBorder="1" applyAlignment="1">
      <alignment vertical="center" wrapText="1"/>
    </xf>
    <xf numFmtId="0" fontId="59" fillId="0" borderId="43" xfId="0" applyFont="1" applyBorder="1" applyAlignment="1">
      <alignment horizontal="center" vertical="center" wrapText="1"/>
    </xf>
    <xf numFmtId="0" fontId="57" fillId="20" borderId="174" xfId="0" applyFont="1" applyFill="1" applyBorder="1" applyAlignment="1">
      <alignment horizontal="center" vertical="center" wrapText="1"/>
    </xf>
    <xf numFmtId="0" fontId="57" fillId="20" borderId="18" xfId="0" applyFont="1" applyFill="1" applyBorder="1" applyAlignment="1">
      <alignment horizontal="center" vertical="center" wrapText="1"/>
    </xf>
    <xf numFmtId="0" fontId="58" fillId="47" borderId="25" xfId="0" applyFont="1" applyFill="1" applyBorder="1" applyAlignment="1">
      <alignment horizontal="center" vertical="center" wrapText="1"/>
    </xf>
    <xf numFmtId="0" fontId="60" fillId="17" borderId="24" xfId="0" applyFont="1" applyFill="1" applyBorder="1" applyAlignment="1">
      <alignment horizontal="left" vertical="center" wrapText="1"/>
    </xf>
    <xf numFmtId="0" fontId="57" fillId="20" borderId="14" xfId="0" applyFont="1" applyFill="1" applyBorder="1" applyAlignment="1">
      <alignment vertical="center" wrapText="1"/>
    </xf>
    <xf numFmtId="1" fontId="57" fillId="18" borderId="14" xfId="0" applyNumberFormat="1" applyFont="1" applyFill="1" applyBorder="1" applyAlignment="1">
      <alignment horizontal="center" vertical="center" wrapText="1"/>
    </xf>
    <xf numFmtId="0" fontId="57" fillId="49" borderId="14" xfId="0" applyFont="1" applyFill="1" applyBorder="1" applyAlignment="1">
      <alignment horizontal="center" vertical="center" wrapText="1"/>
    </xf>
    <xf numFmtId="0" fontId="57" fillId="49" borderId="14" xfId="0" applyFont="1" applyFill="1" applyBorder="1" applyAlignment="1">
      <alignment vertical="center" wrapText="1"/>
    </xf>
    <xf numFmtId="0" fontId="57" fillId="49" borderId="24" xfId="0" applyFont="1" applyFill="1" applyBorder="1" applyAlignment="1">
      <alignment horizontal="center" vertical="center" wrapText="1"/>
    </xf>
    <xf numFmtId="0" fontId="57" fillId="49" borderId="24" xfId="0" applyFont="1" applyFill="1" applyBorder="1" applyAlignment="1">
      <alignment vertical="center" wrapText="1"/>
    </xf>
    <xf numFmtId="0" fontId="46" fillId="0" borderId="24" xfId="0" applyFont="1" applyBorder="1" applyAlignment="1">
      <alignment horizontal="center" wrapText="1"/>
    </xf>
    <xf numFmtId="0" fontId="18" fillId="0" borderId="18" xfId="0" applyFont="1" applyBorder="1" applyAlignment="1">
      <alignment horizontal="center" vertical="center" wrapText="1"/>
    </xf>
    <xf numFmtId="0" fontId="18" fillId="0" borderId="71" xfId="0" applyFont="1" applyBorder="1" applyAlignment="1">
      <alignment horizontal="center" vertical="center" wrapText="1"/>
    </xf>
    <xf numFmtId="0" fontId="19" fillId="24" borderId="75" xfId="0" applyFont="1" applyFill="1" applyBorder="1" applyAlignment="1">
      <alignment horizontal="center" vertical="center" wrapText="1"/>
    </xf>
    <xf numFmtId="0" fontId="19" fillId="25" borderId="75" xfId="0" applyFont="1" applyFill="1" applyBorder="1" applyAlignment="1">
      <alignment horizontal="center" vertical="center" wrapText="1"/>
    </xf>
    <xf numFmtId="0" fontId="19" fillId="17" borderId="75" xfId="0" applyFont="1" applyFill="1" applyBorder="1" applyAlignment="1">
      <alignment horizontal="center" vertical="center" wrapText="1"/>
    </xf>
    <xf numFmtId="0" fontId="19" fillId="26" borderId="75" xfId="0" applyFont="1" applyFill="1" applyBorder="1" applyAlignment="1">
      <alignment horizontal="center" vertical="center" wrapText="1"/>
    </xf>
    <xf numFmtId="0" fontId="19" fillId="23" borderId="44" xfId="0" applyFont="1" applyFill="1" applyBorder="1" applyAlignment="1">
      <alignment horizontal="center" vertical="center" wrapText="1"/>
    </xf>
    <xf numFmtId="0" fontId="104" fillId="0" borderId="71" xfId="0" applyFont="1" applyBorder="1" applyAlignment="1">
      <alignment horizontal="center" vertical="center" wrapText="1"/>
    </xf>
    <xf numFmtId="0" fontId="105" fillId="24" borderId="75" xfId="0" applyFont="1" applyFill="1" applyBorder="1" applyAlignment="1">
      <alignment horizontal="center" vertical="center" wrapText="1"/>
    </xf>
    <xf numFmtId="0" fontId="105" fillId="25" borderId="75" xfId="0" applyFont="1" applyFill="1" applyBorder="1" applyAlignment="1">
      <alignment horizontal="center" vertical="center" wrapText="1"/>
    </xf>
    <xf numFmtId="0" fontId="105" fillId="17" borderId="75" xfId="0" applyFont="1" applyFill="1" applyBorder="1" applyAlignment="1">
      <alignment horizontal="center" vertical="center" wrapText="1"/>
    </xf>
    <xf numFmtId="0" fontId="105" fillId="26" borderId="75" xfId="0" applyFont="1" applyFill="1" applyBorder="1" applyAlignment="1">
      <alignment horizontal="center" vertical="center" wrapText="1"/>
    </xf>
    <xf numFmtId="0" fontId="105" fillId="23" borderId="44" xfId="0" applyFont="1" applyFill="1" applyBorder="1" applyAlignment="1">
      <alignment horizontal="center" vertical="center" wrapText="1"/>
    </xf>
    <xf numFmtId="0" fontId="57" fillId="18" borderId="9" xfId="0" applyFont="1" applyFill="1" applyBorder="1" applyAlignment="1">
      <alignment vertical="center" wrapText="1"/>
    </xf>
    <xf numFmtId="0" fontId="57" fillId="18" borderId="36" xfId="0" applyFont="1" applyFill="1" applyBorder="1" applyAlignment="1">
      <alignment vertical="center" wrapText="1"/>
    </xf>
    <xf numFmtId="0" fontId="46" fillId="49" borderId="24" xfId="0" applyFont="1" applyFill="1" applyBorder="1" applyAlignment="1">
      <alignment wrapText="1"/>
    </xf>
    <xf numFmtId="0" fontId="46" fillId="49" borderId="24" xfId="0" applyFont="1" applyFill="1" applyBorder="1" applyAlignment="1">
      <alignment vertical="center" wrapText="1"/>
    </xf>
    <xf numFmtId="0" fontId="47" fillId="24" borderId="47" xfId="0" applyFont="1" applyFill="1" applyBorder="1" applyAlignment="1">
      <alignment vertical="center" wrapText="1"/>
    </xf>
    <xf numFmtId="0" fontId="46" fillId="0" borderId="175" xfId="0" applyFont="1" applyBorder="1" applyAlignment="1">
      <alignment wrapText="1"/>
    </xf>
    <xf numFmtId="0" fontId="46" fillId="18" borderId="24" xfId="0" applyFont="1" applyFill="1" applyBorder="1" applyAlignment="1">
      <alignment vertical="center" wrapText="1"/>
    </xf>
    <xf numFmtId="43" fontId="46" fillId="18" borderId="24" xfId="3" applyFont="1" applyFill="1" applyBorder="1" applyAlignment="1">
      <alignment horizontal="center" vertical="center" wrapText="1"/>
    </xf>
    <xf numFmtId="167" fontId="48" fillId="18" borderId="24" xfId="0" applyNumberFormat="1" applyFont="1" applyFill="1" applyBorder="1" applyAlignment="1">
      <alignment horizontal="center" vertical="center"/>
    </xf>
    <xf numFmtId="0" fontId="46" fillId="18" borderId="20" xfId="0" applyFont="1" applyFill="1" applyBorder="1" applyAlignment="1">
      <alignment wrapText="1"/>
    </xf>
    <xf numFmtId="0" fontId="41" fillId="18" borderId="51" xfId="0" applyFont="1" applyFill="1" applyBorder="1" applyAlignment="1">
      <alignment wrapText="1"/>
    </xf>
    <xf numFmtId="0" fontId="65" fillId="18" borderId="24" xfId="0" applyFont="1" applyFill="1" applyBorder="1" applyAlignment="1">
      <alignment wrapText="1"/>
    </xf>
    <xf numFmtId="0" fontId="37" fillId="18" borderId="24" xfId="0" applyFont="1" applyFill="1" applyBorder="1" applyAlignment="1">
      <alignment vertical="center" wrapText="1"/>
    </xf>
    <xf numFmtId="0" fontId="37" fillId="18" borderId="24" xfId="0" applyFont="1" applyFill="1" applyBorder="1" applyAlignment="1">
      <alignment wrapText="1"/>
    </xf>
    <xf numFmtId="2" fontId="57" fillId="0" borderId="24" xfId="0" applyNumberFormat="1" applyFont="1" applyBorder="1" applyAlignment="1">
      <alignment horizontal="center" vertical="center" wrapText="1"/>
    </xf>
    <xf numFmtId="0" fontId="47" fillId="18" borderId="34" xfId="0" applyFont="1" applyFill="1" applyBorder="1" applyAlignment="1">
      <alignment horizontal="center" vertical="center" wrapText="1"/>
    </xf>
    <xf numFmtId="0" fontId="107" fillId="4" borderId="12" xfId="0" applyFont="1" applyFill="1" applyBorder="1" applyAlignment="1">
      <alignment horizontal="center" vertical="center" wrapText="1"/>
    </xf>
    <xf numFmtId="0" fontId="81" fillId="4" borderId="12" xfId="0" applyFont="1" applyFill="1" applyBorder="1" applyAlignment="1">
      <alignment horizontal="center" vertical="center" wrapText="1"/>
    </xf>
    <xf numFmtId="165" fontId="108" fillId="41" borderId="106" xfId="1" applyNumberFormat="1" applyFont="1" applyFill="1" applyBorder="1" applyAlignment="1">
      <alignment horizontal="center" vertical="center" wrapText="1"/>
    </xf>
    <xf numFmtId="165" fontId="109" fillId="17" borderId="106" xfId="1" applyNumberFormat="1" applyFont="1" applyFill="1" applyBorder="1" applyAlignment="1">
      <alignment horizontal="center" vertical="center" wrapText="1"/>
    </xf>
    <xf numFmtId="168" fontId="57" fillId="20" borderId="14" xfId="0" applyNumberFormat="1" applyFont="1" applyFill="1" applyBorder="1" applyAlignment="1">
      <alignment horizontal="center" vertical="center" wrapText="1"/>
    </xf>
    <xf numFmtId="0" fontId="59" fillId="20" borderId="43" xfId="0" applyFont="1" applyFill="1" applyBorder="1" applyAlignment="1">
      <alignment horizontal="center" vertical="center" wrapText="1"/>
    </xf>
    <xf numFmtId="0" fontId="57" fillId="20" borderId="0" xfId="0" applyFont="1" applyFill="1" applyBorder="1" applyAlignment="1">
      <alignment horizontal="center" vertical="center" wrapText="1"/>
    </xf>
    <xf numFmtId="165" fontId="57" fillId="0" borderId="112" xfId="0" applyNumberFormat="1" applyFont="1" applyBorder="1" applyAlignment="1">
      <alignment horizontal="center" vertical="center" wrapText="1"/>
    </xf>
    <xf numFmtId="0" fontId="103" fillId="18" borderId="41" xfId="0" applyFont="1" applyFill="1" applyBorder="1" applyAlignment="1">
      <alignment vertical="center"/>
    </xf>
    <xf numFmtId="165" fontId="27" fillId="24" borderId="24" xfId="0" applyNumberFormat="1" applyFont="1" applyFill="1" applyBorder="1" applyAlignment="1">
      <alignment horizontal="center" vertical="center"/>
    </xf>
    <xf numFmtId="0" fontId="58" fillId="4" borderId="13" xfId="0" applyFont="1" applyFill="1" applyBorder="1" applyAlignment="1">
      <alignment horizontal="center" vertical="center" wrapText="1"/>
    </xf>
    <xf numFmtId="9" fontId="57" fillId="0" borderId="50" xfId="0" applyNumberFormat="1" applyFont="1" applyBorder="1" applyAlignment="1">
      <alignment horizontal="center" vertical="center" wrapText="1"/>
    </xf>
    <xf numFmtId="0" fontId="58" fillId="61" borderId="139" xfId="0" applyFont="1" applyFill="1" applyBorder="1" applyAlignment="1">
      <alignment horizontal="center" vertical="center" wrapText="1"/>
    </xf>
    <xf numFmtId="9" fontId="57" fillId="0" borderId="53" xfId="0" applyNumberFormat="1" applyFont="1" applyBorder="1" applyAlignment="1">
      <alignment horizontal="center" vertical="center" wrapText="1"/>
    </xf>
    <xf numFmtId="9" fontId="57" fillId="0" borderId="176" xfId="0" applyNumberFormat="1" applyFont="1" applyBorder="1" applyAlignment="1">
      <alignment horizontal="center" vertical="center" wrapText="1"/>
    </xf>
    <xf numFmtId="9" fontId="57" fillId="0" borderId="28" xfId="0" applyNumberFormat="1" applyFont="1" applyBorder="1" applyAlignment="1">
      <alignment horizontal="center" vertical="center" wrapText="1"/>
    </xf>
    <xf numFmtId="0" fontId="59" fillId="0" borderId="0" xfId="0" applyFont="1" applyBorder="1" applyAlignment="1"/>
    <xf numFmtId="0" fontId="57" fillId="0" borderId="18" xfId="0" applyFont="1" applyBorder="1" applyAlignment="1">
      <alignment horizontal="center" vertical="center" wrapText="1"/>
    </xf>
    <xf numFmtId="0" fontId="58" fillId="47" borderId="139" xfId="0" applyFont="1" applyFill="1" applyBorder="1" applyAlignment="1">
      <alignment horizontal="center" vertical="center" wrapText="1"/>
    </xf>
    <xf numFmtId="0" fontId="58" fillId="62" borderId="140" xfId="0" applyFont="1" applyFill="1" applyBorder="1" applyAlignment="1">
      <alignment horizontal="center" vertical="center" wrapText="1"/>
    </xf>
    <xf numFmtId="0" fontId="58" fillId="62" borderId="25" xfId="0" applyFont="1" applyFill="1" applyBorder="1" applyAlignment="1">
      <alignment horizontal="center" vertical="center" wrapText="1"/>
    </xf>
    <xf numFmtId="0" fontId="58" fillId="61" borderId="140" xfId="0" applyFont="1" applyFill="1" applyBorder="1" applyAlignment="1">
      <alignment horizontal="center" vertical="center" wrapText="1"/>
    </xf>
    <xf numFmtId="0" fontId="58" fillId="61" borderId="25" xfId="0" applyFont="1" applyFill="1" applyBorder="1" applyAlignment="1">
      <alignment horizontal="center" vertical="center" wrapText="1"/>
    </xf>
    <xf numFmtId="9" fontId="57" fillId="0" borderId="18" xfId="0" applyNumberFormat="1" applyFont="1" applyBorder="1" applyAlignment="1">
      <alignment horizontal="center" vertical="center" wrapText="1"/>
    </xf>
    <xf numFmtId="165" fontId="58" fillId="37" borderId="13" xfId="0" applyNumberFormat="1" applyFont="1" applyFill="1" applyBorder="1" applyAlignment="1">
      <alignment horizontal="center" vertical="center" wrapText="1"/>
    </xf>
    <xf numFmtId="0" fontId="58" fillId="47" borderId="27" xfId="0" applyFont="1" applyFill="1" applyBorder="1" applyAlignment="1">
      <alignment horizontal="center" vertical="center" wrapText="1"/>
    </xf>
    <xf numFmtId="0" fontId="59" fillId="0" borderId="27" xfId="0" applyFont="1" applyBorder="1" applyAlignment="1"/>
    <xf numFmtId="0" fontId="58" fillId="4" borderId="28" xfId="0" applyFont="1" applyFill="1" applyBorder="1" applyAlignment="1">
      <alignment horizontal="center" vertical="center" wrapText="1"/>
    </xf>
    <xf numFmtId="165" fontId="64" fillId="8" borderId="87" xfId="0" applyNumberFormat="1" applyFont="1" applyFill="1" applyBorder="1" applyAlignment="1">
      <alignment horizontal="center" vertical="center" wrapText="1"/>
    </xf>
    <xf numFmtId="165" fontId="58" fillId="33" borderId="53" xfId="0" applyNumberFormat="1" applyFont="1" applyFill="1" applyBorder="1" applyAlignment="1">
      <alignment horizontal="center" vertical="center" wrapText="1"/>
    </xf>
    <xf numFmtId="165" fontId="58" fillId="31" borderId="53" xfId="0" applyNumberFormat="1" applyFont="1" applyFill="1" applyBorder="1" applyAlignment="1">
      <alignment horizontal="center" vertical="center" wrapText="1"/>
    </xf>
    <xf numFmtId="165" fontId="58" fillId="31" borderId="28" xfId="0" applyNumberFormat="1" applyFont="1" applyFill="1" applyBorder="1" applyAlignment="1">
      <alignment horizontal="center" vertical="center" wrapText="1"/>
    </xf>
    <xf numFmtId="165" fontId="58" fillId="4" borderId="111" xfId="0" applyNumberFormat="1" applyFont="1" applyFill="1" applyBorder="1" applyAlignment="1">
      <alignment horizontal="center" vertical="center" wrapText="1"/>
    </xf>
    <xf numFmtId="0" fontId="58" fillId="47" borderId="70" xfId="0" applyFont="1" applyFill="1" applyBorder="1" applyAlignment="1">
      <alignment horizontal="center" vertical="center" wrapText="1"/>
    </xf>
    <xf numFmtId="0" fontId="58" fillId="47" borderId="28" xfId="0" applyFont="1" applyFill="1" applyBorder="1" applyAlignment="1">
      <alignment horizontal="center" vertical="center" wrapText="1"/>
    </xf>
    <xf numFmtId="165" fontId="58" fillId="10" borderId="25" xfId="0" applyNumberFormat="1" applyFont="1" applyFill="1" applyBorder="1" applyAlignment="1">
      <alignment horizontal="center" vertical="center" wrapText="1"/>
    </xf>
    <xf numFmtId="165" fontId="58" fillId="4" borderId="25" xfId="0" applyNumberFormat="1" applyFont="1" applyFill="1" applyBorder="1" applyAlignment="1">
      <alignment horizontal="center" vertical="center" wrapText="1"/>
    </xf>
    <xf numFmtId="0" fontId="66" fillId="57" borderId="25" xfId="0" applyFont="1" applyFill="1" applyBorder="1" applyAlignment="1">
      <alignment horizontal="center" vertical="center" wrapText="1"/>
    </xf>
    <xf numFmtId="9" fontId="57" fillId="18" borderId="111" xfId="0" applyNumberFormat="1" applyFont="1" applyFill="1" applyBorder="1" applyAlignment="1">
      <alignment horizontal="center" vertical="center" wrapText="1"/>
    </xf>
    <xf numFmtId="0" fontId="47" fillId="17" borderId="13" xfId="0" applyFont="1" applyFill="1" applyBorder="1" applyAlignment="1">
      <alignment vertical="center" wrapText="1"/>
    </xf>
    <xf numFmtId="9" fontId="47" fillId="24" borderId="27" xfId="0" applyNumberFormat="1" applyFont="1" applyFill="1" applyBorder="1" applyAlignment="1">
      <alignment horizontal="left" vertical="center" wrapText="1"/>
    </xf>
    <xf numFmtId="0" fontId="46" fillId="0" borderId="43" xfId="0" applyFont="1" applyBorder="1" applyAlignment="1">
      <alignment wrapText="1"/>
    </xf>
    <xf numFmtId="0" fontId="47" fillId="4" borderId="12" xfId="0" applyFont="1" applyFill="1" applyBorder="1" applyAlignment="1">
      <alignment horizontal="center" vertical="center" wrapText="1"/>
    </xf>
    <xf numFmtId="165" fontId="110" fillId="17" borderId="106" xfId="1" applyNumberFormat="1" applyFont="1" applyFill="1" applyBorder="1" applyAlignment="1">
      <alignment horizontal="center" vertical="center" wrapText="1"/>
    </xf>
    <xf numFmtId="165" fontId="58" fillId="31" borderId="134" xfId="0" applyNumberFormat="1" applyFont="1" applyFill="1" applyBorder="1" applyAlignment="1">
      <alignment horizontal="center" vertical="center" wrapText="1"/>
    </xf>
    <xf numFmtId="165" fontId="58" fillId="31" borderId="88" xfId="0" applyNumberFormat="1" applyFont="1" applyFill="1" applyBorder="1" applyAlignment="1">
      <alignment horizontal="center" vertical="center" wrapText="1"/>
    </xf>
    <xf numFmtId="165" fontId="58" fillId="33" borderId="26" xfId="0" applyNumberFormat="1" applyFont="1" applyFill="1" applyBorder="1" applyAlignment="1">
      <alignment horizontal="center" vertical="center" wrapText="1"/>
    </xf>
    <xf numFmtId="165" fontId="58" fillId="8" borderId="25" xfId="0" applyNumberFormat="1" applyFont="1" applyFill="1" applyBorder="1" applyAlignment="1">
      <alignment horizontal="center" vertical="center" wrapText="1"/>
    </xf>
    <xf numFmtId="0" fontId="57" fillId="0" borderId="111" xfId="0" applyFont="1" applyBorder="1" applyAlignment="1">
      <alignment horizontal="center" vertical="center" wrapText="1"/>
    </xf>
    <xf numFmtId="168" fontId="57" fillId="0" borderId="111" xfId="0" applyNumberFormat="1" applyFont="1" applyBorder="1" applyAlignment="1">
      <alignment horizontal="center" vertical="center" wrapText="1"/>
    </xf>
    <xf numFmtId="0" fontId="57" fillId="0" borderId="134" xfId="0" applyFont="1" applyBorder="1" applyAlignment="1">
      <alignment horizontal="center" vertical="center" wrapText="1"/>
    </xf>
    <xf numFmtId="0" fontId="57" fillId="0" borderId="44" xfId="0" applyFont="1" applyBorder="1" applyAlignment="1">
      <alignment horizontal="center" vertical="center" wrapText="1"/>
    </xf>
    <xf numFmtId="165" fontId="57" fillId="0" borderId="75" xfId="1" applyNumberFormat="1" applyFont="1" applyBorder="1" applyAlignment="1">
      <alignment vertical="center" wrapText="1"/>
    </xf>
    <xf numFmtId="0" fontId="57" fillId="0" borderId="111" xfId="0" applyFont="1" applyBorder="1" applyAlignment="1">
      <alignment vertical="center" wrapText="1"/>
    </xf>
    <xf numFmtId="0" fontId="57" fillId="49" borderId="9" xfId="0" applyFont="1" applyFill="1" applyBorder="1" applyAlignment="1">
      <alignment horizontal="center" vertical="center" wrapText="1"/>
    </xf>
    <xf numFmtId="0" fontId="57" fillId="49" borderId="9" xfId="0" applyFont="1" applyFill="1" applyBorder="1" applyAlignment="1">
      <alignment vertical="center" wrapText="1"/>
    </xf>
    <xf numFmtId="165" fontId="58" fillId="4" borderId="27" xfId="0" applyNumberFormat="1" applyFont="1" applyFill="1" applyBorder="1" applyAlignment="1">
      <alignment horizontal="center" vertical="center" wrapText="1"/>
    </xf>
    <xf numFmtId="10" fontId="58" fillId="31" borderId="13" xfId="0" applyNumberFormat="1" applyFont="1" applyFill="1" applyBorder="1" applyAlignment="1">
      <alignment horizontal="center" vertical="center" wrapText="1"/>
    </xf>
    <xf numFmtId="10" fontId="58" fillId="31" borderId="111" xfId="0" applyNumberFormat="1" applyFont="1" applyFill="1" applyBorder="1" applyAlignment="1">
      <alignment horizontal="center" vertical="center" wrapText="1"/>
    </xf>
    <xf numFmtId="165" fontId="57" fillId="0" borderId="71" xfId="0" applyNumberFormat="1" applyFont="1" applyBorder="1" applyAlignment="1">
      <alignment horizontal="center" vertical="center" wrapText="1"/>
    </xf>
    <xf numFmtId="165" fontId="58" fillId="31" borderId="50" xfId="0" applyNumberFormat="1" applyFont="1" applyFill="1" applyBorder="1" applyAlignment="1">
      <alignment horizontal="center" vertical="center" wrapText="1"/>
    </xf>
    <xf numFmtId="165" fontId="57" fillId="0" borderId="173" xfId="0" applyNumberFormat="1" applyFont="1" applyBorder="1" applyAlignment="1">
      <alignment horizontal="center" vertical="center" wrapText="1"/>
    </xf>
    <xf numFmtId="165" fontId="58" fillId="31" borderId="174" xfId="0" applyNumberFormat="1" applyFont="1" applyFill="1" applyBorder="1" applyAlignment="1">
      <alignment horizontal="center" vertical="center" wrapText="1"/>
    </xf>
    <xf numFmtId="165" fontId="58" fillId="31" borderId="112" xfId="0" applyNumberFormat="1" applyFont="1" applyFill="1" applyBorder="1" applyAlignment="1">
      <alignment horizontal="center" vertical="center" wrapText="1"/>
    </xf>
    <xf numFmtId="0" fontId="57" fillId="0" borderId="177" xfId="0" applyFont="1" applyBorder="1" applyAlignment="1">
      <alignment horizontal="center" vertical="center" wrapText="1"/>
    </xf>
    <xf numFmtId="165" fontId="57" fillId="53" borderId="111" xfId="0" applyNumberFormat="1" applyFont="1" applyFill="1" applyBorder="1" applyAlignment="1">
      <alignment horizontal="center" vertical="center" wrapText="1"/>
    </xf>
    <xf numFmtId="165" fontId="58" fillId="31" borderId="44" xfId="0" applyNumberFormat="1" applyFont="1" applyFill="1" applyBorder="1" applyAlignment="1">
      <alignment horizontal="center" vertical="center" wrapText="1"/>
    </xf>
    <xf numFmtId="165" fontId="58" fillId="65" borderId="111" xfId="0" applyNumberFormat="1" applyFont="1" applyFill="1" applyBorder="1" applyAlignment="1">
      <alignment horizontal="center" vertical="center" wrapText="1"/>
    </xf>
    <xf numFmtId="165" fontId="58" fillId="10" borderId="71" xfId="0" applyNumberFormat="1" applyFont="1" applyFill="1" applyBorder="1" applyAlignment="1">
      <alignment horizontal="center" vertical="center" wrapText="1"/>
    </xf>
    <xf numFmtId="0" fontId="65" fillId="0" borderId="87" xfId="0" applyFont="1" applyBorder="1" applyAlignment="1">
      <alignment vertical="center" wrapText="1"/>
    </xf>
    <xf numFmtId="9" fontId="66" fillId="7" borderId="109" xfId="0" applyNumberFormat="1" applyFont="1" applyFill="1" applyBorder="1" applyAlignment="1">
      <alignment horizontal="center" vertical="center" wrapText="1"/>
    </xf>
    <xf numFmtId="9" fontId="66" fillId="7" borderId="51" xfId="0" applyNumberFormat="1" applyFont="1" applyFill="1" applyBorder="1" applyAlignment="1">
      <alignment horizontal="center" vertical="center" wrapText="1"/>
    </xf>
    <xf numFmtId="9" fontId="65" fillId="0" borderId="116" xfId="0" applyNumberFormat="1" applyFont="1" applyBorder="1" applyAlignment="1">
      <alignment vertical="center" wrapText="1"/>
    </xf>
    <xf numFmtId="165" fontId="66" fillId="34" borderId="109" xfId="0" applyNumberFormat="1" applyFont="1" applyFill="1" applyBorder="1" applyAlignment="1">
      <alignment horizontal="center" vertical="center" wrapText="1"/>
    </xf>
    <xf numFmtId="0" fontId="77" fillId="0" borderId="25" xfId="0" applyFont="1" applyBorder="1" applyAlignment="1">
      <alignment vertical="center" wrapText="1"/>
    </xf>
    <xf numFmtId="9" fontId="78" fillId="0" borderId="178" xfId="0" applyNumberFormat="1" applyFont="1" applyBorder="1" applyAlignment="1">
      <alignment horizontal="center" vertical="center" wrapText="1"/>
    </xf>
    <xf numFmtId="0" fontId="79" fillId="0" borderId="179" xfId="0" applyFont="1" applyBorder="1" applyAlignment="1"/>
    <xf numFmtId="0" fontId="80" fillId="0" borderId="180" xfId="0" applyFont="1" applyBorder="1" applyAlignment="1"/>
    <xf numFmtId="0" fontId="80" fillId="0" borderId="179" xfId="0" applyFont="1" applyBorder="1" applyAlignment="1"/>
    <xf numFmtId="165" fontId="66" fillId="7" borderId="116" xfId="1" applyNumberFormat="1" applyFont="1" applyFill="1" applyBorder="1" applyAlignment="1">
      <alignment horizontal="center" vertical="center" wrapText="1"/>
    </xf>
    <xf numFmtId="0" fontId="57" fillId="0" borderId="47" xfId="0" applyFont="1" applyBorder="1" applyAlignment="1">
      <alignment wrapText="1"/>
    </xf>
    <xf numFmtId="169" fontId="57" fillId="0" borderId="47" xfId="3" applyNumberFormat="1" applyFont="1" applyBorder="1" applyAlignment="1">
      <alignment horizontal="center" vertical="center" wrapText="1"/>
    </xf>
    <xf numFmtId="9" fontId="58" fillId="7" borderId="47" xfId="0" applyNumberFormat="1" applyFont="1" applyFill="1" applyBorder="1" applyAlignment="1">
      <alignment horizontal="center" vertical="center" wrapText="1"/>
    </xf>
    <xf numFmtId="0" fontId="80" fillId="0" borderId="161" xfId="0" applyFont="1" applyBorder="1" applyAlignment="1"/>
    <xf numFmtId="0" fontId="58" fillId="4" borderId="181" xfId="0" applyFont="1" applyFill="1" applyBorder="1" applyAlignment="1">
      <alignment horizontal="center" vertical="center" wrapText="1"/>
    </xf>
    <xf numFmtId="10" fontId="78" fillId="33" borderId="24" xfId="0" applyNumberFormat="1" applyFont="1" applyFill="1" applyBorder="1" applyAlignment="1">
      <alignment horizontal="center" vertical="center" wrapText="1"/>
    </xf>
    <xf numFmtId="9" fontId="57" fillId="0" borderId="143" xfId="0" applyNumberFormat="1" applyFont="1" applyBorder="1" applyAlignment="1">
      <alignment horizontal="center" vertical="center" wrapText="1"/>
    </xf>
    <xf numFmtId="9" fontId="57" fillId="0" borderId="142" xfId="0" applyNumberFormat="1" applyFont="1" applyBorder="1" applyAlignment="1">
      <alignment horizontal="center" vertical="center" wrapText="1"/>
    </xf>
    <xf numFmtId="0" fontId="65" fillId="0" borderId="116" xfId="0" applyFont="1" applyBorder="1" applyAlignment="1">
      <alignment wrapText="1"/>
    </xf>
    <xf numFmtId="0" fontId="65" fillId="0" borderId="135" xfId="0" applyFont="1" applyBorder="1" applyAlignment="1">
      <alignment vertical="center" wrapText="1"/>
    </xf>
    <xf numFmtId="0" fontId="57" fillId="0" borderId="45" xfId="0" applyFont="1" applyBorder="1" applyAlignment="1">
      <alignment vertical="center" wrapText="1"/>
    </xf>
    <xf numFmtId="2" fontId="57" fillId="0" borderId="45" xfId="0" applyNumberFormat="1" applyFont="1" applyBorder="1" applyAlignment="1">
      <alignment horizontal="center" vertical="center" wrapText="1"/>
    </xf>
    <xf numFmtId="0" fontId="57" fillId="18" borderId="45" xfId="0" applyFont="1" applyFill="1" applyBorder="1" applyAlignment="1">
      <alignment horizontal="center" vertical="center" wrapText="1"/>
    </xf>
    <xf numFmtId="1" fontId="57" fillId="0" borderId="45" xfId="0" applyNumberFormat="1" applyFont="1" applyBorder="1" applyAlignment="1">
      <alignment horizontal="center" vertical="center" wrapText="1"/>
    </xf>
    <xf numFmtId="165" fontId="57" fillId="0" borderId="45" xfId="1" applyNumberFormat="1" applyFont="1" applyBorder="1" applyAlignment="1">
      <alignment horizontal="center" vertical="center" wrapText="1"/>
    </xf>
    <xf numFmtId="0" fontId="57" fillId="0" borderId="46" xfId="0" applyFont="1" applyBorder="1" applyAlignment="1">
      <alignment horizontal="center" vertical="center" wrapText="1"/>
    </xf>
    <xf numFmtId="0" fontId="77" fillId="0" borderId="27" xfId="0" applyFont="1" applyBorder="1" applyAlignment="1">
      <alignment wrapText="1"/>
    </xf>
    <xf numFmtId="165" fontId="64" fillId="8" borderId="28" xfId="0" applyNumberFormat="1" applyFont="1" applyFill="1" applyBorder="1" applyAlignment="1">
      <alignment horizontal="center" vertical="center" wrapText="1"/>
    </xf>
    <xf numFmtId="0" fontId="66" fillId="57" borderId="43" xfId="0" applyFont="1" applyFill="1" applyBorder="1" applyAlignment="1">
      <alignment horizontal="center" vertical="center" wrapText="1"/>
    </xf>
    <xf numFmtId="165" fontId="57" fillId="53" borderId="24" xfId="0" applyNumberFormat="1" applyFont="1" applyFill="1" applyBorder="1" applyAlignment="1">
      <alignment horizontal="center" vertical="center" wrapText="1"/>
    </xf>
    <xf numFmtId="165" fontId="58" fillId="65" borderId="24" xfId="0" applyNumberFormat="1" applyFont="1" applyFill="1" applyBorder="1" applyAlignment="1">
      <alignment horizontal="center" vertical="center" wrapText="1"/>
    </xf>
    <xf numFmtId="9" fontId="57" fillId="0" borderId="113" xfId="0" applyNumberFormat="1" applyFont="1" applyBorder="1" applyAlignment="1">
      <alignment horizontal="center" vertical="center" wrapText="1"/>
    </xf>
    <xf numFmtId="165" fontId="58" fillId="4" borderId="34" xfId="0" applyNumberFormat="1" applyFont="1" applyFill="1" applyBorder="1" applyAlignment="1">
      <alignment horizontal="center" vertical="center" wrapText="1"/>
    </xf>
    <xf numFmtId="0" fontId="58" fillId="47" borderId="140" xfId="0" applyFont="1" applyFill="1" applyBorder="1" applyAlignment="1">
      <alignment horizontal="center" vertical="center" wrapText="1"/>
    </xf>
    <xf numFmtId="165" fontId="58" fillId="31" borderId="36" xfId="0" applyNumberFormat="1" applyFont="1" applyFill="1" applyBorder="1" applyAlignment="1">
      <alignment horizontal="center" vertical="center" wrapText="1"/>
    </xf>
    <xf numFmtId="9" fontId="57" fillId="0" borderId="38" xfId="0" applyNumberFormat="1" applyFont="1" applyBorder="1" applyAlignment="1">
      <alignment horizontal="center" vertical="center" wrapText="1"/>
    </xf>
    <xf numFmtId="9" fontId="57" fillId="0" borderId="40" xfId="0" applyNumberFormat="1" applyFont="1" applyBorder="1" applyAlignment="1">
      <alignment horizontal="center" vertical="center" wrapText="1"/>
    </xf>
    <xf numFmtId="165" fontId="58" fillId="8" borderId="18" xfId="0" applyNumberFormat="1" applyFont="1" applyFill="1" applyBorder="1" applyAlignment="1">
      <alignment horizontal="center" vertical="center" wrapText="1"/>
    </xf>
    <xf numFmtId="0" fontId="58" fillId="62" borderId="70" xfId="0" applyFont="1" applyFill="1" applyBorder="1" applyAlignment="1">
      <alignment horizontal="center" vertical="center" wrapText="1"/>
    </xf>
    <xf numFmtId="165" fontId="58" fillId="10" borderId="75" xfId="0" applyNumberFormat="1" applyFont="1" applyFill="1" applyBorder="1" applyAlignment="1">
      <alignment horizontal="center" vertical="center" wrapText="1"/>
    </xf>
    <xf numFmtId="165" fontId="66" fillId="36" borderId="51" xfId="0" applyNumberFormat="1" applyFont="1" applyFill="1" applyBorder="1" applyAlignment="1">
      <alignment horizontal="center" vertical="center" wrapText="1"/>
    </xf>
    <xf numFmtId="2" fontId="57" fillId="0" borderId="23" xfId="0" applyNumberFormat="1" applyFont="1" applyBorder="1" applyAlignment="1">
      <alignment horizontal="center" vertical="center" wrapText="1"/>
    </xf>
    <xf numFmtId="9" fontId="58" fillId="41" borderId="24" xfId="1" applyFont="1" applyFill="1" applyBorder="1" applyAlignment="1">
      <alignment horizontal="center" vertical="center" wrapText="1"/>
    </xf>
    <xf numFmtId="4" fontId="59" fillId="0" borderId="24" xfId="0" applyNumberFormat="1" applyFont="1" applyBorder="1" applyAlignment="1">
      <alignment horizontal="center" vertical="center" wrapText="1"/>
    </xf>
    <xf numFmtId="175" fontId="59" fillId="0" borderId="24" xfId="0" applyNumberFormat="1" applyFont="1" applyBorder="1" applyAlignment="1">
      <alignment horizontal="center" vertical="center" wrapText="1"/>
    </xf>
    <xf numFmtId="0" fontId="58" fillId="47" borderId="178" xfId="0" applyFont="1" applyFill="1" applyBorder="1" applyAlignment="1">
      <alignment horizontal="center" vertical="center" wrapText="1"/>
    </xf>
    <xf numFmtId="0" fontId="111" fillId="0" borderId="22" xfId="0" applyFont="1" applyBorder="1" applyAlignment="1">
      <alignment wrapText="1"/>
    </xf>
    <xf numFmtId="0" fontId="111" fillId="0" borderId="87" xfId="0" applyFont="1" applyBorder="1" applyAlignment="1">
      <alignment wrapText="1"/>
    </xf>
    <xf numFmtId="9" fontId="112" fillId="0" borderId="109" xfId="0" applyNumberFormat="1" applyFont="1" applyBorder="1" applyAlignment="1">
      <alignment horizontal="center" vertical="center" wrapText="1"/>
    </xf>
    <xf numFmtId="0" fontId="113" fillId="0" borderId="51" xfId="0" applyFont="1" applyBorder="1" applyAlignment="1"/>
    <xf numFmtId="0" fontId="114" fillId="0" borderId="51" xfId="0" applyFont="1" applyBorder="1" applyAlignment="1"/>
    <xf numFmtId="165" fontId="112" fillId="8" borderId="51" xfId="0" applyNumberFormat="1" applyFont="1" applyFill="1" applyBorder="1" applyAlignment="1">
      <alignment horizontal="center" vertical="center" wrapText="1"/>
    </xf>
    <xf numFmtId="165" fontId="112" fillId="5" borderId="51" xfId="0" applyNumberFormat="1" applyFont="1" applyFill="1" applyBorder="1" applyAlignment="1">
      <alignment horizontal="center" vertical="center" wrapText="1"/>
    </xf>
    <xf numFmtId="165" fontId="111" fillId="0" borderId="51" xfId="0" applyNumberFormat="1" applyFont="1" applyBorder="1" applyAlignment="1">
      <alignment wrapText="1"/>
    </xf>
    <xf numFmtId="10" fontId="112" fillId="8" borderId="51" xfId="0" applyNumberFormat="1" applyFont="1" applyFill="1" applyBorder="1" applyAlignment="1">
      <alignment horizontal="center" vertical="center" wrapText="1"/>
    </xf>
    <xf numFmtId="10" fontId="112" fillId="5" borderId="51" xfId="0" applyNumberFormat="1" applyFont="1" applyFill="1" applyBorder="1" applyAlignment="1">
      <alignment horizontal="center" vertical="center" wrapText="1"/>
    </xf>
    <xf numFmtId="165" fontId="112" fillId="32" borderId="125" xfId="0" applyNumberFormat="1" applyFont="1" applyFill="1" applyBorder="1" applyAlignment="1">
      <alignment vertical="center" wrapText="1"/>
    </xf>
    <xf numFmtId="0" fontId="111" fillId="0" borderId="51" xfId="0" applyFont="1" applyBorder="1" applyAlignment="1">
      <alignment wrapText="1"/>
    </xf>
    <xf numFmtId="0" fontId="111" fillId="0" borderId="1" xfId="0" applyFont="1" applyBorder="1" applyAlignment="1">
      <alignment wrapText="1"/>
    </xf>
    <xf numFmtId="0" fontId="114" fillId="0" borderId="0" xfId="0" applyFont="1" applyAlignment="1"/>
    <xf numFmtId="0" fontId="111" fillId="0" borderId="116" xfId="0" applyFont="1" applyBorder="1" applyAlignment="1">
      <alignment wrapText="1"/>
    </xf>
    <xf numFmtId="0" fontId="111" fillId="0" borderId="15" xfId="0" applyFont="1" applyBorder="1" applyAlignment="1">
      <alignment wrapText="1"/>
    </xf>
    <xf numFmtId="0" fontId="111" fillId="0" borderId="24" xfId="0" applyFont="1" applyBorder="1" applyAlignment="1">
      <alignment wrapText="1"/>
    </xf>
    <xf numFmtId="165" fontId="47" fillId="66" borderId="24" xfId="0" applyNumberFormat="1" applyFont="1" applyFill="1" applyBorder="1" applyAlignment="1">
      <alignment horizontal="center" vertical="center" wrapText="1"/>
    </xf>
    <xf numFmtId="0" fontId="45" fillId="13" borderId="34" xfId="0" applyFont="1" applyFill="1" applyBorder="1" applyAlignment="1">
      <alignment horizontal="center" vertical="center"/>
    </xf>
    <xf numFmtId="2" fontId="46" fillId="0" borderId="24" xfId="3" applyNumberFormat="1" applyFont="1" applyBorder="1" applyAlignment="1">
      <alignment horizontal="center" vertical="center" wrapText="1"/>
    </xf>
    <xf numFmtId="0" fontId="58" fillId="47" borderId="182" xfId="0" applyFont="1" applyFill="1" applyBorder="1" applyAlignment="1">
      <alignment horizontal="center" vertical="center" wrapText="1"/>
    </xf>
    <xf numFmtId="0" fontId="54" fillId="0" borderId="47" xfId="0" applyFont="1" applyBorder="1" applyAlignment="1"/>
    <xf numFmtId="0" fontId="48" fillId="0" borderId="47" xfId="0" applyFont="1" applyBorder="1" applyAlignment="1"/>
    <xf numFmtId="0" fontId="49" fillId="24" borderId="47" xfId="0" applyFont="1" applyFill="1" applyBorder="1" applyAlignment="1">
      <alignment vertical="center"/>
    </xf>
    <xf numFmtId="0" fontId="49" fillId="17" borderId="47" xfId="0" applyFont="1" applyFill="1" applyBorder="1" applyAlignment="1">
      <alignment vertical="center"/>
    </xf>
    <xf numFmtId="0" fontId="49" fillId="17" borderId="47" xfId="0" applyFont="1" applyFill="1" applyBorder="1" applyAlignment="1">
      <alignment vertical="center" wrapText="1"/>
    </xf>
    <xf numFmtId="0" fontId="49" fillId="17" borderId="47" xfId="0" applyFont="1" applyFill="1" applyBorder="1" applyAlignment="1">
      <alignment horizontal="center" vertical="center" wrapText="1"/>
    </xf>
    <xf numFmtId="0" fontId="48" fillId="17" borderId="47" xfId="0" applyFont="1" applyFill="1" applyBorder="1" applyAlignment="1"/>
    <xf numFmtId="0" fontId="57" fillId="0" borderId="15" xfId="0" applyFont="1" applyBorder="1" applyAlignment="1">
      <alignment wrapText="1"/>
    </xf>
    <xf numFmtId="0" fontId="58" fillId="47" borderId="24" xfId="0" applyFont="1" applyFill="1" applyBorder="1" applyAlignment="1">
      <alignment horizontal="center" vertical="center" wrapText="1"/>
    </xf>
    <xf numFmtId="0" fontId="66" fillId="57" borderId="24" xfId="0" applyFont="1" applyFill="1" applyBorder="1" applyAlignment="1">
      <alignment horizontal="center" vertical="center" wrapText="1"/>
    </xf>
    <xf numFmtId="0" fontId="42" fillId="0" borderId="24" xfId="0" applyFont="1" applyBorder="1" applyAlignment="1"/>
    <xf numFmtId="0" fontId="41" fillId="0" borderId="47" xfId="0" applyFont="1" applyBorder="1" applyAlignment="1">
      <alignment wrapText="1"/>
    </xf>
    <xf numFmtId="165" fontId="47" fillId="67" borderId="24" xfId="0" applyNumberFormat="1" applyFont="1" applyFill="1" applyBorder="1" applyAlignment="1">
      <alignment horizontal="center" vertical="center" wrapText="1"/>
    </xf>
    <xf numFmtId="0" fontId="115" fillId="68" borderId="12" xfId="0" applyFont="1" applyFill="1" applyBorder="1" applyAlignment="1">
      <alignment horizontal="center" vertical="center" wrapText="1"/>
    </xf>
    <xf numFmtId="9" fontId="37" fillId="0" borderId="47" xfId="0" applyNumberFormat="1" applyFont="1" applyBorder="1" applyAlignment="1">
      <alignment horizontal="center" vertical="center" wrapText="1"/>
    </xf>
    <xf numFmtId="0" fontId="38" fillId="0" borderId="24" xfId="0" applyFont="1" applyBorder="1" applyAlignment="1"/>
    <xf numFmtId="0" fontId="58" fillId="4" borderId="70" xfId="0" applyFont="1" applyFill="1" applyBorder="1" applyAlignment="1">
      <alignment horizontal="center" vertical="center" wrapText="1"/>
    </xf>
    <xf numFmtId="0" fontId="66" fillId="57" borderId="141" xfId="0" applyFont="1" applyFill="1" applyBorder="1" applyAlignment="1">
      <alignment horizontal="center" vertical="center" wrapText="1"/>
    </xf>
    <xf numFmtId="0" fontId="37" fillId="20" borderId="24" xfId="0" applyFont="1" applyFill="1" applyBorder="1" applyAlignment="1">
      <alignment horizontal="center" vertical="center" wrapText="1"/>
    </xf>
    <xf numFmtId="0" fontId="37" fillId="18" borderId="24" xfId="0" applyFont="1" applyFill="1" applyBorder="1" applyAlignment="1">
      <alignment horizontal="center" vertical="center" wrapText="1"/>
    </xf>
    <xf numFmtId="2" fontId="37" fillId="20" borderId="24" xfId="0" applyNumberFormat="1" applyFont="1" applyFill="1" applyBorder="1" applyAlignment="1">
      <alignment horizontal="center" vertical="center" wrapText="1"/>
    </xf>
    <xf numFmtId="10" fontId="116" fillId="60" borderId="106" xfId="1" applyNumberFormat="1" applyFont="1" applyFill="1" applyBorder="1" applyAlignment="1">
      <alignment horizontal="center" vertical="center" wrapText="1"/>
    </xf>
    <xf numFmtId="0" fontId="57" fillId="0" borderId="173" xfId="0" applyFont="1" applyBorder="1" applyAlignment="1">
      <alignment vertical="center" wrapText="1"/>
    </xf>
    <xf numFmtId="9" fontId="57" fillId="0" borderId="43" xfId="0" applyNumberFormat="1" applyFont="1" applyBorder="1" applyAlignment="1">
      <alignment horizontal="center" vertical="center" wrapText="1"/>
    </xf>
    <xf numFmtId="0" fontId="57" fillId="0" borderId="27" xfId="0" applyFont="1" applyBorder="1" applyAlignment="1">
      <alignment horizontal="center" vertical="center" wrapText="1"/>
    </xf>
    <xf numFmtId="0" fontId="57" fillId="18" borderId="40" xfId="0" applyFont="1" applyFill="1" applyBorder="1" applyAlignment="1">
      <alignment horizontal="center" vertical="center" wrapText="1"/>
    </xf>
    <xf numFmtId="0" fontId="57" fillId="18" borderId="25" xfId="0" applyFont="1" applyFill="1" applyBorder="1" applyAlignment="1">
      <alignment horizontal="center" vertical="center" wrapText="1"/>
    </xf>
    <xf numFmtId="0" fontId="48" fillId="0" borderId="47" xfId="0" applyFont="1" applyFill="1" applyBorder="1" applyAlignment="1">
      <alignment horizontal="center" vertical="center"/>
    </xf>
    <xf numFmtId="0" fontId="48" fillId="0" borderId="25" xfId="0" applyFont="1" applyFill="1" applyBorder="1" applyAlignment="1">
      <alignment horizontal="center" vertical="center"/>
    </xf>
    <xf numFmtId="0" fontId="46" fillId="0" borderId="31" xfId="0" applyFont="1" applyBorder="1" applyAlignment="1">
      <alignment vertical="center" wrapText="1"/>
    </xf>
    <xf numFmtId="0" fontId="46" fillId="0" borderId="184" xfId="0" applyFont="1" applyBorder="1" applyAlignment="1">
      <alignment wrapText="1"/>
    </xf>
    <xf numFmtId="0" fontId="46" fillId="18" borderId="184" xfId="0" applyFont="1" applyFill="1" applyBorder="1" applyAlignment="1">
      <alignment wrapText="1"/>
    </xf>
    <xf numFmtId="165" fontId="57" fillId="18" borderId="25" xfId="0" applyNumberFormat="1" applyFont="1" applyFill="1" applyBorder="1" applyAlignment="1">
      <alignment horizontal="center" vertical="center" wrapText="1"/>
    </xf>
    <xf numFmtId="1" fontId="57" fillId="0" borderId="9" xfId="0" applyNumberFormat="1" applyFont="1" applyBorder="1" applyAlignment="1">
      <alignment horizontal="center" vertical="center" wrapText="1"/>
    </xf>
    <xf numFmtId="10" fontId="58" fillId="31" borderId="25" xfId="0" applyNumberFormat="1" applyFont="1" applyFill="1" applyBorder="1" applyAlignment="1">
      <alignment horizontal="center" vertical="center" wrapText="1"/>
    </xf>
    <xf numFmtId="0" fontId="117" fillId="0" borderId="22" xfId="0" applyFont="1" applyBorder="1" applyAlignment="1">
      <alignment wrapText="1"/>
    </xf>
    <xf numFmtId="0" fontId="117" fillId="0" borderId="113" xfId="0" applyFont="1" applyBorder="1" applyAlignment="1">
      <alignment wrapText="1"/>
    </xf>
    <xf numFmtId="9" fontId="118" fillId="7" borderId="114" xfId="0" applyNumberFormat="1" applyFont="1" applyFill="1" applyBorder="1" applyAlignment="1">
      <alignment horizontal="center" vertical="center" wrapText="1"/>
    </xf>
    <xf numFmtId="9" fontId="118" fillId="7" borderId="34" xfId="0" applyNumberFormat="1" applyFont="1" applyFill="1" applyBorder="1" applyAlignment="1">
      <alignment horizontal="center" vertical="center" wrapText="1"/>
    </xf>
    <xf numFmtId="0" fontId="117" fillId="0" borderId="24" xfId="0" applyFont="1" applyBorder="1" applyAlignment="1">
      <alignment wrapText="1"/>
    </xf>
    <xf numFmtId="9" fontId="118" fillId="7" borderId="24" xfId="0" applyNumberFormat="1" applyFont="1" applyFill="1" applyBorder="1" applyAlignment="1">
      <alignment horizontal="center" vertical="center" wrapText="1"/>
    </xf>
    <xf numFmtId="165" fontId="118" fillId="33" borderId="24" xfId="0" applyNumberFormat="1" applyFont="1" applyFill="1" applyBorder="1" applyAlignment="1">
      <alignment horizontal="center" vertical="center" wrapText="1"/>
    </xf>
    <xf numFmtId="165" fontId="118" fillId="10" borderId="24" xfId="0" applyNumberFormat="1" applyFont="1" applyFill="1" applyBorder="1" applyAlignment="1">
      <alignment horizontal="center" vertical="center" wrapText="1"/>
    </xf>
    <xf numFmtId="0" fontId="117" fillId="18" borderId="24" xfId="0" applyFont="1" applyFill="1" applyBorder="1" applyAlignment="1">
      <alignment wrapText="1"/>
    </xf>
    <xf numFmtId="0" fontId="117" fillId="0" borderId="24" xfId="0" applyFont="1" applyBorder="1" applyAlignment="1">
      <alignment horizontal="center" wrapText="1"/>
    </xf>
    <xf numFmtId="165" fontId="118" fillId="10" borderId="47" xfId="0" applyNumberFormat="1" applyFont="1" applyFill="1" applyBorder="1" applyAlignment="1">
      <alignment horizontal="center" vertical="center" wrapText="1"/>
    </xf>
    <xf numFmtId="165" fontId="118" fillId="38" borderId="47" xfId="0" applyNumberFormat="1" applyFont="1" applyFill="1" applyBorder="1" applyAlignment="1">
      <alignment horizontal="center" vertical="center" wrapText="1"/>
    </xf>
    <xf numFmtId="0" fontId="119" fillId="0" borderId="24" xfId="0" applyFont="1" applyBorder="1" applyAlignment="1"/>
    <xf numFmtId="0" fontId="119" fillId="0" borderId="47" xfId="0" applyFont="1" applyBorder="1" applyAlignment="1"/>
    <xf numFmtId="9" fontId="118" fillId="24" borderId="24" xfId="0" applyNumberFormat="1" applyFont="1" applyFill="1" applyBorder="1" applyAlignment="1">
      <alignment horizontal="left" vertical="center" wrapText="1"/>
    </xf>
    <xf numFmtId="0" fontId="119" fillId="0" borderId="0" xfId="0" applyFont="1" applyAlignment="1"/>
    <xf numFmtId="0" fontId="57" fillId="20" borderId="45" xfId="0" applyFont="1" applyFill="1" applyBorder="1" applyAlignment="1">
      <alignment horizontal="center" vertical="center" wrapText="1"/>
    </xf>
    <xf numFmtId="0" fontId="57" fillId="20" borderId="46" xfId="0" applyFont="1" applyFill="1" applyBorder="1" applyAlignment="1">
      <alignment horizontal="center" vertical="center" wrapText="1"/>
    </xf>
    <xf numFmtId="0" fontId="57" fillId="20" borderId="31" xfId="0" applyFont="1" applyFill="1" applyBorder="1" applyAlignment="1">
      <alignment horizontal="center" vertical="center" wrapText="1"/>
    </xf>
    <xf numFmtId="168" fontId="46" fillId="20" borderId="24" xfId="0" applyNumberFormat="1" applyFont="1" applyFill="1" applyBorder="1" applyAlignment="1">
      <alignment horizontal="center" vertical="center" wrapText="1"/>
    </xf>
    <xf numFmtId="0" fontId="45" fillId="18" borderId="24" xfId="0" applyFont="1" applyFill="1" applyBorder="1" applyAlignment="1">
      <alignment horizontal="center" vertical="center"/>
    </xf>
    <xf numFmtId="0" fontId="49" fillId="24" borderId="24" xfId="0" applyFont="1" applyFill="1" applyBorder="1" applyAlignment="1">
      <alignment wrapText="1"/>
    </xf>
    <xf numFmtId="0" fontId="47" fillId="29" borderId="10" xfId="0" applyFont="1" applyFill="1" applyBorder="1" applyAlignment="1">
      <alignment vertical="center" wrapText="1"/>
    </xf>
    <xf numFmtId="167" fontId="57" fillId="0" borderId="24" xfId="0" applyNumberFormat="1" applyFont="1" applyBorder="1" applyAlignment="1">
      <alignment horizontal="center" vertical="center" wrapText="1"/>
    </xf>
    <xf numFmtId="2" fontId="57" fillId="20" borderId="45" xfId="0" applyNumberFormat="1" applyFont="1" applyFill="1" applyBorder="1" applyAlignment="1">
      <alignment horizontal="center" vertical="center" wrapText="1"/>
    </xf>
    <xf numFmtId="1" fontId="57" fillId="20" borderId="45" xfId="0" applyNumberFormat="1" applyFont="1" applyFill="1" applyBorder="1" applyAlignment="1">
      <alignment horizontal="center" vertical="center" wrapText="1"/>
    </xf>
    <xf numFmtId="167" fontId="57" fillId="20" borderId="45" xfId="0" applyNumberFormat="1" applyFont="1" applyFill="1" applyBorder="1" applyAlignment="1">
      <alignment horizontal="center" vertical="center" wrapText="1"/>
    </xf>
    <xf numFmtId="0" fontId="48" fillId="0" borderId="24" xfId="0" applyFont="1" applyBorder="1" applyAlignment="1">
      <alignment vertical="center"/>
    </xf>
    <xf numFmtId="165" fontId="57" fillId="18" borderId="53" xfId="0" applyNumberFormat="1" applyFont="1" applyFill="1" applyBorder="1" applyAlignment="1">
      <alignment horizontal="center" vertical="center" wrapText="1"/>
    </xf>
    <xf numFmtId="165" fontId="57" fillId="18" borderId="111" xfId="0" applyNumberFormat="1" applyFont="1" applyFill="1" applyBorder="1" applyAlignment="1">
      <alignment horizontal="center" vertical="center" wrapText="1"/>
    </xf>
    <xf numFmtId="165" fontId="57" fillId="18" borderId="176" xfId="0" applyNumberFormat="1" applyFont="1" applyFill="1" applyBorder="1" applyAlignment="1">
      <alignment horizontal="center" vertical="center" wrapText="1"/>
    </xf>
    <xf numFmtId="168" fontId="57" fillId="0" borderId="9" xfId="0" applyNumberFormat="1" applyFont="1" applyBorder="1" applyAlignment="1">
      <alignment horizontal="center" vertical="center" wrapText="1"/>
    </xf>
    <xf numFmtId="1" fontId="37" fillId="0" borderId="24" xfId="0" applyNumberFormat="1" applyFont="1" applyBorder="1" applyAlignment="1">
      <alignment horizontal="center" vertical="center" wrapText="1"/>
    </xf>
    <xf numFmtId="170" fontId="46" fillId="20" borderId="24" xfId="0" applyNumberFormat="1" applyFont="1" applyFill="1" applyBorder="1" applyAlignment="1">
      <alignment horizontal="center" vertical="center" wrapText="1"/>
    </xf>
    <xf numFmtId="165" fontId="118" fillId="8" borderId="25" xfId="0" applyNumberFormat="1" applyFont="1" applyFill="1" applyBorder="1" applyAlignment="1">
      <alignment horizontal="center" vertical="center" wrapText="1"/>
    </xf>
    <xf numFmtId="0" fontId="21" fillId="0" borderId="78" xfId="0" applyFont="1" applyBorder="1" applyAlignment="1">
      <alignment horizontal="justify" vertical="center" wrapText="1"/>
    </xf>
    <xf numFmtId="0" fontId="21" fillId="0" borderId="35" xfId="0" applyFont="1" applyBorder="1" applyAlignment="1">
      <alignment horizontal="justify" vertical="center" wrapText="1"/>
    </xf>
    <xf numFmtId="0" fontId="57" fillId="29" borderId="16" xfId="0" applyFont="1" applyFill="1" applyBorder="1" applyAlignment="1">
      <alignment vertical="center" wrapText="1"/>
    </xf>
    <xf numFmtId="0" fontId="57" fillId="29" borderId="62" xfId="0" applyFont="1" applyFill="1" applyBorder="1" applyAlignment="1">
      <alignment vertical="center" wrapText="1"/>
    </xf>
    <xf numFmtId="0" fontId="57" fillId="29" borderId="17" xfId="0" applyFont="1" applyFill="1" applyBorder="1" applyAlignment="1">
      <alignment vertical="center" wrapText="1"/>
    </xf>
    <xf numFmtId="0" fontId="57" fillId="29" borderId="68" xfId="0" applyFont="1" applyFill="1" applyBorder="1" applyAlignment="1">
      <alignment vertical="center" wrapText="1"/>
    </xf>
    <xf numFmtId="0" fontId="57" fillId="29" borderId="69" xfId="0" applyFont="1" applyFill="1" applyBorder="1" applyAlignment="1">
      <alignment vertical="center" wrapText="1"/>
    </xf>
    <xf numFmtId="0" fontId="47" fillId="29" borderId="54" xfId="0" applyFont="1" applyFill="1" applyBorder="1" applyAlignment="1">
      <alignment vertical="center" wrapText="1"/>
    </xf>
    <xf numFmtId="0" fontId="57" fillId="49" borderId="13" xfId="0" applyFont="1" applyFill="1" applyBorder="1" applyAlignment="1">
      <alignment horizontal="center" vertical="center" wrapText="1"/>
    </xf>
    <xf numFmtId="0" fontId="57" fillId="49" borderId="71" xfId="0" applyFont="1" applyFill="1" applyBorder="1" applyAlignment="1">
      <alignment horizontal="center" vertical="center" wrapText="1"/>
    </xf>
    <xf numFmtId="0" fontId="57" fillId="49" borderId="111" xfId="0" applyFont="1" applyFill="1" applyBorder="1" applyAlignment="1">
      <alignment horizontal="center" vertical="center" wrapText="1"/>
    </xf>
    <xf numFmtId="43" fontId="57" fillId="0" borderId="24" xfId="3" applyFont="1" applyBorder="1" applyAlignment="1">
      <alignment horizontal="center" vertical="center" wrapText="1"/>
    </xf>
    <xf numFmtId="165" fontId="58" fillId="22" borderId="29" xfId="1" applyNumberFormat="1" applyFont="1" applyFill="1" applyBorder="1" applyAlignment="1">
      <alignment horizontal="center" vertical="center" wrapText="1"/>
    </xf>
    <xf numFmtId="0" fontId="104" fillId="0" borderId="26" xfId="0" applyFont="1" applyBorder="1" applyAlignment="1">
      <alignment horizontal="center" vertical="center" wrapText="1"/>
    </xf>
    <xf numFmtId="0" fontId="105" fillId="24" borderId="26" xfId="0" applyFont="1" applyFill="1" applyBorder="1" applyAlignment="1">
      <alignment horizontal="center" vertical="center" wrapText="1"/>
    </xf>
    <xf numFmtId="0" fontId="105" fillId="25" borderId="26" xfId="0" applyFont="1" applyFill="1" applyBorder="1" applyAlignment="1">
      <alignment horizontal="center" vertical="center" wrapText="1"/>
    </xf>
    <xf numFmtId="0" fontId="105" fillId="17" borderId="26" xfId="0" applyFont="1" applyFill="1" applyBorder="1" applyAlignment="1">
      <alignment horizontal="center" vertical="center" wrapText="1"/>
    </xf>
    <xf numFmtId="0" fontId="105" fillId="26" borderId="26" xfId="0" applyFont="1" applyFill="1" applyBorder="1" applyAlignment="1">
      <alignment horizontal="center" vertical="center" wrapText="1"/>
    </xf>
    <xf numFmtId="0" fontId="94" fillId="0" borderId="0" xfId="0" applyFont="1" applyAlignment="1"/>
    <xf numFmtId="165" fontId="94" fillId="0" borderId="0" xfId="0" applyNumberFormat="1" applyFont="1" applyAlignment="1"/>
    <xf numFmtId="0" fontId="106" fillId="0" borderId="25" xfId="0" applyFont="1" applyBorder="1" applyAlignment="1">
      <alignment horizontal="center" vertical="center"/>
    </xf>
    <xf numFmtId="164" fontId="106" fillId="0" borderId="25" xfId="1" applyNumberFormat="1" applyFont="1" applyBorder="1" applyAlignment="1">
      <alignment vertical="center"/>
    </xf>
    <xf numFmtId="164" fontId="94" fillId="0" borderId="0" xfId="1" applyNumberFormat="1" applyFont="1" applyAlignment="1"/>
    <xf numFmtId="164" fontId="106" fillId="0" borderId="0" xfId="0" applyNumberFormat="1" applyFont="1" applyAlignment="1"/>
    <xf numFmtId="164" fontId="94" fillId="0" borderId="0" xfId="0" applyNumberFormat="1" applyFont="1" applyAlignment="1"/>
    <xf numFmtId="10" fontId="94" fillId="0" borderId="0" xfId="0" applyNumberFormat="1" applyFont="1" applyAlignment="1"/>
    <xf numFmtId="10" fontId="121" fillId="0" borderId="0" xfId="0" applyNumberFormat="1" applyFont="1" applyAlignment="1">
      <alignment horizontal="center"/>
    </xf>
    <xf numFmtId="10" fontId="94" fillId="0" borderId="0" xfId="1" applyNumberFormat="1" applyFont="1" applyAlignment="1"/>
    <xf numFmtId="0" fontId="122" fillId="16" borderId="146" xfId="0" applyFont="1" applyFill="1" applyBorder="1" applyAlignment="1">
      <alignment horizontal="center" vertical="center" wrapText="1"/>
    </xf>
    <xf numFmtId="0" fontId="122" fillId="5" borderId="147" xfId="0" applyFont="1" applyFill="1" applyBorder="1" applyAlignment="1">
      <alignment horizontal="center" vertical="center" wrapText="1"/>
    </xf>
    <xf numFmtId="0" fontId="122" fillId="16" borderId="147" xfId="0" applyFont="1" applyFill="1" applyBorder="1" applyAlignment="1">
      <alignment horizontal="center" vertical="center" wrapText="1"/>
    </xf>
    <xf numFmtId="0" fontId="123" fillId="16" borderId="147" xfId="0" applyFont="1" applyFill="1" applyBorder="1" applyAlignment="1">
      <alignment horizontal="center" vertical="center" wrapText="1"/>
    </xf>
    <xf numFmtId="0" fontId="124" fillId="16" borderId="147" xfId="0" applyFont="1" applyFill="1" applyBorder="1" applyAlignment="1">
      <alignment horizontal="center" vertical="center" wrapText="1"/>
    </xf>
    <xf numFmtId="0" fontId="124" fillId="16" borderId="148" xfId="0" applyFont="1" applyFill="1" applyBorder="1" applyAlignment="1">
      <alignment horizontal="center" vertical="center" wrapText="1"/>
    </xf>
    <xf numFmtId="0" fontId="123" fillId="16" borderId="149" xfId="0" applyFont="1" applyFill="1" applyBorder="1" applyAlignment="1">
      <alignment horizontal="center" vertical="center" wrapText="1"/>
    </xf>
    <xf numFmtId="0" fontId="122" fillId="16" borderId="149" xfId="0" applyFont="1" applyFill="1" applyBorder="1" applyAlignment="1">
      <alignment horizontal="center" vertical="center" wrapText="1"/>
    </xf>
    <xf numFmtId="0" fontId="124" fillId="16" borderId="149" xfId="0" applyFont="1" applyFill="1" applyBorder="1" applyAlignment="1">
      <alignment horizontal="center" vertical="center" wrapText="1"/>
    </xf>
    <xf numFmtId="0" fontId="123" fillId="16" borderId="150" xfId="0" applyFont="1" applyFill="1" applyBorder="1" applyAlignment="1">
      <alignment horizontal="center" vertical="center" wrapText="1"/>
    </xf>
    <xf numFmtId="0" fontId="124" fillId="16" borderId="150" xfId="0" applyFont="1" applyFill="1" applyBorder="1" applyAlignment="1">
      <alignment horizontal="center" vertical="center" wrapText="1"/>
    </xf>
    <xf numFmtId="0" fontId="122" fillId="70" borderId="147" xfId="0" applyFont="1" applyFill="1" applyBorder="1" applyAlignment="1">
      <alignment horizontal="center" vertical="center" wrapText="1"/>
    </xf>
    <xf numFmtId="0" fontId="123" fillId="70" borderId="147" xfId="0" applyFont="1" applyFill="1" applyBorder="1" applyAlignment="1">
      <alignment horizontal="center" vertical="center" wrapText="1"/>
    </xf>
    <xf numFmtId="0" fontId="123" fillId="70" borderId="148" xfId="0" applyFont="1" applyFill="1" applyBorder="1" applyAlignment="1">
      <alignment horizontal="center" vertical="center" wrapText="1"/>
    </xf>
    <xf numFmtId="0" fontId="122" fillId="70" borderId="151" xfId="0" applyFont="1" applyFill="1" applyBorder="1" applyAlignment="1">
      <alignment horizontal="center" vertical="center" wrapText="1"/>
    </xf>
    <xf numFmtId="0" fontId="122" fillId="16" borderId="29" xfId="0" applyFont="1" applyFill="1" applyBorder="1" applyAlignment="1">
      <alignment horizontal="center" vertical="center" wrapText="1"/>
    </xf>
    <xf numFmtId="0" fontId="122" fillId="5" borderId="14" xfId="0" applyFont="1" applyFill="1" applyBorder="1" applyAlignment="1">
      <alignment horizontal="center" vertical="center" wrapText="1"/>
    </xf>
    <xf numFmtId="0" fontId="122" fillId="0" borderId="152" xfId="0" applyFont="1" applyBorder="1" applyAlignment="1">
      <alignment wrapText="1"/>
    </xf>
    <xf numFmtId="0" fontId="34" fillId="0" borderId="0" xfId="0" applyFont="1" applyBorder="1" applyAlignment="1"/>
    <xf numFmtId="0" fontId="125" fillId="0" borderId="85" xfId="0" applyFont="1" applyBorder="1"/>
    <xf numFmtId="0" fontId="125" fillId="0" borderId="23" xfId="0" applyFont="1" applyBorder="1"/>
    <xf numFmtId="0" fontId="122" fillId="4" borderId="154" xfId="0" applyFont="1" applyFill="1" applyBorder="1" applyAlignment="1">
      <alignment horizontal="left" vertical="center" wrapText="1"/>
    </xf>
    <xf numFmtId="165" fontId="126" fillId="0" borderId="14" xfId="0" applyNumberFormat="1" applyFont="1" applyBorder="1" applyAlignment="1">
      <alignment horizontal="center" vertical="center"/>
    </xf>
    <xf numFmtId="165" fontId="127" fillId="0" borderId="14" xfId="0" applyNumberFormat="1" applyFont="1" applyBorder="1" applyAlignment="1">
      <alignment horizontal="center" vertical="center"/>
    </xf>
    <xf numFmtId="165" fontId="120" fillId="0" borderId="14" xfId="0" applyNumberFormat="1" applyFont="1" applyBorder="1" applyAlignment="1">
      <alignment horizontal="center" vertical="center"/>
    </xf>
    <xf numFmtId="165" fontId="126" fillId="0" borderId="45" xfId="0" applyNumberFormat="1" applyFont="1" applyBorder="1" applyAlignment="1">
      <alignment horizontal="center" vertical="center"/>
    </xf>
    <xf numFmtId="165" fontId="126" fillId="0" borderId="24" xfId="0" applyNumberFormat="1" applyFont="1" applyBorder="1" applyAlignment="1">
      <alignment horizontal="center" vertical="center"/>
    </xf>
    <xf numFmtId="165" fontId="124" fillId="0" borderId="24" xfId="0" applyNumberFormat="1" applyFont="1" applyBorder="1" applyAlignment="1">
      <alignment horizontal="center" vertical="center"/>
    </xf>
    <xf numFmtId="165" fontId="124" fillId="0" borderId="29" xfId="0" applyNumberFormat="1" applyFont="1" applyBorder="1" applyAlignment="1">
      <alignment horizontal="center" vertical="center"/>
    </xf>
    <xf numFmtId="165" fontId="126" fillId="0" borderId="153" xfId="0" applyNumberFormat="1" applyFont="1" applyBorder="1" applyAlignment="1">
      <alignment horizontal="center" vertical="center"/>
    </xf>
    <xf numFmtId="165" fontId="124" fillId="0" borderId="153" xfId="0" applyNumberFormat="1" applyFont="1" applyBorder="1" applyAlignment="1">
      <alignment horizontal="center" vertical="center"/>
    </xf>
    <xf numFmtId="9" fontId="126" fillId="0" borderId="29" xfId="0" applyNumberFormat="1" applyFont="1" applyBorder="1" applyAlignment="1">
      <alignment horizontal="center"/>
    </xf>
    <xf numFmtId="0" fontId="126" fillId="0" borderId="14" xfId="0" applyFont="1" applyBorder="1" applyAlignment="1">
      <alignment horizontal="center"/>
    </xf>
    <xf numFmtId="0" fontId="127" fillId="0" borderId="14" xfId="0" applyFont="1" applyBorder="1" applyAlignment="1">
      <alignment horizontal="center"/>
    </xf>
    <xf numFmtId="0" fontId="122" fillId="4" borderId="155" xfId="0" applyFont="1" applyFill="1" applyBorder="1" applyAlignment="1">
      <alignment horizontal="left" vertical="center" wrapText="1"/>
    </xf>
    <xf numFmtId="165" fontId="126" fillId="0" borderId="156" xfId="0" applyNumberFormat="1" applyFont="1" applyBorder="1" applyAlignment="1">
      <alignment horizontal="center" vertical="center"/>
    </xf>
    <xf numFmtId="165" fontId="127" fillId="0" borderId="156" xfId="0" applyNumberFormat="1" applyFont="1" applyBorder="1" applyAlignment="1">
      <alignment horizontal="center" vertical="center"/>
    </xf>
    <xf numFmtId="165" fontId="120" fillId="0" borderId="156" xfId="0" applyNumberFormat="1" applyFont="1" applyBorder="1" applyAlignment="1">
      <alignment horizontal="center" vertical="center"/>
    </xf>
    <xf numFmtId="165" fontId="126" fillId="0" borderId="157" xfId="0" applyNumberFormat="1" applyFont="1" applyBorder="1" applyAlignment="1">
      <alignment horizontal="center" vertical="center"/>
    </xf>
    <xf numFmtId="165" fontId="126" fillId="0" borderId="158" xfId="0" applyNumberFormat="1" applyFont="1" applyBorder="1" applyAlignment="1">
      <alignment horizontal="center" vertical="center"/>
    </xf>
    <xf numFmtId="165" fontId="124" fillId="0" borderId="158" xfId="0" applyNumberFormat="1" applyFont="1" applyBorder="1" applyAlignment="1">
      <alignment horizontal="center" vertical="center"/>
    </xf>
    <xf numFmtId="165" fontId="124" fillId="0" borderId="159" xfId="0" applyNumberFormat="1" applyFont="1" applyBorder="1" applyAlignment="1">
      <alignment horizontal="center" vertical="center"/>
    </xf>
    <xf numFmtId="165" fontId="126" fillId="0" borderId="160" xfId="0" applyNumberFormat="1" applyFont="1" applyBorder="1" applyAlignment="1">
      <alignment horizontal="center" vertical="center"/>
    </xf>
    <xf numFmtId="165" fontId="124" fillId="0" borderId="160" xfId="0" applyNumberFormat="1" applyFont="1" applyBorder="1" applyAlignment="1">
      <alignment horizontal="center" vertical="center"/>
    </xf>
    <xf numFmtId="165" fontId="73" fillId="20" borderId="14" xfId="0" applyNumberFormat="1" applyFont="1" applyFill="1" applyBorder="1" applyAlignment="1">
      <alignment horizontal="center" vertical="center"/>
    </xf>
    <xf numFmtId="10" fontId="128" fillId="20" borderId="14" xfId="0" applyNumberFormat="1" applyFont="1" applyFill="1" applyBorder="1" applyAlignment="1">
      <alignment horizontal="center" vertical="center"/>
    </xf>
    <xf numFmtId="165" fontId="73" fillId="20" borderId="45" xfId="0" applyNumberFormat="1" applyFont="1" applyFill="1" applyBorder="1" applyAlignment="1">
      <alignment horizontal="center" vertical="center"/>
    </xf>
    <xf numFmtId="165" fontId="73" fillId="20" borderId="24" xfId="0" applyNumberFormat="1" applyFont="1" applyFill="1" applyBorder="1" applyAlignment="1">
      <alignment horizontal="center" vertical="center"/>
    </xf>
    <xf numFmtId="165" fontId="73" fillId="20" borderId="29" xfId="0" applyNumberFormat="1" applyFont="1" applyFill="1" applyBorder="1" applyAlignment="1">
      <alignment horizontal="center" vertical="center"/>
    </xf>
    <xf numFmtId="165" fontId="73" fillId="20" borderId="153" xfId="0" applyNumberFormat="1" applyFont="1" applyFill="1" applyBorder="1" applyAlignment="1">
      <alignment horizontal="center" vertical="center"/>
    </xf>
    <xf numFmtId="9" fontId="120" fillId="0" borderId="14" xfId="0" applyNumberFormat="1" applyFont="1" applyBorder="1" applyAlignment="1">
      <alignment horizontal="center" vertical="center"/>
    </xf>
    <xf numFmtId="9" fontId="120" fillId="0" borderId="156" xfId="0" applyNumberFormat="1" applyFont="1" applyBorder="1" applyAlignment="1">
      <alignment horizontal="center" vertical="center"/>
    </xf>
    <xf numFmtId="0" fontId="129" fillId="45" borderId="24" xfId="0" applyFont="1" applyFill="1" applyBorder="1" applyAlignment="1">
      <alignment horizontal="center" vertical="center" wrapText="1"/>
    </xf>
    <xf numFmtId="165" fontId="0" fillId="17" borderId="0" xfId="0" applyNumberFormat="1" applyFont="1" applyFill="1" applyAlignment="1">
      <alignment horizontal="center" vertical="center"/>
    </xf>
    <xf numFmtId="165" fontId="0" fillId="17" borderId="47" xfId="0" applyNumberFormat="1" applyFont="1" applyFill="1" applyBorder="1" applyAlignment="1">
      <alignment horizontal="center" vertical="center"/>
    </xf>
    <xf numFmtId="165" fontId="130" fillId="41" borderId="106" xfId="1" applyNumberFormat="1" applyFont="1" applyFill="1" applyBorder="1" applyAlignment="1">
      <alignment horizontal="center" vertical="center" wrapText="1"/>
    </xf>
    <xf numFmtId="165" fontId="110" fillId="45" borderId="106" xfId="1" applyNumberFormat="1" applyFont="1" applyFill="1" applyBorder="1" applyAlignment="1">
      <alignment horizontal="center" vertical="center" wrapText="1"/>
    </xf>
    <xf numFmtId="0" fontId="90" fillId="0" borderId="24" xfId="0" applyFont="1" applyBorder="1" applyAlignment="1">
      <alignment horizontal="center"/>
    </xf>
    <xf numFmtId="0" fontId="75" fillId="45" borderId="24" xfId="0" applyFont="1" applyFill="1" applyBorder="1" applyAlignment="1">
      <alignment horizontal="center" vertical="center" wrapText="1"/>
    </xf>
    <xf numFmtId="0" fontId="90" fillId="0" borderId="24" xfId="0" applyFont="1" applyBorder="1" applyAlignment="1"/>
    <xf numFmtId="10" fontId="106" fillId="18" borderId="24" xfId="0" applyNumberFormat="1" applyFont="1" applyFill="1" applyBorder="1" applyAlignment="1">
      <alignment horizontal="center"/>
    </xf>
    <xf numFmtId="0" fontId="11" fillId="41" borderId="24" xfId="0" applyFont="1" applyFill="1" applyBorder="1" applyAlignment="1">
      <alignment horizontal="center" vertical="center" wrapText="1"/>
    </xf>
    <xf numFmtId="165" fontId="106" fillId="71" borderId="24" xfId="0" applyNumberFormat="1" applyFont="1" applyFill="1" applyBorder="1" applyAlignment="1">
      <alignment horizontal="center"/>
    </xf>
    <xf numFmtId="10" fontId="106" fillId="18" borderId="24" xfId="0" applyNumberFormat="1" applyFont="1" applyFill="1" applyBorder="1" applyAlignment="1">
      <alignment horizontal="center" vertical="center"/>
    </xf>
    <xf numFmtId="165" fontId="106" fillId="71" borderId="24" xfId="0" applyNumberFormat="1" applyFont="1" applyFill="1" applyBorder="1" applyAlignment="1">
      <alignment horizontal="center" vertical="center"/>
    </xf>
    <xf numFmtId="0" fontId="27" fillId="0" borderId="24" xfId="0" applyFont="1" applyBorder="1" applyAlignment="1">
      <alignment vertical="center" wrapText="1"/>
    </xf>
    <xf numFmtId="165" fontId="14" fillId="18" borderId="24" xfId="1" applyNumberFormat="1" applyFont="1" applyFill="1" applyBorder="1" applyAlignment="1">
      <alignment horizontal="center" vertical="center"/>
    </xf>
    <xf numFmtId="165" fontId="27" fillId="17" borderId="24" xfId="0" applyNumberFormat="1" applyFont="1" applyFill="1" applyBorder="1" applyAlignment="1">
      <alignment horizontal="center" vertical="center"/>
    </xf>
    <xf numFmtId="165" fontId="27" fillId="71" borderId="24" xfId="0" applyNumberFormat="1" applyFont="1" applyFill="1" applyBorder="1" applyAlignment="1">
      <alignment horizontal="center" vertical="center"/>
    </xf>
    <xf numFmtId="165" fontId="27" fillId="72" borderId="24" xfId="0" applyNumberFormat="1" applyFont="1" applyFill="1" applyBorder="1" applyAlignment="1">
      <alignment horizontal="center" vertical="center"/>
    </xf>
    <xf numFmtId="165" fontId="106" fillId="0" borderId="24" xfId="0" applyNumberFormat="1" applyFont="1" applyBorder="1" applyAlignment="1">
      <alignment horizontal="center" vertical="center"/>
    </xf>
    <xf numFmtId="165" fontId="106" fillId="17" borderId="24" xfId="0" applyNumberFormat="1" applyFont="1" applyFill="1" applyBorder="1" applyAlignment="1">
      <alignment horizontal="center" vertical="center"/>
    </xf>
    <xf numFmtId="0" fontId="11" fillId="73" borderId="24" xfId="0" applyFont="1" applyFill="1" applyBorder="1" applyAlignment="1">
      <alignment horizontal="center" wrapText="1"/>
    </xf>
    <xf numFmtId="0" fontId="11" fillId="73" borderId="24" xfId="0" applyFont="1" applyFill="1" applyBorder="1" applyAlignment="1">
      <alignment horizontal="center" vertical="center" wrapText="1"/>
    </xf>
    <xf numFmtId="0" fontId="47" fillId="17" borderId="24" xfId="0" applyFont="1" applyFill="1" applyBorder="1" applyAlignment="1">
      <alignment horizontal="left" vertical="center" wrapText="1"/>
    </xf>
    <xf numFmtId="165" fontId="27" fillId="23" borderId="24" xfId="0" applyNumberFormat="1" applyFont="1" applyFill="1" applyBorder="1" applyAlignment="1">
      <alignment horizontal="center" vertical="center"/>
    </xf>
    <xf numFmtId="165" fontId="49" fillId="17" borderId="24" xfId="1" applyNumberFormat="1" applyFont="1" applyFill="1" applyBorder="1" applyAlignment="1">
      <alignment horizontal="center"/>
    </xf>
    <xf numFmtId="165" fontId="14" fillId="23" borderId="24" xfId="1" applyNumberFormat="1" applyFont="1" applyFill="1" applyBorder="1" applyAlignment="1">
      <alignment horizontal="center"/>
    </xf>
    <xf numFmtId="165" fontId="14" fillId="72" borderId="24" xfId="1" applyNumberFormat="1" applyFont="1" applyFill="1" applyBorder="1" applyAlignment="1">
      <alignment horizontal="center"/>
    </xf>
    <xf numFmtId="165" fontId="14" fillId="71" borderId="24" xfId="1" applyNumberFormat="1" applyFont="1" applyFill="1" applyBorder="1" applyAlignment="1">
      <alignment horizontal="center"/>
    </xf>
    <xf numFmtId="165" fontId="14" fillId="17" borderId="24" xfId="1" applyNumberFormat="1" applyFont="1" applyFill="1" applyBorder="1" applyAlignment="1">
      <alignment horizontal="center"/>
    </xf>
    <xf numFmtId="165" fontId="132" fillId="0" borderId="24" xfId="0" applyNumberFormat="1" applyFont="1" applyBorder="1" applyAlignment="1">
      <alignment horizontal="center" vertical="center"/>
    </xf>
    <xf numFmtId="165" fontId="60" fillId="71" borderId="24" xfId="0" applyNumberFormat="1" applyFont="1" applyFill="1" applyBorder="1" applyAlignment="1">
      <alignment horizontal="center" vertical="center"/>
    </xf>
    <xf numFmtId="165" fontId="60" fillId="18" borderId="24" xfId="0" applyNumberFormat="1" applyFont="1" applyFill="1" applyBorder="1" applyAlignment="1">
      <alignment horizontal="center" vertical="center"/>
    </xf>
    <xf numFmtId="165" fontId="60" fillId="17" borderId="24" xfId="0" applyNumberFormat="1" applyFont="1" applyFill="1" applyBorder="1" applyAlignment="1">
      <alignment horizontal="center" vertical="center"/>
    </xf>
    <xf numFmtId="165" fontId="60" fillId="18" borderId="0" xfId="0" applyNumberFormat="1" applyFont="1" applyFill="1" applyAlignment="1">
      <alignment horizontal="center" vertical="center"/>
    </xf>
    <xf numFmtId="165" fontId="59" fillId="18" borderId="24" xfId="0" applyNumberFormat="1" applyFont="1" applyFill="1" applyBorder="1" applyAlignment="1">
      <alignment horizontal="center" vertical="center"/>
    </xf>
    <xf numFmtId="165" fontId="132" fillId="18" borderId="24" xfId="0" applyNumberFormat="1" applyFont="1" applyFill="1" applyBorder="1" applyAlignment="1">
      <alignment horizontal="center" vertical="center"/>
    </xf>
    <xf numFmtId="165" fontId="106" fillId="0" borderId="0" xfId="0" applyNumberFormat="1" applyFont="1" applyAlignment="1">
      <alignment horizontal="center" vertical="center"/>
    </xf>
    <xf numFmtId="165" fontId="106" fillId="18" borderId="24" xfId="0" applyNumberFormat="1" applyFont="1" applyFill="1" applyBorder="1" applyAlignment="1">
      <alignment horizontal="center" vertical="center"/>
    </xf>
    <xf numFmtId="165" fontId="106" fillId="72" borderId="24" xfId="0" applyNumberFormat="1" applyFont="1" applyFill="1" applyBorder="1" applyAlignment="1">
      <alignment horizontal="center" vertical="center"/>
    </xf>
    <xf numFmtId="165" fontId="132" fillId="72" borderId="24" xfId="0" applyNumberFormat="1" applyFont="1" applyFill="1" applyBorder="1" applyAlignment="1">
      <alignment horizontal="center" vertical="center"/>
    </xf>
    <xf numFmtId="165" fontId="132" fillId="71" borderId="24" xfId="0" applyNumberFormat="1" applyFont="1" applyFill="1" applyBorder="1" applyAlignment="1">
      <alignment horizontal="center" vertical="center"/>
    </xf>
    <xf numFmtId="165" fontId="132" fillId="24" borderId="24" xfId="0" applyNumberFormat="1" applyFont="1" applyFill="1" applyBorder="1" applyAlignment="1">
      <alignment horizontal="center" vertical="center"/>
    </xf>
    <xf numFmtId="165" fontId="132" fillId="17" borderId="24" xfId="0" applyNumberFormat="1" applyFont="1" applyFill="1" applyBorder="1" applyAlignment="1">
      <alignment horizontal="center" vertical="center"/>
    </xf>
    <xf numFmtId="165" fontId="93" fillId="0" borderId="24" xfId="0" applyNumberFormat="1" applyFont="1" applyBorder="1" applyAlignment="1">
      <alignment horizontal="center"/>
    </xf>
    <xf numFmtId="165" fontId="93" fillId="17" borderId="24" xfId="1" applyNumberFormat="1" applyFont="1" applyFill="1" applyBorder="1" applyAlignment="1">
      <alignment horizontal="center" wrapText="1"/>
    </xf>
    <xf numFmtId="165" fontId="93" fillId="24" borderId="24" xfId="1" applyNumberFormat="1" applyFont="1" applyFill="1" applyBorder="1" applyAlignment="1">
      <alignment horizontal="center" wrapText="1"/>
    </xf>
    <xf numFmtId="165" fontId="93" fillId="23" borderId="24" xfId="1" applyNumberFormat="1" applyFont="1" applyFill="1" applyBorder="1" applyAlignment="1">
      <alignment horizontal="center" wrapText="1"/>
    </xf>
    <xf numFmtId="165" fontId="106" fillId="0" borderId="24" xfId="0" applyNumberFormat="1" applyFont="1" applyBorder="1" applyAlignment="1">
      <alignment horizontal="center"/>
    </xf>
    <xf numFmtId="165" fontId="106" fillId="17" borderId="24" xfId="1" applyNumberFormat="1" applyFont="1" applyFill="1" applyBorder="1" applyAlignment="1">
      <alignment horizontal="center" wrapText="1"/>
    </xf>
    <xf numFmtId="165" fontId="93" fillId="72" borderId="24" xfId="1" applyNumberFormat="1" applyFont="1" applyFill="1" applyBorder="1" applyAlignment="1">
      <alignment horizontal="center" wrapText="1"/>
    </xf>
    <xf numFmtId="165" fontId="93" fillId="71" borderId="24" xfId="1" applyNumberFormat="1" applyFont="1" applyFill="1" applyBorder="1" applyAlignment="1">
      <alignment horizontal="center" wrapText="1"/>
    </xf>
    <xf numFmtId="165" fontId="93" fillId="0" borderId="24" xfId="0" applyNumberFormat="1" applyFont="1" applyBorder="1" applyAlignment="1">
      <alignment horizontal="center" vertical="center"/>
    </xf>
    <xf numFmtId="165" fontId="93" fillId="24" borderId="24" xfId="0" applyNumberFormat="1" applyFont="1" applyFill="1" applyBorder="1" applyAlignment="1">
      <alignment horizontal="center" vertical="center"/>
    </xf>
    <xf numFmtId="165" fontId="93" fillId="17" borderId="24" xfId="0" applyNumberFormat="1" applyFont="1" applyFill="1" applyBorder="1" applyAlignment="1">
      <alignment horizontal="center" vertical="center"/>
    </xf>
    <xf numFmtId="165" fontId="0" fillId="72" borderId="24" xfId="0" applyNumberFormat="1" applyFont="1" applyFill="1" applyBorder="1" applyAlignment="1">
      <alignment horizontal="center" vertical="center"/>
    </xf>
    <xf numFmtId="165" fontId="93" fillId="23" borderId="24" xfId="0" applyNumberFormat="1" applyFont="1" applyFill="1" applyBorder="1" applyAlignment="1">
      <alignment horizontal="center" vertical="center"/>
    </xf>
    <xf numFmtId="165" fontId="93" fillId="72" borderId="24" xfId="0" applyNumberFormat="1" applyFont="1" applyFill="1" applyBorder="1" applyAlignment="1">
      <alignment horizontal="center" vertical="center"/>
    </xf>
    <xf numFmtId="10" fontId="93" fillId="0" borderId="24" xfId="0" applyNumberFormat="1" applyFont="1" applyBorder="1" applyAlignment="1">
      <alignment horizontal="center" vertical="center"/>
    </xf>
    <xf numFmtId="10" fontId="106" fillId="0" borderId="24" xfId="0" applyNumberFormat="1" applyFont="1" applyBorder="1" applyAlignment="1">
      <alignment horizontal="center" vertical="center"/>
    </xf>
    <xf numFmtId="165" fontId="106" fillId="24" borderId="24" xfId="0" applyNumberFormat="1" applyFont="1" applyFill="1" applyBorder="1" applyAlignment="1">
      <alignment horizontal="center" vertical="center"/>
    </xf>
    <xf numFmtId="165" fontId="93" fillId="71" borderId="24" xfId="0" applyNumberFormat="1" applyFont="1" applyFill="1" applyBorder="1" applyAlignment="1">
      <alignment horizontal="center" vertical="center"/>
    </xf>
    <xf numFmtId="165" fontId="0" fillId="71" borderId="24" xfId="0" applyNumberFormat="1" applyFont="1" applyFill="1" applyBorder="1" applyAlignment="1">
      <alignment horizontal="center" vertical="center"/>
    </xf>
    <xf numFmtId="165" fontId="106" fillId="24" borderId="24" xfId="1" applyNumberFormat="1" applyFont="1" applyFill="1" applyBorder="1" applyAlignment="1">
      <alignment horizontal="center"/>
    </xf>
    <xf numFmtId="165" fontId="132" fillId="24" borderId="24" xfId="1" applyNumberFormat="1" applyFont="1" applyFill="1" applyBorder="1" applyAlignment="1">
      <alignment horizontal="center"/>
    </xf>
    <xf numFmtId="165" fontId="68" fillId="24" borderId="24" xfId="1" applyNumberFormat="1" applyFont="1" applyFill="1" applyBorder="1" applyAlignment="1">
      <alignment horizontal="center"/>
    </xf>
    <xf numFmtId="165" fontId="132" fillId="17" borderId="24" xfId="1" applyNumberFormat="1" applyFont="1" applyFill="1" applyBorder="1" applyAlignment="1">
      <alignment horizontal="center"/>
    </xf>
    <xf numFmtId="165" fontId="134" fillId="23" borderId="31" xfId="0" applyNumberFormat="1" applyFont="1" applyFill="1" applyBorder="1" applyAlignment="1">
      <alignment horizontal="center" vertical="center"/>
    </xf>
    <xf numFmtId="165" fontId="134" fillId="23" borderId="25" xfId="1" applyNumberFormat="1" applyFont="1" applyFill="1" applyBorder="1" applyAlignment="1">
      <alignment horizontal="center" vertical="center" wrapText="1"/>
    </xf>
    <xf numFmtId="165" fontId="134" fillId="72" borderId="25" xfId="1" applyNumberFormat="1" applyFont="1" applyFill="1" applyBorder="1" applyAlignment="1">
      <alignment horizontal="center" vertical="center" wrapText="1"/>
    </xf>
    <xf numFmtId="0" fontId="32" fillId="18" borderId="25" xfId="0" applyFont="1" applyFill="1" applyBorder="1" applyAlignment="1">
      <alignment vertical="center" wrapText="1"/>
    </xf>
    <xf numFmtId="0" fontId="32" fillId="18" borderId="44" xfId="0" applyFont="1" applyFill="1" applyBorder="1" applyAlignment="1">
      <alignment vertical="center" wrapText="1"/>
    </xf>
    <xf numFmtId="0" fontId="32" fillId="0" borderId="25" xfId="0" applyFont="1" applyBorder="1" applyAlignment="1">
      <alignment vertical="center" wrapText="1"/>
    </xf>
    <xf numFmtId="165" fontId="14" fillId="71" borderId="24" xfId="0" applyNumberFormat="1" applyFont="1" applyFill="1" applyBorder="1" applyAlignment="1">
      <alignment horizontal="center" vertical="center"/>
    </xf>
    <xf numFmtId="165" fontId="14" fillId="17" borderId="24" xfId="0" applyNumberFormat="1" applyFont="1" applyFill="1" applyBorder="1" applyAlignment="1">
      <alignment horizontal="center" vertical="center"/>
    </xf>
    <xf numFmtId="165" fontId="14" fillId="72" borderId="24" xfId="0" applyNumberFormat="1" applyFont="1" applyFill="1" applyBorder="1" applyAlignment="1">
      <alignment horizontal="center" vertical="center"/>
    </xf>
    <xf numFmtId="0" fontId="106" fillId="0" borderId="24" xfId="0" applyFont="1" applyBorder="1" applyAlignment="1">
      <alignment wrapText="1"/>
    </xf>
    <xf numFmtId="0" fontId="135" fillId="0" borderId="24" xfId="0" applyFont="1" applyBorder="1" applyAlignment="1">
      <alignment wrapText="1"/>
    </xf>
    <xf numFmtId="10" fontId="14" fillId="0" borderId="24" xfId="0" applyNumberFormat="1" applyFont="1" applyBorder="1" applyAlignment="1">
      <alignment horizontal="center" vertical="center"/>
    </xf>
    <xf numFmtId="165" fontId="11" fillId="17" borderId="24" xfId="1" applyNumberFormat="1" applyFont="1" applyFill="1" applyBorder="1" applyAlignment="1">
      <alignment horizontal="center" vertical="center"/>
    </xf>
    <xf numFmtId="165" fontId="14" fillId="23" borderId="24" xfId="1" applyNumberFormat="1" applyFont="1" applyFill="1" applyBorder="1" applyAlignment="1">
      <alignment horizontal="center" vertical="center"/>
    </xf>
    <xf numFmtId="165" fontId="48" fillId="71" borderId="24" xfId="1" applyNumberFormat="1" applyFont="1" applyFill="1" applyBorder="1" applyAlignment="1">
      <alignment horizontal="center" vertical="center"/>
    </xf>
    <xf numFmtId="165" fontId="14" fillId="24" borderId="24" xfId="1" applyNumberFormat="1" applyFont="1" applyFill="1" applyBorder="1" applyAlignment="1">
      <alignment horizontal="center" vertical="center"/>
    </xf>
    <xf numFmtId="165" fontId="14" fillId="72" borderId="24" xfId="1" applyNumberFormat="1" applyFont="1" applyFill="1" applyBorder="1" applyAlignment="1">
      <alignment horizontal="center" vertical="center"/>
    </xf>
    <xf numFmtId="0" fontId="33" fillId="18" borderId="24" xfId="0" applyFont="1" applyFill="1" applyBorder="1" applyAlignment="1">
      <alignment wrapText="1"/>
    </xf>
    <xf numFmtId="165" fontId="103" fillId="72" borderId="24" xfId="0" applyNumberFormat="1" applyFont="1" applyFill="1" applyBorder="1" applyAlignment="1">
      <alignment horizontal="center" vertical="center"/>
    </xf>
    <xf numFmtId="0" fontId="103" fillId="49" borderId="24" xfId="0" applyFont="1" applyFill="1" applyBorder="1" applyAlignment="1">
      <alignment wrapText="1"/>
    </xf>
    <xf numFmtId="165" fontId="103" fillId="23" borderId="24" xfId="0" applyNumberFormat="1" applyFont="1" applyFill="1" applyBorder="1" applyAlignment="1">
      <alignment horizontal="center" vertical="center"/>
    </xf>
    <xf numFmtId="0" fontId="103" fillId="49" borderId="24" xfId="0" applyFont="1" applyFill="1" applyBorder="1" applyAlignment="1"/>
    <xf numFmtId="0" fontId="103" fillId="0" borderId="24" xfId="0" applyFont="1" applyBorder="1" applyAlignment="1"/>
    <xf numFmtId="0" fontId="103" fillId="0" borderId="24" xfId="0" applyFont="1" applyBorder="1" applyAlignment="1">
      <alignment wrapText="1"/>
    </xf>
    <xf numFmtId="165" fontId="106" fillId="17" borderId="24" xfId="1" applyNumberFormat="1" applyFont="1" applyFill="1" applyBorder="1" applyAlignment="1">
      <alignment horizontal="center" vertical="center"/>
    </xf>
    <xf numFmtId="165" fontId="93" fillId="17" borderId="24" xfId="1" applyNumberFormat="1" applyFont="1" applyFill="1" applyBorder="1" applyAlignment="1">
      <alignment horizontal="center" vertical="center"/>
    </xf>
    <xf numFmtId="165" fontId="93" fillId="24" borderId="24" xfId="1" applyNumberFormat="1" applyFont="1" applyFill="1" applyBorder="1" applyAlignment="1">
      <alignment horizontal="center" vertical="center"/>
    </xf>
    <xf numFmtId="165" fontId="136" fillId="72" borderId="24" xfId="0" applyNumberFormat="1" applyFont="1" applyFill="1" applyBorder="1" applyAlignment="1">
      <alignment horizontal="center" vertical="center"/>
    </xf>
    <xf numFmtId="165" fontId="106" fillId="0" borderId="24" xfId="1" applyNumberFormat="1" applyFont="1" applyBorder="1" applyAlignment="1">
      <alignment horizontal="center" vertical="center"/>
    </xf>
    <xf numFmtId="165" fontId="93" fillId="0" borderId="24" xfId="1" applyNumberFormat="1" applyFont="1" applyBorder="1" applyAlignment="1">
      <alignment horizontal="center" vertical="center"/>
    </xf>
    <xf numFmtId="165" fontId="106" fillId="71" borderId="24" xfId="1" applyNumberFormat="1" applyFont="1" applyFill="1" applyBorder="1" applyAlignment="1">
      <alignment horizontal="center" vertical="center"/>
    </xf>
    <xf numFmtId="165" fontId="93" fillId="23" borderId="24" xfId="1" applyNumberFormat="1" applyFont="1" applyFill="1" applyBorder="1" applyAlignment="1">
      <alignment horizontal="center" vertical="center"/>
    </xf>
    <xf numFmtId="165" fontId="93" fillId="71" borderId="24" xfId="1" applyNumberFormat="1" applyFont="1" applyFill="1" applyBorder="1" applyAlignment="1">
      <alignment horizontal="center" vertical="center"/>
    </xf>
    <xf numFmtId="165" fontId="27" fillId="17" borderId="24" xfId="1" applyNumberFormat="1" applyFont="1" applyFill="1" applyBorder="1" applyAlignment="1">
      <alignment horizontal="center" vertical="center"/>
    </xf>
    <xf numFmtId="165" fontId="49" fillId="24" borderId="24" xfId="1" applyNumberFormat="1" applyFont="1" applyFill="1" applyBorder="1" applyAlignment="1">
      <alignment horizontal="center" vertical="center"/>
    </xf>
    <xf numFmtId="165" fontId="27" fillId="24" borderId="24" xfId="1" applyNumberFormat="1" applyFont="1" applyFill="1" applyBorder="1" applyAlignment="1">
      <alignment horizontal="center" vertical="center"/>
    </xf>
    <xf numFmtId="165" fontId="27" fillId="71" borderId="24" xfId="1" applyNumberFormat="1" applyFont="1" applyFill="1" applyBorder="1" applyAlignment="1">
      <alignment horizontal="center" vertical="center"/>
    </xf>
    <xf numFmtId="165" fontId="27" fillId="72" borderId="24" xfId="1" applyNumberFormat="1" applyFont="1" applyFill="1" applyBorder="1" applyAlignment="1">
      <alignment horizontal="center" vertical="center"/>
    </xf>
    <xf numFmtId="165" fontId="93" fillId="72" borderId="24" xfId="1" applyNumberFormat="1" applyFont="1" applyFill="1" applyBorder="1" applyAlignment="1">
      <alignment horizontal="center" vertical="center"/>
    </xf>
    <xf numFmtId="0" fontId="1" fillId="49" borderId="24" xfId="0" applyFont="1" applyFill="1" applyBorder="1" applyAlignment="1">
      <alignment wrapText="1"/>
    </xf>
    <xf numFmtId="165" fontId="135" fillId="23" borderId="24" xfId="0" applyNumberFormat="1" applyFont="1" applyFill="1" applyBorder="1" applyAlignment="1">
      <alignment horizontal="center" vertical="center"/>
    </xf>
    <xf numFmtId="165" fontId="135" fillId="72" borderId="24" xfId="0" applyNumberFormat="1" applyFont="1" applyFill="1" applyBorder="1" applyAlignment="1">
      <alignment horizontal="center" vertical="center"/>
    </xf>
    <xf numFmtId="165" fontId="135" fillId="23" borderId="24" xfId="1" applyNumberFormat="1" applyFont="1" applyFill="1" applyBorder="1" applyAlignment="1">
      <alignment horizontal="center" vertical="center"/>
    </xf>
    <xf numFmtId="165" fontId="135" fillId="72" borderId="24" xfId="1" applyNumberFormat="1" applyFont="1" applyFill="1" applyBorder="1" applyAlignment="1">
      <alignment horizontal="center" vertical="center"/>
    </xf>
    <xf numFmtId="165" fontId="137" fillId="0" borderId="24" xfId="0" applyNumberFormat="1" applyFont="1" applyBorder="1" applyAlignment="1">
      <alignment horizontal="center" vertical="center"/>
    </xf>
    <xf numFmtId="165" fontId="137" fillId="18" borderId="24" xfId="0" applyNumberFormat="1" applyFont="1" applyFill="1" applyBorder="1" applyAlignment="1">
      <alignment horizontal="center" vertical="center"/>
    </xf>
    <xf numFmtId="165" fontId="138" fillId="24" borderId="24" xfId="0" applyNumberFormat="1" applyFont="1" applyFill="1" applyBorder="1" applyAlignment="1">
      <alignment horizontal="center" vertical="center"/>
    </xf>
    <xf numFmtId="165" fontId="13" fillId="0" borderId="24" xfId="0" applyNumberFormat="1" applyFont="1" applyBorder="1" applyAlignment="1">
      <alignment horizontal="center" vertical="center"/>
    </xf>
    <xf numFmtId="165" fontId="12" fillId="0" borderId="24" xfId="0" applyNumberFormat="1" applyFont="1" applyBorder="1" applyAlignment="1">
      <alignment horizontal="center" vertical="center"/>
    </xf>
    <xf numFmtId="165" fontId="12" fillId="24" borderId="24" xfId="0" applyNumberFormat="1" applyFont="1" applyFill="1" applyBorder="1" applyAlignment="1">
      <alignment horizontal="center" vertical="center"/>
    </xf>
    <xf numFmtId="165" fontId="12" fillId="18" borderId="24" xfId="0" applyNumberFormat="1" applyFont="1" applyFill="1" applyBorder="1" applyAlignment="1">
      <alignment horizontal="center" vertical="center"/>
    </xf>
    <xf numFmtId="165" fontId="12" fillId="71" borderId="24" xfId="0" applyNumberFormat="1" applyFont="1" applyFill="1" applyBorder="1" applyAlignment="1">
      <alignment horizontal="center" vertical="center"/>
    </xf>
    <xf numFmtId="165" fontId="137" fillId="17" borderId="24" xfId="0" applyNumberFormat="1" applyFont="1" applyFill="1" applyBorder="1" applyAlignment="1">
      <alignment horizontal="center" vertical="center"/>
    </xf>
    <xf numFmtId="165" fontId="137" fillId="71" borderId="24" xfId="0" applyNumberFormat="1" applyFont="1" applyFill="1" applyBorder="1" applyAlignment="1">
      <alignment horizontal="center" vertical="center"/>
    </xf>
    <xf numFmtId="0" fontId="12" fillId="0" borderId="24" xfId="0" applyFont="1" applyBorder="1" applyAlignment="1">
      <alignment wrapText="1"/>
    </xf>
    <xf numFmtId="165" fontId="13" fillId="17" borderId="24" xfId="0" applyNumberFormat="1" applyFont="1" applyFill="1" applyBorder="1" applyAlignment="1">
      <alignment horizontal="center" vertical="center"/>
    </xf>
    <xf numFmtId="165" fontId="12" fillId="17" borderId="24" xfId="0" applyNumberFormat="1" applyFont="1" applyFill="1" applyBorder="1" applyAlignment="1">
      <alignment horizontal="center" vertical="center"/>
    </xf>
    <xf numFmtId="165" fontId="133" fillId="0" borderId="24" xfId="0" applyNumberFormat="1" applyFont="1" applyBorder="1" applyAlignment="1">
      <alignment horizontal="center" vertical="center"/>
    </xf>
    <xf numFmtId="165" fontId="133" fillId="24" borderId="24" xfId="0" applyNumberFormat="1" applyFont="1" applyFill="1" applyBorder="1" applyAlignment="1">
      <alignment horizontal="center" vertical="center"/>
    </xf>
    <xf numFmtId="165" fontId="133" fillId="71" borderId="24" xfId="0" applyNumberFormat="1" applyFont="1" applyFill="1" applyBorder="1" applyAlignment="1">
      <alignment horizontal="center" vertical="center"/>
    </xf>
    <xf numFmtId="0" fontId="13" fillId="0" borderId="24" xfId="0" applyFont="1" applyBorder="1" applyAlignment="1">
      <alignment wrapText="1"/>
    </xf>
    <xf numFmtId="0" fontId="131" fillId="0" borderId="24" xfId="0" applyFont="1" applyBorder="1" applyAlignment="1">
      <alignment wrapText="1"/>
    </xf>
    <xf numFmtId="165" fontId="13" fillId="24" borderId="24" xfId="1" applyNumberFormat="1" applyFont="1" applyFill="1" applyBorder="1" applyAlignment="1">
      <alignment horizontal="center" vertical="center"/>
    </xf>
    <xf numFmtId="0" fontId="1" fillId="0" borderId="24" xfId="0" applyFont="1" applyBorder="1" applyAlignment="1">
      <alignment wrapText="1"/>
    </xf>
    <xf numFmtId="165" fontId="135" fillId="0" borderId="24" xfId="0" applyNumberFormat="1" applyFont="1" applyBorder="1" applyAlignment="1">
      <alignment horizontal="center" vertical="center"/>
    </xf>
    <xf numFmtId="165" fontId="135" fillId="54" borderId="24" xfId="0" applyNumberFormat="1" applyFont="1" applyFill="1" applyBorder="1" applyAlignment="1">
      <alignment horizontal="center" vertical="center"/>
    </xf>
    <xf numFmtId="165" fontId="14" fillId="54" borderId="24" xfId="0" applyNumberFormat="1" applyFont="1" applyFill="1" applyBorder="1" applyAlignment="1">
      <alignment horizontal="center" vertical="center"/>
    </xf>
    <xf numFmtId="10" fontId="12" fillId="0" borderId="24" xfId="0" applyNumberFormat="1" applyFont="1" applyBorder="1" applyAlignment="1">
      <alignment horizontal="center" vertical="center"/>
    </xf>
    <xf numFmtId="165" fontId="12" fillId="72" borderId="24" xfId="0" applyNumberFormat="1" applyFont="1" applyFill="1" applyBorder="1" applyAlignment="1">
      <alignment horizontal="center" vertical="center"/>
    </xf>
    <xf numFmtId="165" fontId="11" fillId="23" borderId="145" xfId="1" applyNumberFormat="1" applyFont="1" applyFill="1" applyBorder="1" applyAlignment="1">
      <alignment horizontal="center" vertical="center"/>
    </xf>
    <xf numFmtId="165" fontId="0" fillId="23" borderId="145" xfId="1" applyNumberFormat="1" applyFont="1" applyFill="1" applyBorder="1" applyAlignment="1">
      <alignment horizontal="center" vertical="center"/>
    </xf>
    <xf numFmtId="0" fontId="58" fillId="63" borderId="25" xfId="0" applyFont="1" applyFill="1" applyBorder="1" applyAlignment="1">
      <alignment horizontal="center" vertical="center" wrapText="1"/>
    </xf>
    <xf numFmtId="0" fontId="58" fillId="64" borderId="25" xfId="0" applyFont="1" applyFill="1" applyBorder="1" applyAlignment="1">
      <alignment horizontal="center" vertical="center" wrapText="1"/>
    </xf>
    <xf numFmtId="0" fontId="58" fillId="61" borderId="28" xfId="0" applyFont="1" applyFill="1" applyBorder="1" applyAlignment="1">
      <alignment horizontal="center" vertical="center" wrapText="1"/>
    </xf>
    <xf numFmtId="10" fontId="64" fillId="5" borderId="25" xfId="0" applyNumberFormat="1" applyFont="1" applyFill="1" applyBorder="1" applyAlignment="1">
      <alignment horizontal="center" vertical="center" wrapText="1"/>
    </xf>
    <xf numFmtId="9" fontId="57" fillId="18" borderId="75" xfId="0" applyNumberFormat="1" applyFont="1" applyFill="1" applyBorder="1" applyAlignment="1">
      <alignment horizontal="center" vertical="center" wrapText="1"/>
    </xf>
    <xf numFmtId="165" fontId="57" fillId="0" borderId="25" xfId="0" applyNumberFormat="1" applyFont="1" applyBorder="1" applyAlignment="1">
      <alignment horizontal="center" vertical="center" wrapText="1"/>
    </xf>
    <xf numFmtId="0" fontId="57" fillId="42" borderId="10" xfId="0" applyFont="1" applyFill="1" applyBorder="1" applyAlignment="1">
      <alignment vertical="center" wrapText="1"/>
    </xf>
    <xf numFmtId="9" fontId="57" fillId="18" borderId="134" xfId="0" applyNumberFormat="1" applyFont="1" applyFill="1" applyBorder="1" applyAlignment="1">
      <alignment horizontal="center" vertical="center" wrapText="1"/>
    </xf>
    <xf numFmtId="165" fontId="57" fillId="18" borderId="112" xfId="0" applyNumberFormat="1" applyFont="1" applyFill="1" applyBorder="1" applyAlignment="1">
      <alignment horizontal="center" vertical="center" wrapText="1"/>
    </xf>
    <xf numFmtId="0" fontId="57" fillId="13" borderId="10" xfId="0" applyFont="1" applyFill="1" applyBorder="1" applyAlignment="1">
      <alignment vertical="center" wrapText="1"/>
    </xf>
    <xf numFmtId="165" fontId="57" fillId="0" borderId="43" xfId="0" applyNumberFormat="1" applyFont="1" applyBorder="1" applyAlignment="1">
      <alignment horizontal="center" vertical="center" wrapText="1"/>
    </xf>
    <xf numFmtId="9" fontId="57" fillId="0" borderId="71" xfId="0" applyNumberFormat="1" applyFont="1" applyBorder="1" applyAlignment="1">
      <alignment horizontal="center" vertical="center" wrapText="1"/>
    </xf>
    <xf numFmtId="0" fontId="59" fillId="0" borderId="25" xfId="0" applyFont="1" applyBorder="1" applyAlignment="1"/>
    <xf numFmtId="9" fontId="57" fillId="0" borderId="144" xfId="0" applyNumberFormat="1" applyFont="1" applyBorder="1" applyAlignment="1">
      <alignment horizontal="center" vertical="center" wrapText="1"/>
    </xf>
    <xf numFmtId="9" fontId="57" fillId="0" borderId="44" xfId="0" applyNumberFormat="1" applyFont="1" applyBorder="1" applyAlignment="1">
      <alignment horizontal="center" vertical="center" wrapText="1"/>
    </xf>
    <xf numFmtId="165" fontId="57" fillId="0" borderId="26" xfId="0" applyNumberFormat="1" applyFont="1" applyBorder="1" applyAlignment="1">
      <alignment horizontal="center" vertical="center" wrapText="1"/>
    </xf>
    <xf numFmtId="165" fontId="57" fillId="0" borderId="44" xfId="0" applyNumberFormat="1" applyFont="1" applyBorder="1" applyAlignment="1">
      <alignment horizontal="center" vertical="center" wrapText="1"/>
    </xf>
    <xf numFmtId="10" fontId="57" fillId="0" borderId="75" xfId="0" applyNumberFormat="1" applyFont="1" applyBorder="1" applyAlignment="1">
      <alignment horizontal="center" vertical="center" wrapText="1"/>
    </xf>
    <xf numFmtId="165" fontId="57" fillId="18" borderId="75" xfId="0" applyNumberFormat="1" applyFont="1" applyFill="1" applyBorder="1" applyAlignment="1">
      <alignment horizontal="center" vertical="center" wrapText="1"/>
    </xf>
    <xf numFmtId="10" fontId="57" fillId="0" borderId="111" xfId="0" applyNumberFormat="1" applyFont="1" applyBorder="1" applyAlignment="1">
      <alignment horizontal="center" vertical="center" wrapText="1"/>
    </xf>
    <xf numFmtId="10" fontId="57" fillId="0" borderId="134" xfId="0" applyNumberFormat="1" applyFont="1" applyBorder="1" applyAlignment="1">
      <alignment horizontal="center" vertical="center" wrapText="1"/>
    </xf>
    <xf numFmtId="165" fontId="57" fillId="18" borderId="134" xfId="0" applyNumberFormat="1" applyFont="1" applyFill="1" applyBorder="1" applyAlignment="1">
      <alignment horizontal="center" vertical="center" wrapText="1"/>
    </xf>
    <xf numFmtId="165" fontId="58" fillId="37" borderId="25" xfId="0" applyNumberFormat="1" applyFont="1" applyFill="1" applyBorder="1" applyAlignment="1">
      <alignment horizontal="center" vertical="center" wrapText="1"/>
    </xf>
    <xf numFmtId="9" fontId="57" fillId="18" borderId="25" xfId="0" applyNumberFormat="1" applyFont="1" applyFill="1" applyBorder="1" applyAlignment="1">
      <alignment horizontal="center" vertical="center" wrapText="1"/>
    </xf>
    <xf numFmtId="0" fontId="62" fillId="18" borderId="0" xfId="0" applyFont="1" applyFill="1" applyAlignment="1">
      <alignment vertical="center" wrapText="1"/>
    </xf>
    <xf numFmtId="0" fontId="57" fillId="42" borderId="16" xfId="0" applyFont="1" applyFill="1" applyBorder="1" applyAlignment="1">
      <alignment vertical="center" wrapText="1"/>
    </xf>
    <xf numFmtId="0" fontId="62" fillId="18" borderId="25" xfId="0" applyFont="1" applyFill="1" applyBorder="1" applyAlignment="1">
      <alignment vertical="center" wrapText="1"/>
    </xf>
    <xf numFmtId="165" fontId="58" fillId="4" borderId="71" xfId="0" applyNumberFormat="1" applyFont="1" applyFill="1" applyBorder="1" applyAlignment="1">
      <alignment horizontal="center" vertical="center" wrapText="1"/>
    </xf>
    <xf numFmtId="165" fontId="57" fillId="53" borderId="25" xfId="0" applyNumberFormat="1" applyFont="1" applyFill="1" applyBorder="1" applyAlignment="1">
      <alignment horizontal="center" vertical="center" wrapText="1"/>
    </xf>
    <xf numFmtId="0" fontId="57" fillId="13" borderId="55" xfId="0" applyFont="1" applyFill="1" applyBorder="1" applyAlignment="1">
      <alignment vertical="center" wrapText="1"/>
    </xf>
    <xf numFmtId="165" fontId="57" fillId="0" borderId="29" xfId="1" applyNumberFormat="1" applyFont="1" applyBorder="1" applyAlignment="1">
      <alignment horizontal="center" vertical="center" wrapText="1"/>
    </xf>
    <xf numFmtId="0" fontId="57" fillId="42" borderId="55" xfId="0" applyFont="1" applyFill="1" applyBorder="1" applyAlignment="1">
      <alignment vertical="center" wrapText="1"/>
    </xf>
    <xf numFmtId="1" fontId="57" fillId="0" borderId="45" xfId="3" applyNumberFormat="1" applyFont="1" applyBorder="1" applyAlignment="1">
      <alignment horizontal="center" vertical="center" wrapText="1"/>
    </xf>
    <xf numFmtId="1" fontId="57" fillId="18" borderId="45" xfId="0" applyNumberFormat="1" applyFont="1" applyFill="1" applyBorder="1" applyAlignment="1">
      <alignment horizontal="center" vertical="center" wrapText="1"/>
    </xf>
    <xf numFmtId="0" fontId="57" fillId="42" borderId="62" xfId="0" applyFont="1" applyFill="1" applyBorder="1" applyAlignment="1">
      <alignment vertical="center" wrapText="1"/>
    </xf>
    <xf numFmtId="0" fontId="57" fillId="42" borderId="17" xfId="0" applyFont="1" applyFill="1" applyBorder="1" applyAlignment="1">
      <alignment vertical="center" wrapText="1"/>
    </xf>
    <xf numFmtId="0" fontId="57" fillId="42" borderId="68" xfId="0" applyFont="1" applyFill="1" applyBorder="1" applyAlignment="1">
      <alignment vertical="center" wrapText="1"/>
    </xf>
    <xf numFmtId="0" fontId="57" fillId="42" borderId="123" xfId="0" applyFont="1" applyFill="1" applyBorder="1" applyAlignment="1">
      <alignment vertical="center" wrapText="1"/>
    </xf>
    <xf numFmtId="0" fontId="57" fillId="42" borderId="65" xfId="0" applyFont="1" applyFill="1" applyBorder="1" applyAlignment="1">
      <alignment vertical="center" wrapText="1"/>
    </xf>
    <xf numFmtId="0" fontId="57" fillId="42" borderId="66" xfId="0" applyFont="1" applyFill="1" applyBorder="1" applyAlignment="1">
      <alignment vertical="center" wrapText="1"/>
    </xf>
    <xf numFmtId="0" fontId="57" fillId="42" borderId="69" xfId="0" applyFont="1" applyFill="1" applyBorder="1" applyAlignment="1">
      <alignment vertical="center" wrapText="1"/>
    </xf>
    <xf numFmtId="170" fontId="57" fillId="0" borderId="45" xfId="0" applyNumberFormat="1" applyFont="1" applyBorder="1" applyAlignment="1">
      <alignment horizontal="center" vertical="center" wrapText="1"/>
    </xf>
    <xf numFmtId="0" fontId="57" fillId="13" borderId="16" xfId="0" applyFont="1" applyFill="1" applyBorder="1" applyAlignment="1">
      <alignment vertical="center" wrapText="1"/>
    </xf>
    <xf numFmtId="0" fontId="57" fillId="13" borderId="127" xfId="0" applyFont="1" applyFill="1" applyBorder="1" applyAlignment="1">
      <alignment vertical="center" wrapText="1"/>
    </xf>
    <xf numFmtId="0" fontId="57" fillId="13" borderId="128" xfId="0" applyFont="1" applyFill="1" applyBorder="1" applyAlignment="1">
      <alignment vertical="center" wrapText="1"/>
    </xf>
    <xf numFmtId="0" fontId="57" fillId="13" borderId="68" xfId="0" applyFont="1" applyFill="1" applyBorder="1" applyAlignment="1">
      <alignment vertical="center" wrapText="1"/>
    </xf>
    <xf numFmtId="0" fontId="57" fillId="13" borderId="69" xfId="0" applyFont="1" applyFill="1" applyBorder="1" applyAlignment="1">
      <alignment vertical="center" wrapText="1"/>
    </xf>
    <xf numFmtId="9" fontId="58" fillId="0" borderId="28" xfId="0" applyNumberFormat="1" applyFont="1" applyBorder="1" applyAlignment="1">
      <alignment horizontal="center" vertical="center" wrapText="1"/>
    </xf>
    <xf numFmtId="2" fontId="57" fillId="17" borderId="45" xfId="0" applyNumberFormat="1" applyFont="1" applyFill="1" applyBorder="1" applyAlignment="1">
      <alignment horizontal="center" vertical="center" wrapText="1"/>
    </xf>
    <xf numFmtId="1" fontId="57" fillId="17" borderId="45" xfId="0" applyNumberFormat="1" applyFont="1" applyFill="1" applyBorder="1" applyAlignment="1">
      <alignment horizontal="center" vertical="center" wrapText="1"/>
    </xf>
    <xf numFmtId="0" fontId="57" fillId="13" borderId="65" xfId="0" applyFont="1" applyFill="1" applyBorder="1" applyAlignment="1">
      <alignment vertical="center" wrapText="1"/>
    </xf>
    <xf numFmtId="0" fontId="57" fillId="13" borderId="66" xfId="0" applyFont="1" applyFill="1" applyBorder="1" applyAlignment="1">
      <alignment vertical="center" wrapText="1"/>
    </xf>
    <xf numFmtId="165" fontId="58" fillId="31" borderId="136" xfId="0" applyNumberFormat="1" applyFont="1" applyFill="1" applyBorder="1" applyAlignment="1">
      <alignment horizontal="center" vertical="center" wrapText="1"/>
    </xf>
    <xf numFmtId="0" fontId="57" fillId="42" borderId="38" xfId="0" applyFont="1" applyFill="1" applyBorder="1" applyAlignment="1">
      <alignment vertical="center" wrapText="1"/>
    </xf>
    <xf numFmtId="0" fontId="57" fillId="42" borderId="25" xfId="0" applyFont="1" applyFill="1" applyBorder="1" applyAlignment="1">
      <alignment vertical="center" wrapText="1"/>
    </xf>
    <xf numFmtId="0" fontId="57" fillId="13" borderId="123" xfId="0" applyFont="1" applyFill="1" applyBorder="1" applyAlignment="1">
      <alignment vertical="center" wrapText="1"/>
    </xf>
    <xf numFmtId="9" fontId="57" fillId="0" borderId="47" xfId="0" applyNumberFormat="1" applyFont="1" applyBorder="1" applyAlignment="1">
      <alignment horizontal="center" vertical="center" wrapText="1"/>
    </xf>
    <xf numFmtId="0" fontId="57" fillId="13" borderId="59" xfId="0" applyFont="1" applyFill="1" applyBorder="1" applyAlignment="1">
      <alignment vertical="center" wrapText="1"/>
    </xf>
    <xf numFmtId="0" fontId="57" fillId="13" borderId="60" xfId="0" applyFont="1" applyFill="1" applyBorder="1" applyAlignment="1">
      <alignment vertical="center" wrapText="1"/>
    </xf>
    <xf numFmtId="0" fontId="46" fillId="42" borderId="10" xfId="0" applyFont="1" applyFill="1" applyBorder="1" applyAlignment="1">
      <alignment vertical="center" wrapText="1"/>
    </xf>
    <xf numFmtId="165" fontId="46" fillId="0" borderId="113" xfId="0" applyNumberFormat="1" applyFont="1" applyBorder="1" applyAlignment="1">
      <alignment horizontal="center" vertical="center" wrapText="1"/>
    </xf>
    <xf numFmtId="0" fontId="46" fillId="42" borderId="16" xfId="0" applyFont="1" applyFill="1" applyBorder="1" applyAlignment="1">
      <alignment vertical="center" wrapText="1"/>
    </xf>
    <xf numFmtId="9" fontId="46" fillId="0" borderId="113" xfId="0" applyNumberFormat="1" applyFont="1" applyBorder="1" applyAlignment="1">
      <alignment horizontal="center" vertical="center" wrapText="1"/>
    </xf>
    <xf numFmtId="0" fontId="46" fillId="13" borderId="62" xfId="0" applyFont="1" applyFill="1" applyBorder="1" applyAlignment="1">
      <alignment vertical="center" wrapText="1"/>
    </xf>
    <xf numFmtId="0" fontId="46" fillId="13" borderId="17" xfId="0" applyFont="1" applyFill="1" applyBorder="1" applyAlignment="1">
      <alignment vertical="center" wrapText="1"/>
    </xf>
    <xf numFmtId="0" fontId="46" fillId="13" borderId="68" xfId="0" applyFont="1" applyFill="1" applyBorder="1" applyAlignment="1">
      <alignment vertical="center" wrapText="1"/>
    </xf>
    <xf numFmtId="0" fontId="46" fillId="13" borderId="123" xfId="0" applyFont="1" applyFill="1" applyBorder="1" applyAlignment="1">
      <alignment vertical="center" wrapText="1"/>
    </xf>
    <xf numFmtId="0" fontId="46" fillId="13" borderId="121" xfId="0" applyFont="1" applyFill="1" applyBorder="1" applyAlignment="1">
      <alignment vertical="center" wrapText="1"/>
    </xf>
    <xf numFmtId="0" fontId="46" fillId="13" borderId="183" xfId="0" applyFont="1" applyFill="1" applyBorder="1" applyAlignment="1">
      <alignment vertical="center" wrapText="1"/>
    </xf>
    <xf numFmtId="0" fontId="46" fillId="13" borderId="69" xfId="0" applyFont="1" applyFill="1" applyBorder="1" applyAlignment="1">
      <alignment vertical="center" wrapText="1"/>
    </xf>
    <xf numFmtId="0" fontId="46" fillId="42" borderId="68" xfId="0" applyFont="1" applyFill="1" applyBorder="1" applyAlignment="1">
      <alignment vertical="center" wrapText="1"/>
    </xf>
    <xf numFmtId="0" fontId="46" fillId="42" borderId="69" xfId="0" applyFont="1" applyFill="1" applyBorder="1" applyAlignment="1">
      <alignment vertical="center" wrapText="1"/>
    </xf>
    <xf numFmtId="0" fontId="46" fillId="42" borderId="62" xfId="0" applyFont="1" applyFill="1" applyBorder="1" applyAlignment="1">
      <alignment vertical="center" wrapText="1"/>
    </xf>
    <xf numFmtId="0" fontId="46" fillId="42" borderId="17" xfId="0" applyFont="1" applyFill="1" applyBorder="1" applyAlignment="1">
      <alignment vertical="center" wrapText="1"/>
    </xf>
    <xf numFmtId="0" fontId="46" fillId="42" borderId="65" xfId="0" applyFont="1" applyFill="1" applyBorder="1" applyAlignment="1">
      <alignment vertical="center" wrapText="1"/>
    </xf>
    <xf numFmtId="0" fontId="46" fillId="42" borderId="66" xfId="0" applyFont="1" applyFill="1" applyBorder="1" applyAlignment="1">
      <alignment vertical="center" wrapText="1"/>
    </xf>
    <xf numFmtId="0" fontId="46" fillId="13" borderId="78" xfId="0" applyFont="1" applyFill="1" applyBorder="1" applyAlignment="1">
      <alignment vertical="center" wrapText="1"/>
    </xf>
    <xf numFmtId="0" fontId="46" fillId="13" borderId="19" xfId="0" applyFont="1" applyFill="1" applyBorder="1" applyAlignment="1">
      <alignment vertical="center" wrapText="1"/>
    </xf>
    <xf numFmtId="176" fontId="46" fillId="0" borderId="24" xfId="0" applyNumberFormat="1" applyFont="1" applyBorder="1" applyAlignment="1">
      <alignment horizontal="center" vertical="center" wrapText="1"/>
    </xf>
    <xf numFmtId="43" fontId="46" fillId="0" borderId="24" xfId="0" applyNumberFormat="1" applyFont="1" applyBorder="1" applyAlignment="1">
      <alignment horizontal="center" vertical="center" wrapText="1"/>
    </xf>
    <xf numFmtId="0" fontId="46" fillId="17" borderId="22" xfId="0" applyFont="1" applyFill="1" applyBorder="1" applyAlignment="1">
      <alignment wrapText="1"/>
    </xf>
    <xf numFmtId="44" fontId="46" fillId="0" borderId="24" xfId="4" applyFont="1" applyBorder="1" applyAlignment="1">
      <alignment horizontal="center" vertical="center" wrapText="1"/>
    </xf>
    <xf numFmtId="165" fontId="46" fillId="18" borderId="47" xfId="0" applyNumberFormat="1" applyFont="1" applyFill="1" applyBorder="1" applyAlignment="1">
      <alignment horizontal="center" vertical="center" wrapText="1"/>
    </xf>
    <xf numFmtId="0" fontId="46" fillId="13" borderId="10" xfId="0" applyFont="1" applyFill="1" applyBorder="1" applyAlignment="1">
      <alignment vertical="center" wrapText="1"/>
    </xf>
    <xf numFmtId="0" fontId="46" fillId="48" borderId="10" xfId="0" applyFont="1" applyFill="1" applyBorder="1" applyAlignment="1">
      <alignment vertical="center" wrapText="1"/>
    </xf>
    <xf numFmtId="0" fontId="37" fillId="42" borderId="10" xfId="0" applyFont="1" applyFill="1" applyBorder="1" applyAlignment="1">
      <alignment vertical="center" wrapText="1"/>
    </xf>
    <xf numFmtId="0" fontId="37" fillId="42" borderId="16" xfId="0" applyFont="1" applyFill="1" applyBorder="1" applyAlignment="1">
      <alignment vertical="center" wrapText="1"/>
    </xf>
    <xf numFmtId="9" fontId="37" fillId="0" borderId="116" xfId="0" applyNumberFormat="1" applyFont="1" applyBorder="1" applyAlignment="1">
      <alignment horizontal="center" vertical="center" wrapText="1"/>
    </xf>
    <xf numFmtId="0" fontId="37" fillId="13" borderId="10" xfId="0" applyFont="1" applyFill="1" applyBorder="1" applyAlignment="1">
      <alignment vertical="center" wrapText="1"/>
    </xf>
    <xf numFmtId="0" fontId="37" fillId="13" borderId="16" xfId="0" applyFont="1" applyFill="1" applyBorder="1" applyAlignment="1">
      <alignment vertical="center" wrapText="1"/>
    </xf>
    <xf numFmtId="165" fontId="37" fillId="0" borderId="116" xfId="0" applyNumberFormat="1" applyFont="1" applyBorder="1" applyAlignment="1">
      <alignment horizontal="center" vertical="center" wrapText="1"/>
    </xf>
    <xf numFmtId="165" fontId="37" fillId="0" borderId="47" xfId="0" applyNumberFormat="1" applyFont="1" applyBorder="1" applyAlignment="1">
      <alignment horizontal="center" vertical="center" wrapText="1"/>
    </xf>
    <xf numFmtId="165" fontId="14" fillId="18" borderId="99" xfId="1" applyNumberFormat="1" applyFont="1" applyFill="1" applyBorder="1" applyAlignment="1">
      <alignment horizontal="center" vertical="center"/>
    </xf>
    <xf numFmtId="165" fontId="8" fillId="38" borderId="24" xfId="0" applyNumberFormat="1" applyFont="1" applyFill="1" applyBorder="1" applyAlignment="1">
      <alignment horizontal="center" vertical="center" wrapText="1"/>
    </xf>
    <xf numFmtId="10" fontId="139" fillId="20" borderId="14" xfId="0" applyNumberFormat="1" applyFont="1" applyFill="1" applyBorder="1" applyAlignment="1">
      <alignment horizontal="center" vertical="center"/>
    </xf>
    <xf numFmtId="165" fontId="139" fillId="20" borderId="14" xfId="0" applyNumberFormat="1" applyFont="1" applyFill="1" applyBorder="1" applyAlignment="1">
      <alignment horizontal="center" vertical="center"/>
    </xf>
    <xf numFmtId="165" fontId="140" fillId="20" borderId="45" xfId="0" applyNumberFormat="1" applyFont="1" applyFill="1" applyBorder="1" applyAlignment="1">
      <alignment horizontal="center" vertical="center"/>
    </xf>
    <xf numFmtId="165" fontId="140" fillId="20" borderId="24" xfId="0" applyNumberFormat="1" applyFont="1" applyFill="1" applyBorder="1" applyAlignment="1">
      <alignment horizontal="center" vertical="center"/>
    </xf>
    <xf numFmtId="165" fontId="140" fillId="20" borderId="153" xfId="0" applyNumberFormat="1" applyFont="1" applyFill="1" applyBorder="1" applyAlignment="1">
      <alignment horizontal="center" vertical="center"/>
    </xf>
    <xf numFmtId="0" fontId="43" fillId="0" borderId="78" xfId="0" applyFont="1" applyBorder="1" applyAlignment="1">
      <alignment vertical="center" wrapText="1"/>
    </xf>
    <xf numFmtId="0" fontId="43" fillId="24" borderId="78" xfId="0" applyFont="1" applyFill="1" applyBorder="1" applyAlignment="1">
      <alignment vertical="center" wrapText="1"/>
    </xf>
    <xf numFmtId="0" fontId="43" fillId="25" borderId="78" xfId="0" applyFont="1" applyFill="1" applyBorder="1" applyAlignment="1">
      <alignment vertical="center" wrapText="1"/>
    </xf>
    <xf numFmtId="0" fontId="43" fillId="17" borderId="78" xfId="0" applyFont="1" applyFill="1" applyBorder="1" applyAlignment="1">
      <alignment vertical="center" wrapText="1"/>
    </xf>
    <xf numFmtId="0" fontId="43" fillId="26" borderId="78" xfId="0" applyFont="1" applyFill="1" applyBorder="1" applyAlignment="1">
      <alignment vertical="center" wrapText="1"/>
    </xf>
    <xf numFmtId="0" fontId="43" fillId="23" borderId="121" xfId="0" applyFont="1" applyFill="1" applyBorder="1" applyAlignment="1">
      <alignment vertical="center" wrapText="1"/>
    </xf>
    <xf numFmtId="0" fontId="19" fillId="23" borderId="122" xfId="0" applyFont="1" applyFill="1" applyBorder="1" applyAlignment="1">
      <alignment horizontal="center" vertical="center" wrapText="1"/>
    </xf>
    <xf numFmtId="0" fontId="105" fillId="23" borderId="122" xfId="0" applyFont="1" applyFill="1" applyBorder="1" applyAlignment="1">
      <alignment horizontal="center" vertical="center" wrapText="1"/>
    </xf>
    <xf numFmtId="0" fontId="19" fillId="23" borderId="133"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57" fillId="0" borderId="28" xfId="0" applyFont="1" applyBorder="1"/>
    <xf numFmtId="0" fontId="58" fillId="6" borderId="42" xfId="0" applyFont="1" applyFill="1" applyBorder="1" applyAlignment="1">
      <alignment horizontal="left" vertical="center" wrapText="1"/>
    </xf>
    <xf numFmtId="0" fontId="57" fillId="0" borderId="26" xfId="0" applyFont="1" applyBorder="1"/>
    <xf numFmtId="0" fontId="58" fillId="9" borderId="5" xfId="0" applyFont="1" applyFill="1" applyBorder="1" applyAlignment="1">
      <alignment horizontal="center" vertical="center" wrapText="1"/>
    </xf>
    <xf numFmtId="0" fontId="57" fillId="0" borderId="6" xfId="0" applyFont="1" applyBorder="1"/>
    <xf numFmtId="0" fontId="61" fillId="11" borderId="5" xfId="0" applyFont="1" applyFill="1" applyBorder="1" applyAlignment="1">
      <alignment vertical="center" wrapText="1"/>
    </xf>
    <xf numFmtId="0" fontId="58" fillId="14" borderId="5" xfId="0" applyFont="1" applyFill="1" applyBorder="1" applyAlignment="1">
      <alignment horizontal="center" vertical="center" wrapText="1"/>
    </xf>
    <xf numFmtId="0" fontId="57" fillId="0" borderId="21" xfId="0" applyFont="1" applyBorder="1"/>
    <xf numFmtId="0" fontId="78" fillId="6" borderId="67" xfId="0" applyFont="1" applyFill="1" applyBorder="1" applyAlignment="1">
      <alignment horizontal="center" vertical="center" wrapText="1"/>
    </xf>
    <xf numFmtId="0" fontId="77" fillId="0" borderId="18" xfId="0" applyFont="1" applyBorder="1"/>
    <xf numFmtId="0" fontId="81" fillId="9" borderId="52" xfId="0" applyFont="1" applyFill="1" applyBorder="1" applyAlignment="1">
      <alignment vertical="center" wrapText="1"/>
    </xf>
    <xf numFmtId="0" fontId="82" fillId="0" borderId="9" xfId="0" applyFont="1" applyBorder="1"/>
    <xf numFmtId="0" fontId="70" fillId="11" borderId="52" xfId="0" applyFont="1" applyFill="1" applyBorder="1" applyAlignment="1">
      <alignment vertical="center" wrapText="1"/>
    </xf>
    <xf numFmtId="0" fontId="65" fillId="0" borderId="9" xfId="0" applyFont="1" applyBorder="1"/>
    <xf numFmtId="0" fontId="61" fillId="11" borderId="63" xfId="0" applyFont="1" applyFill="1" applyBorder="1" applyAlignment="1">
      <alignment vertical="center" wrapText="1"/>
    </xf>
    <xf numFmtId="0" fontId="57" fillId="0" borderId="50" xfId="0" applyFont="1" applyBorder="1"/>
    <xf numFmtId="0" fontId="70" fillId="11" borderId="67" xfId="0" applyFont="1" applyFill="1" applyBorder="1" applyAlignment="1">
      <alignment vertical="center" wrapText="1"/>
    </xf>
    <xf numFmtId="0" fontId="65" fillId="0" borderId="26" xfId="0" applyFont="1" applyBorder="1"/>
    <xf numFmtId="0" fontId="61" fillId="11" borderId="52" xfId="0" applyFont="1" applyFill="1" applyBorder="1" applyAlignment="1">
      <alignment vertical="center" wrapText="1"/>
    </xf>
    <xf numFmtId="0" fontId="57" fillId="0" borderId="9" xfId="0" applyFont="1" applyBorder="1"/>
    <xf numFmtId="0" fontId="57" fillId="0" borderId="13" xfId="0" applyFont="1" applyBorder="1"/>
    <xf numFmtId="0" fontId="61" fillId="11" borderId="67" xfId="0" applyFont="1" applyFill="1" applyBorder="1" applyAlignment="1">
      <alignment vertical="center" wrapText="1"/>
    </xf>
    <xf numFmtId="0" fontId="57" fillId="0" borderId="18" xfId="0" applyFont="1" applyBorder="1"/>
    <xf numFmtId="0" fontId="58" fillId="9" borderId="52" xfId="0" applyFont="1" applyFill="1" applyBorder="1" applyAlignment="1">
      <alignment vertical="center" wrapText="1"/>
    </xf>
    <xf numFmtId="0" fontId="58" fillId="9" borderId="63" xfId="0" applyFont="1" applyFill="1" applyBorder="1" applyAlignment="1">
      <alignment vertical="center" wrapText="1"/>
    </xf>
    <xf numFmtId="0" fontId="61" fillId="11" borderId="27" xfId="0" applyFont="1" applyFill="1" applyBorder="1" applyAlignment="1">
      <alignment vertical="center" wrapText="1"/>
    </xf>
    <xf numFmtId="0" fontId="57" fillId="0" borderId="70" xfId="0" applyFont="1" applyBorder="1"/>
    <xf numFmtId="0" fontId="50" fillId="11" borderId="52" xfId="0" applyFont="1" applyFill="1" applyBorder="1" applyAlignment="1">
      <alignment vertical="center" wrapText="1"/>
    </xf>
    <xf numFmtId="0" fontId="46" fillId="0" borderId="13" xfId="0" applyFont="1" applyBorder="1"/>
    <xf numFmtId="0" fontId="112" fillId="6" borderId="67" xfId="0" applyFont="1" applyFill="1" applyBorder="1" applyAlignment="1">
      <alignment horizontal="center" vertical="center" wrapText="1"/>
    </xf>
    <xf numFmtId="0" fontId="111" fillId="0" borderId="26" xfId="0" applyFont="1" applyBorder="1"/>
    <xf numFmtId="0" fontId="47" fillId="9" borderId="52" xfId="0" applyFont="1" applyFill="1" applyBorder="1" applyAlignment="1">
      <alignment vertical="center" wrapText="1"/>
    </xf>
    <xf numFmtId="0" fontId="46" fillId="0" borderId="9" xfId="0" applyFont="1" applyBorder="1"/>
    <xf numFmtId="0" fontId="50" fillId="11" borderId="38" xfId="0" applyFont="1" applyFill="1" applyBorder="1" applyAlignment="1">
      <alignment vertical="center" wrapText="1"/>
    </xf>
    <xf numFmtId="0" fontId="46" fillId="0" borderId="0" xfId="0" applyFont="1" applyBorder="1"/>
    <xf numFmtId="0" fontId="47" fillId="9" borderId="27" xfId="0" applyFont="1" applyFill="1" applyBorder="1" applyAlignment="1">
      <alignment vertical="center" wrapText="1"/>
    </xf>
    <xf numFmtId="0" fontId="46" fillId="0" borderId="70" xfId="0" applyFont="1" applyBorder="1"/>
    <xf numFmtId="0" fontId="50" fillId="11" borderId="67" xfId="0" applyFont="1" applyFill="1" applyBorder="1" applyAlignment="1">
      <alignment vertical="center" wrapText="1"/>
    </xf>
    <xf numFmtId="0" fontId="46" fillId="0" borderId="18" xfId="0" applyFont="1" applyBorder="1"/>
    <xf numFmtId="0" fontId="47" fillId="17" borderId="24" xfId="0" applyFont="1" applyFill="1" applyBorder="1" applyAlignment="1">
      <alignment horizontal="left" vertical="center" wrapText="1"/>
    </xf>
    <xf numFmtId="0" fontId="50" fillId="11" borderId="27" xfId="0" applyFont="1" applyFill="1" applyBorder="1" applyAlignment="1">
      <alignment vertical="center" wrapText="1"/>
    </xf>
    <xf numFmtId="0" fontId="46" fillId="0" borderId="53" xfId="0" applyFont="1" applyBorder="1"/>
    <xf numFmtId="0" fontId="55" fillId="6" borderId="52" xfId="0" applyFont="1" applyFill="1" applyBorder="1" applyAlignment="1">
      <alignment horizontal="center" vertical="center" wrapText="1"/>
    </xf>
    <xf numFmtId="0" fontId="56" fillId="0" borderId="53" xfId="0" applyFont="1" applyBorder="1"/>
    <xf numFmtId="0" fontId="118" fillId="9" borderId="52" xfId="0" applyFont="1" applyFill="1" applyBorder="1" applyAlignment="1">
      <alignment vertical="center" wrapText="1"/>
    </xf>
    <xf numFmtId="0" fontId="117" fillId="0" borderId="53" xfId="0" applyFont="1" applyBorder="1"/>
    <xf numFmtId="0" fontId="47" fillId="9" borderId="8" xfId="0" applyFont="1" applyFill="1" applyBorder="1" applyAlignment="1">
      <alignment vertical="center" wrapText="1"/>
    </xf>
    <xf numFmtId="0" fontId="25" fillId="6" borderId="42" xfId="0" applyFont="1" applyFill="1" applyBorder="1" applyAlignment="1">
      <alignment horizontal="center" vertical="center" wrapText="1"/>
    </xf>
    <xf numFmtId="0" fontId="41" fillId="0" borderId="26" xfId="0" applyFont="1" applyBorder="1"/>
    <xf numFmtId="0" fontId="66" fillId="9" borderId="8" xfId="0" applyFont="1" applyFill="1" applyBorder="1" applyAlignment="1">
      <alignment vertical="center" wrapText="1"/>
    </xf>
    <xf numFmtId="0" fontId="50" fillId="11" borderId="8" xfId="0" applyFont="1" applyFill="1" applyBorder="1" applyAlignment="1">
      <alignment vertical="center" wrapText="1"/>
    </xf>
    <xf numFmtId="0" fontId="39" fillId="11" borderId="5" xfId="0" applyFont="1" applyFill="1" applyBorder="1" applyAlignment="1">
      <alignment vertical="center" wrapText="1"/>
    </xf>
    <xf numFmtId="0" fontId="37" fillId="0" borderId="13" xfId="0" applyFont="1" applyBorder="1"/>
    <xf numFmtId="0" fontId="35" fillId="6" borderId="42" xfId="0" applyFont="1" applyFill="1" applyBorder="1" applyAlignment="1">
      <alignment horizontal="center" vertical="center" wrapText="1"/>
    </xf>
    <xf numFmtId="0" fontId="37" fillId="0" borderId="18" xfId="0" applyFont="1" applyBorder="1"/>
    <xf numFmtId="0" fontId="35" fillId="9" borderId="5" xfId="0" applyFont="1" applyFill="1" applyBorder="1" applyAlignment="1">
      <alignment vertical="center" wrapText="1"/>
    </xf>
    <xf numFmtId="9" fontId="9" fillId="0" borderId="93" xfId="0" applyNumberFormat="1" applyFont="1" applyBorder="1" applyAlignment="1">
      <alignment horizontal="center" vertical="center"/>
    </xf>
    <xf numFmtId="9" fontId="9" fillId="0" borderId="24" xfId="0" applyNumberFormat="1" applyFont="1" applyBorder="1" applyAlignment="1">
      <alignment horizontal="center" vertical="center"/>
    </xf>
    <xf numFmtId="9" fontId="9" fillId="0" borderId="99" xfId="0" applyNumberFormat="1" applyFont="1" applyBorder="1" applyAlignment="1">
      <alignment horizontal="center" vertical="center"/>
    </xf>
    <xf numFmtId="9" fontId="9" fillId="0" borderId="32" xfId="0" applyNumberFormat="1" applyFont="1" applyBorder="1" applyAlignment="1">
      <alignment horizontal="center" vertical="center"/>
    </xf>
    <xf numFmtId="9" fontId="9" fillId="0" borderId="98" xfId="0" applyNumberFormat="1" applyFont="1" applyBorder="1" applyAlignment="1">
      <alignment horizontal="center" vertical="center"/>
    </xf>
    <xf numFmtId="9" fontId="9" fillId="0" borderId="101" xfId="0" applyNumberFormat="1" applyFont="1" applyBorder="1" applyAlignment="1">
      <alignment horizontal="center" vertical="center"/>
    </xf>
    <xf numFmtId="9" fontId="9" fillId="0" borderId="33" xfId="0" applyNumberFormat="1" applyFont="1" applyBorder="1" applyAlignment="1">
      <alignment horizontal="center" vertical="center"/>
    </xf>
    <xf numFmtId="9" fontId="9" fillId="0" borderId="102" xfId="0" applyNumberFormat="1" applyFont="1" applyBorder="1" applyAlignment="1">
      <alignment horizontal="center" vertical="center"/>
    </xf>
    <xf numFmtId="9" fontId="9" fillId="0" borderId="92" xfId="0" applyNumberFormat="1" applyFont="1" applyBorder="1" applyAlignment="1">
      <alignment horizontal="center" vertical="center"/>
    </xf>
    <xf numFmtId="0" fontId="106" fillId="17" borderId="89" xfId="0" applyFont="1" applyFill="1" applyBorder="1" applyAlignment="1">
      <alignment horizontal="center" vertical="center" wrapText="1"/>
    </xf>
    <xf numFmtId="0" fontId="106" fillId="17" borderId="90" xfId="0" applyFont="1" applyFill="1" applyBorder="1" applyAlignment="1">
      <alignment horizontal="center" vertical="center" wrapText="1"/>
    </xf>
    <xf numFmtId="0" fontId="11" fillId="69" borderId="36" xfId="0" applyFont="1" applyFill="1" applyBorder="1" applyAlignment="1">
      <alignment horizontal="center" vertical="center" wrapText="1"/>
    </xf>
    <xf numFmtId="0" fontId="11" fillId="69" borderId="37" xfId="0" applyFont="1" applyFill="1" applyBorder="1" applyAlignment="1">
      <alignment horizontal="center" vertical="center" wrapText="1"/>
    </xf>
    <xf numFmtId="0" fontId="11" fillId="69" borderId="38" xfId="0" applyFont="1" applyFill="1" applyBorder="1" applyAlignment="1">
      <alignment horizontal="center" vertical="center" wrapText="1"/>
    </xf>
    <xf numFmtId="0" fontId="11" fillId="69" borderId="39" xfId="0" applyFont="1" applyFill="1" applyBorder="1" applyAlignment="1">
      <alignment horizontal="center" vertical="center" wrapText="1"/>
    </xf>
    <xf numFmtId="0" fontId="11" fillId="69" borderId="40" xfId="0" applyFont="1" applyFill="1" applyBorder="1" applyAlignment="1">
      <alignment horizontal="center" vertical="center" wrapText="1"/>
    </xf>
    <xf numFmtId="0" fontId="11" fillId="69" borderId="41" xfId="0" applyFont="1" applyFill="1" applyBorder="1" applyAlignment="1">
      <alignment horizontal="center" vertical="center" wrapText="1"/>
    </xf>
    <xf numFmtId="0" fontId="11" fillId="51" borderId="27" xfId="0" applyFont="1" applyFill="1" applyBorder="1" applyAlignment="1">
      <alignment horizontal="center" vertical="center" wrapText="1"/>
    </xf>
    <xf numFmtId="0" fontId="11" fillId="51" borderId="28" xfId="0" applyFont="1" applyFill="1" applyBorder="1" applyAlignment="1">
      <alignment horizontal="center" vertical="center" wrapText="1"/>
    </xf>
    <xf numFmtId="0" fontId="11" fillId="0" borderId="43" xfId="0" applyFont="1" applyBorder="1" applyAlignment="1">
      <alignment horizontal="left" vertical="center" wrapText="1"/>
    </xf>
    <xf numFmtId="0" fontId="11" fillId="0" borderId="44" xfId="0" applyFont="1" applyBorder="1" applyAlignment="1">
      <alignment horizontal="left" vertical="center" wrapText="1"/>
    </xf>
    <xf numFmtId="165" fontId="100" fillId="17" borderId="43" xfId="1" applyNumberFormat="1" applyFont="1" applyFill="1" applyBorder="1" applyAlignment="1">
      <alignment horizontal="center" vertical="center"/>
    </xf>
    <xf numFmtId="165" fontId="100" fillId="17" borderId="44" xfId="1" applyNumberFormat="1" applyFont="1" applyFill="1" applyBorder="1" applyAlignment="1">
      <alignment horizontal="center" vertical="center"/>
    </xf>
    <xf numFmtId="0" fontId="101" fillId="17" borderId="36" xfId="0" applyFont="1" applyFill="1" applyBorder="1" applyAlignment="1">
      <alignment horizontal="center" vertical="center" wrapText="1"/>
    </xf>
    <xf numFmtId="0" fontId="101" fillId="17" borderId="37" xfId="0" applyFont="1" applyFill="1" applyBorder="1" applyAlignment="1">
      <alignment horizontal="center" vertical="center" wrapText="1"/>
    </xf>
    <xf numFmtId="0" fontId="101" fillId="17" borderId="40" xfId="0" applyFont="1" applyFill="1" applyBorder="1" applyAlignment="1">
      <alignment horizontal="center" vertical="center" wrapText="1"/>
    </xf>
    <xf numFmtId="0" fontId="101" fillId="17" borderId="41" xfId="0" applyFont="1" applyFill="1" applyBorder="1" applyAlignment="1">
      <alignment horizontal="center" vertical="center" wrapText="1"/>
    </xf>
    <xf numFmtId="0" fontId="18" fillId="17" borderId="27" xfId="0" applyFont="1" applyFill="1" applyBorder="1" applyAlignment="1">
      <alignment horizontal="center" vertical="center" wrapText="1"/>
    </xf>
    <xf numFmtId="0" fontId="18" fillId="17" borderId="70" xfId="0" applyFont="1" applyFill="1" applyBorder="1" applyAlignment="1">
      <alignment horizontal="center" vertical="center" wrapText="1"/>
    </xf>
    <xf numFmtId="0" fontId="18" fillId="17" borderId="28" xfId="0" applyFont="1" applyFill="1" applyBorder="1" applyAlignment="1">
      <alignment horizontal="center" vertical="center" wrapText="1"/>
    </xf>
    <xf numFmtId="0" fontId="21" fillId="0" borderId="12" xfId="0" applyFont="1" applyBorder="1" applyAlignment="1">
      <alignment horizontal="justify" vertical="center" wrapText="1"/>
    </xf>
    <xf numFmtId="0" fontId="21" fillId="0" borderId="35" xfId="0" applyFont="1" applyBorder="1" applyAlignment="1">
      <alignment horizontal="justify" vertical="center" wrapText="1"/>
    </xf>
    <xf numFmtId="0" fontId="21" fillId="24" borderId="12" xfId="0" applyFont="1" applyFill="1" applyBorder="1" applyAlignment="1">
      <alignment horizontal="justify" vertical="center" wrapText="1"/>
    </xf>
    <xf numFmtId="0" fontId="21" fillId="24" borderId="35" xfId="0" applyFont="1" applyFill="1" applyBorder="1" applyAlignment="1">
      <alignment horizontal="justify" vertical="center" wrapText="1"/>
    </xf>
    <xf numFmtId="0" fontId="21" fillId="0" borderId="119" xfId="0" applyFont="1" applyBorder="1" applyAlignment="1">
      <alignment horizontal="justify" vertical="center" wrapText="1"/>
    </xf>
    <xf numFmtId="0" fontId="21" fillId="0" borderId="120" xfId="0" applyFont="1" applyBorder="1" applyAlignment="1">
      <alignment horizontal="justify" vertical="center" wrapText="1"/>
    </xf>
    <xf numFmtId="10" fontId="44" fillId="0" borderId="43" xfId="0" applyNumberFormat="1" applyFont="1" applyBorder="1" applyAlignment="1">
      <alignment horizontal="center" vertical="center" wrapText="1"/>
    </xf>
    <xf numFmtId="10" fontId="44" fillId="0" borderId="44" xfId="0" applyNumberFormat="1" applyFont="1" applyBorder="1" applyAlignment="1">
      <alignment horizontal="center" vertical="center" wrapText="1"/>
    </xf>
    <xf numFmtId="10" fontId="102" fillId="17" borderId="43" xfId="0" applyNumberFormat="1" applyFont="1" applyFill="1" applyBorder="1" applyAlignment="1">
      <alignment horizontal="center" vertical="center" wrapText="1"/>
    </xf>
    <xf numFmtId="10" fontId="102" fillId="17" borderId="74" xfId="0" applyNumberFormat="1" applyFont="1" applyFill="1" applyBorder="1" applyAlignment="1">
      <alignment horizontal="center" vertical="center" wrapText="1"/>
    </xf>
    <xf numFmtId="10" fontId="102" fillId="17" borderId="44" xfId="0" applyNumberFormat="1" applyFont="1" applyFill="1" applyBorder="1" applyAlignment="1">
      <alignment horizontal="center" vertical="center" wrapText="1"/>
    </xf>
    <xf numFmtId="165" fontId="101" fillId="17" borderId="43" xfId="0" applyNumberFormat="1" applyFont="1" applyFill="1" applyBorder="1" applyAlignment="1">
      <alignment horizontal="center" vertical="center" wrapText="1"/>
    </xf>
    <xf numFmtId="165" fontId="101" fillId="17" borderId="74" xfId="0" applyNumberFormat="1" applyFont="1" applyFill="1" applyBorder="1" applyAlignment="1">
      <alignment horizontal="center" vertical="center" wrapText="1"/>
    </xf>
    <xf numFmtId="165" fontId="101" fillId="17" borderId="44" xfId="0" applyNumberFormat="1" applyFont="1" applyFill="1" applyBorder="1" applyAlignment="1">
      <alignment horizontal="center" vertical="center" wrapText="1"/>
    </xf>
    <xf numFmtId="0" fontId="21" fillId="27" borderId="12" xfId="0" applyFont="1" applyFill="1" applyBorder="1" applyAlignment="1">
      <alignment horizontal="justify" vertical="center" wrapText="1"/>
    </xf>
    <xf numFmtId="0" fontId="21" fillId="27" borderId="35" xfId="0" applyFont="1" applyFill="1" applyBorder="1" applyAlignment="1">
      <alignment horizontal="justify" vertical="center" wrapText="1"/>
    </xf>
    <xf numFmtId="0" fontId="44" fillId="0" borderId="43" xfId="0" applyFont="1" applyBorder="1" applyAlignment="1">
      <alignment horizontal="center" vertical="center" wrapText="1"/>
    </xf>
    <xf numFmtId="0" fontId="44" fillId="0" borderId="44" xfId="0" applyFont="1" applyBorder="1" applyAlignment="1">
      <alignment horizontal="center" vertical="center" wrapText="1"/>
    </xf>
    <xf numFmtId="10" fontId="11" fillId="0" borderId="43" xfId="1" applyNumberFormat="1" applyFont="1" applyBorder="1" applyAlignment="1">
      <alignment horizontal="center" vertical="center" wrapText="1"/>
    </xf>
    <xf numFmtId="10" fontId="11" fillId="0" borderId="44" xfId="1" applyNumberFormat="1" applyFont="1" applyBorder="1" applyAlignment="1">
      <alignment horizontal="center" vertical="center" wrapText="1"/>
    </xf>
    <xf numFmtId="10" fontId="16" fillId="52" borderId="43" xfId="1" applyNumberFormat="1" applyFont="1" applyFill="1" applyBorder="1" applyAlignment="1">
      <alignment horizontal="center" vertical="center"/>
    </xf>
    <xf numFmtId="10" fontId="16" fillId="52" borderId="44" xfId="1" applyNumberFormat="1" applyFont="1" applyFill="1" applyBorder="1" applyAlignment="1">
      <alignment horizontal="center" vertical="center"/>
    </xf>
    <xf numFmtId="10" fontId="11" fillId="0" borderId="74" xfId="1" applyNumberFormat="1" applyFont="1" applyBorder="1" applyAlignment="1">
      <alignment horizontal="center" vertical="center" wrapText="1"/>
    </xf>
    <xf numFmtId="10" fontId="72" fillId="52" borderId="43" xfId="0" applyNumberFormat="1" applyFont="1" applyFill="1" applyBorder="1" applyAlignment="1">
      <alignment horizontal="center" vertical="center"/>
    </xf>
    <xf numFmtId="10" fontId="72" fillId="52" borderId="74" xfId="0" applyNumberFormat="1" applyFont="1" applyFill="1" applyBorder="1" applyAlignment="1">
      <alignment horizontal="center" vertical="center"/>
    </xf>
    <xf numFmtId="10" fontId="72" fillId="52" borderId="44" xfId="0" applyNumberFormat="1" applyFont="1" applyFill="1" applyBorder="1" applyAlignment="1">
      <alignment horizontal="center" vertical="center"/>
    </xf>
    <xf numFmtId="0" fontId="21" fillId="0" borderId="118" xfId="0" applyFont="1" applyBorder="1" applyAlignment="1">
      <alignment horizontal="justify" vertical="center" wrapText="1"/>
    </xf>
    <xf numFmtId="0" fontId="21" fillId="0" borderId="78" xfId="0" applyFont="1" applyBorder="1" applyAlignment="1">
      <alignment horizontal="justify" vertical="center" wrapText="1"/>
    </xf>
    <xf numFmtId="165" fontId="16" fillId="69" borderId="43" xfId="1" applyNumberFormat="1" applyFont="1" applyFill="1" applyBorder="1" applyAlignment="1">
      <alignment horizontal="center" vertical="center"/>
    </xf>
    <xf numFmtId="165" fontId="16" fillId="69" borderId="44" xfId="1" applyNumberFormat="1" applyFont="1" applyFill="1" applyBorder="1" applyAlignment="1">
      <alignment horizontal="center" vertical="center"/>
    </xf>
    <xf numFmtId="10" fontId="16" fillId="69" borderId="43" xfId="1" applyNumberFormat="1" applyFont="1" applyFill="1" applyBorder="1" applyAlignment="1">
      <alignment horizontal="center" vertical="center"/>
    </xf>
    <xf numFmtId="10" fontId="16" fillId="69" borderId="44" xfId="1" applyNumberFormat="1" applyFont="1" applyFill="1" applyBorder="1" applyAlignment="1">
      <alignment horizontal="center" vertical="center"/>
    </xf>
    <xf numFmtId="10" fontId="120" fillId="52" borderId="43" xfId="1" applyNumberFormat="1" applyFont="1" applyFill="1" applyBorder="1" applyAlignment="1">
      <alignment horizontal="center" vertical="center"/>
    </xf>
    <xf numFmtId="10" fontId="120" fillId="52" borderId="44" xfId="1" applyNumberFormat="1" applyFont="1" applyFill="1" applyBorder="1" applyAlignment="1">
      <alignment horizontal="center" vertical="center"/>
    </xf>
    <xf numFmtId="165" fontId="120" fillId="52" borderId="43" xfId="1" applyNumberFormat="1" applyFont="1" applyFill="1" applyBorder="1" applyAlignment="1">
      <alignment horizontal="center" vertical="center"/>
    </xf>
    <xf numFmtId="165" fontId="120" fillId="52" borderId="44" xfId="1" applyNumberFormat="1" applyFont="1" applyFill="1" applyBorder="1" applyAlignment="1">
      <alignment horizontal="center" vertical="center"/>
    </xf>
    <xf numFmtId="10" fontId="106" fillId="0" borderId="27" xfId="0" applyNumberFormat="1" applyFont="1" applyBorder="1" applyAlignment="1">
      <alignment horizontal="center" vertical="center"/>
    </xf>
    <xf numFmtId="10" fontId="106" fillId="0" borderId="28" xfId="0" applyNumberFormat="1" applyFont="1" applyBorder="1" applyAlignment="1">
      <alignment horizontal="center" vertical="center"/>
    </xf>
    <xf numFmtId="0" fontId="11" fillId="0" borderId="27" xfId="0" applyFont="1" applyBorder="1" applyAlignment="1">
      <alignment horizontal="center" vertical="center" wrapText="1"/>
    </xf>
    <xf numFmtId="0" fontId="11" fillId="0" borderId="28" xfId="0" applyFont="1" applyBorder="1" applyAlignment="1">
      <alignment horizontal="center" vertical="center" wrapText="1"/>
    </xf>
    <xf numFmtId="10" fontId="91" fillId="59" borderId="43" xfId="0" applyNumberFormat="1" applyFont="1" applyFill="1" applyBorder="1" applyAlignment="1">
      <alignment horizontal="center" vertical="center"/>
    </xf>
    <xf numFmtId="10" fontId="91" fillId="59" borderId="44" xfId="0" applyNumberFormat="1" applyFont="1" applyFill="1" applyBorder="1" applyAlignment="1">
      <alignment horizontal="center" vertical="center"/>
    </xf>
    <xf numFmtId="10" fontId="72" fillId="45" borderId="43" xfId="0" applyNumberFormat="1" applyFont="1" applyFill="1" applyBorder="1" applyAlignment="1">
      <alignment horizontal="center" vertical="center"/>
    </xf>
    <xf numFmtId="10" fontId="72" fillId="45" borderId="44" xfId="0" applyNumberFormat="1" applyFont="1" applyFill="1" applyBorder="1" applyAlignment="1">
      <alignment horizontal="center" vertical="center"/>
    </xf>
    <xf numFmtId="10" fontId="91" fillId="45" borderId="43" xfId="0" applyNumberFormat="1" applyFont="1" applyFill="1" applyBorder="1" applyAlignment="1">
      <alignment horizontal="center" vertical="center"/>
    </xf>
    <xf numFmtId="10" fontId="91" fillId="45" borderId="44" xfId="0" applyNumberFormat="1" applyFont="1" applyFill="1" applyBorder="1" applyAlignment="1">
      <alignment horizontal="center" vertical="center"/>
    </xf>
    <xf numFmtId="10" fontId="91" fillId="52" borderId="43" xfId="0" applyNumberFormat="1" applyFont="1" applyFill="1" applyBorder="1" applyAlignment="1">
      <alignment horizontal="center" vertical="center"/>
    </xf>
    <xf numFmtId="10" fontId="91" fillId="52" borderId="44" xfId="0" applyNumberFormat="1" applyFont="1" applyFill="1" applyBorder="1" applyAlignment="1">
      <alignment horizontal="center" vertical="center"/>
    </xf>
    <xf numFmtId="10" fontId="11" fillId="0" borderId="36" xfId="1" applyNumberFormat="1" applyFont="1" applyBorder="1" applyAlignment="1">
      <alignment horizontal="center" vertical="center" wrapText="1"/>
    </xf>
    <xf numFmtId="10" fontId="11" fillId="0" borderId="161" xfId="1" applyNumberFormat="1" applyFont="1" applyBorder="1" applyAlignment="1">
      <alignment horizontal="center" vertical="center" wrapText="1"/>
    </xf>
    <xf numFmtId="10" fontId="11" fillId="0" borderId="37" xfId="1" applyNumberFormat="1" applyFont="1" applyBorder="1" applyAlignment="1">
      <alignment horizontal="center" vertical="center" wrapText="1"/>
    </xf>
    <xf numFmtId="10" fontId="11" fillId="0" borderId="40" xfId="1" applyNumberFormat="1" applyFont="1" applyBorder="1" applyAlignment="1">
      <alignment horizontal="center" vertical="center" wrapText="1"/>
    </xf>
    <xf numFmtId="10" fontId="11" fillId="0" borderId="133" xfId="1" applyNumberFormat="1" applyFont="1" applyBorder="1" applyAlignment="1">
      <alignment horizontal="center" vertical="center" wrapText="1"/>
    </xf>
    <xf numFmtId="10" fontId="11" fillId="0" borderId="41" xfId="1" applyNumberFormat="1" applyFont="1" applyBorder="1" applyAlignment="1">
      <alignment horizontal="center" vertical="center" wrapText="1"/>
    </xf>
    <xf numFmtId="10" fontId="16" fillId="52" borderId="36" xfId="1" applyNumberFormat="1" applyFont="1" applyFill="1" applyBorder="1" applyAlignment="1">
      <alignment horizontal="center" vertical="center"/>
    </xf>
    <xf numFmtId="10" fontId="16" fillId="52" borderId="37" xfId="1" applyNumberFormat="1" applyFont="1" applyFill="1" applyBorder="1" applyAlignment="1">
      <alignment horizontal="center" vertical="center"/>
    </xf>
    <xf numFmtId="10" fontId="16" fillId="52" borderId="40" xfId="1" applyNumberFormat="1" applyFont="1" applyFill="1" applyBorder="1" applyAlignment="1">
      <alignment horizontal="center" vertical="center"/>
    </xf>
    <xf numFmtId="10" fontId="16" fillId="52" borderId="41" xfId="1" applyNumberFormat="1" applyFont="1" applyFill="1" applyBorder="1" applyAlignment="1">
      <alignment horizontal="center" vertical="center"/>
    </xf>
    <xf numFmtId="10" fontId="16" fillId="58" borderId="36" xfId="1" applyNumberFormat="1" applyFont="1" applyFill="1" applyBorder="1" applyAlignment="1">
      <alignment horizontal="center" vertical="center"/>
    </xf>
    <xf numFmtId="10" fontId="16" fillId="58" borderId="37" xfId="1" applyNumberFormat="1" applyFont="1" applyFill="1" applyBorder="1" applyAlignment="1">
      <alignment horizontal="center" vertical="center"/>
    </xf>
    <xf numFmtId="10" fontId="16" fillId="58" borderId="40" xfId="1" applyNumberFormat="1" applyFont="1" applyFill="1" applyBorder="1" applyAlignment="1">
      <alignment horizontal="center" vertical="center"/>
    </xf>
    <xf numFmtId="10" fontId="16" fillId="58" borderId="41" xfId="1" applyNumberFormat="1" applyFont="1" applyFill="1" applyBorder="1" applyAlignment="1">
      <alignment horizontal="center" vertical="center"/>
    </xf>
    <xf numFmtId="10" fontId="71" fillId="52" borderId="43" xfId="0" applyNumberFormat="1" applyFont="1" applyFill="1" applyBorder="1" applyAlignment="1">
      <alignment horizontal="center" vertical="center"/>
    </xf>
    <xf numFmtId="10" fontId="71" fillId="52" borderId="74" xfId="0" applyNumberFormat="1" applyFont="1" applyFill="1" applyBorder="1" applyAlignment="1">
      <alignment horizontal="center" vertical="center"/>
    </xf>
    <xf numFmtId="10" fontId="71" fillId="52" borderId="44" xfId="0" applyNumberFormat="1" applyFont="1" applyFill="1" applyBorder="1" applyAlignment="1">
      <alignment horizontal="center" vertical="center"/>
    </xf>
    <xf numFmtId="0" fontId="11" fillId="17" borderId="36" xfId="0" applyFont="1" applyFill="1" applyBorder="1" applyAlignment="1">
      <alignment horizontal="center" vertical="center" wrapText="1"/>
    </xf>
    <xf numFmtId="0" fontId="11" fillId="17" borderId="37" xfId="0" applyFont="1" applyFill="1" applyBorder="1" applyAlignment="1">
      <alignment horizontal="center" vertical="center" wrapText="1"/>
    </xf>
    <xf numFmtId="0" fontId="11" fillId="17" borderId="38" xfId="0" applyFont="1" applyFill="1" applyBorder="1" applyAlignment="1">
      <alignment horizontal="center" vertical="center" wrapText="1"/>
    </xf>
    <xf numFmtId="0" fontId="11" fillId="17" borderId="39" xfId="0" applyFont="1" applyFill="1" applyBorder="1" applyAlignment="1">
      <alignment horizontal="center" vertical="center" wrapText="1"/>
    </xf>
    <xf numFmtId="0" fontId="11" fillId="17" borderId="40" xfId="0" applyFont="1" applyFill="1" applyBorder="1" applyAlignment="1">
      <alignment horizontal="center" vertical="center" wrapText="1"/>
    </xf>
    <xf numFmtId="0" fontId="11" fillId="17" borderId="41" xfId="0" applyFont="1" applyFill="1" applyBorder="1" applyAlignment="1">
      <alignment horizontal="center" vertical="center" wrapText="1"/>
    </xf>
    <xf numFmtId="10" fontId="102" fillId="24" borderId="43" xfId="0" applyNumberFormat="1" applyFont="1" applyFill="1" applyBorder="1" applyAlignment="1">
      <alignment horizontal="center" vertical="center" wrapText="1"/>
    </xf>
    <xf numFmtId="10" fontId="102" fillId="24" borderId="74" xfId="0" applyNumberFormat="1" applyFont="1" applyFill="1" applyBorder="1" applyAlignment="1">
      <alignment horizontal="center" vertical="center" wrapText="1"/>
    </xf>
    <xf numFmtId="10" fontId="102" fillId="24" borderId="44" xfId="0" applyNumberFormat="1" applyFont="1" applyFill="1" applyBorder="1" applyAlignment="1">
      <alignment horizontal="center" vertical="center" wrapText="1"/>
    </xf>
    <xf numFmtId="165" fontId="101" fillId="24" borderId="43" xfId="0" applyNumberFormat="1" applyFont="1" applyFill="1" applyBorder="1" applyAlignment="1">
      <alignment horizontal="center" vertical="center" wrapText="1"/>
    </xf>
    <xf numFmtId="165" fontId="101" fillId="24" borderId="74" xfId="0" applyNumberFormat="1" applyFont="1" applyFill="1" applyBorder="1" applyAlignment="1">
      <alignment horizontal="center" vertical="center" wrapText="1"/>
    </xf>
    <xf numFmtId="165" fontId="101" fillId="24" borderId="44" xfId="0" applyNumberFormat="1" applyFont="1" applyFill="1" applyBorder="1" applyAlignment="1">
      <alignment horizontal="center" vertical="center" wrapText="1"/>
    </xf>
    <xf numFmtId="165" fontId="16" fillId="52" borderId="43" xfId="1" applyNumberFormat="1" applyFont="1" applyFill="1" applyBorder="1" applyAlignment="1">
      <alignment horizontal="center" vertical="center"/>
    </xf>
    <xf numFmtId="165" fontId="16" fillId="52" borderId="44" xfId="1" applyNumberFormat="1" applyFont="1" applyFill="1" applyBorder="1" applyAlignment="1">
      <alignment horizontal="center" vertical="center"/>
    </xf>
    <xf numFmtId="165" fontId="100" fillId="27" borderId="43" xfId="1" applyNumberFormat="1" applyFont="1" applyFill="1" applyBorder="1" applyAlignment="1">
      <alignment horizontal="center" vertical="center"/>
    </xf>
    <xf numFmtId="165" fontId="100" fillId="27" borderId="44" xfId="1" applyNumberFormat="1" applyFont="1" applyFill="1" applyBorder="1" applyAlignment="1">
      <alignment horizontal="center" vertical="center"/>
    </xf>
    <xf numFmtId="0" fontId="101" fillId="27" borderId="36" xfId="0" applyFont="1" applyFill="1" applyBorder="1" applyAlignment="1">
      <alignment horizontal="center" vertical="center" wrapText="1"/>
    </xf>
    <xf numFmtId="0" fontId="101" fillId="27" borderId="37" xfId="0" applyFont="1" applyFill="1" applyBorder="1" applyAlignment="1">
      <alignment horizontal="center" vertical="center" wrapText="1"/>
    </xf>
    <xf numFmtId="0" fontId="101" fillId="27" borderId="40" xfId="0" applyFont="1" applyFill="1" applyBorder="1" applyAlignment="1">
      <alignment horizontal="center" vertical="center" wrapText="1"/>
    </xf>
    <xf numFmtId="0" fontId="101" fillId="27" borderId="41" xfId="0" applyFont="1" applyFill="1" applyBorder="1" applyAlignment="1">
      <alignment horizontal="center" vertical="center" wrapText="1"/>
    </xf>
    <xf numFmtId="0" fontId="11" fillId="44" borderId="48" xfId="0" applyFont="1" applyFill="1" applyBorder="1" applyAlignment="1">
      <alignment horizontal="center" vertical="center" wrapText="1"/>
    </xf>
    <xf numFmtId="0" fontId="11" fillId="44" borderId="124" xfId="0" applyFont="1" applyFill="1" applyBorder="1" applyAlignment="1">
      <alignment horizontal="center" vertical="center" wrapText="1"/>
    </xf>
    <xf numFmtId="0" fontId="11" fillId="44" borderId="117" xfId="0" applyFont="1" applyFill="1" applyBorder="1" applyAlignment="1">
      <alignment horizontal="center" vertical="center" wrapText="1"/>
    </xf>
    <xf numFmtId="0" fontId="11" fillId="44" borderId="116" xfId="0" applyFont="1" applyFill="1" applyBorder="1" applyAlignment="1">
      <alignment horizontal="center" vertical="center" wrapText="1"/>
    </xf>
    <xf numFmtId="0" fontId="11" fillId="44" borderId="125" xfId="0" applyFont="1" applyFill="1" applyBorder="1" applyAlignment="1">
      <alignment horizontal="center" vertical="center" wrapText="1"/>
    </xf>
    <xf numFmtId="0" fontId="11" fillId="44" borderId="109" xfId="0" applyFont="1" applyFill="1" applyBorder="1" applyAlignment="1">
      <alignment horizontal="center" vertical="center" wrapText="1"/>
    </xf>
    <xf numFmtId="0" fontId="75" fillId="17" borderId="24" xfId="0" applyFont="1" applyFill="1" applyBorder="1" applyAlignment="1">
      <alignment horizontal="center" vertical="center" wrapText="1"/>
    </xf>
    <xf numFmtId="0" fontId="11" fillId="45" borderId="24" xfId="0" applyFont="1" applyFill="1" applyBorder="1" applyAlignment="1">
      <alignment horizontal="center" vertical="center"/>
    </xf>
    <xf numFmtId="0" fontId="11" fillId="44" borderId="48" xfId="0" applyFont="1" applyFill="1" applyBorder="1" applyAlignment="1">
      <alignment horizontal="center" vertical="justify" wrapText="1"/>
    </xf>
    <xf numFmtId="0" fontId="11" fillId="44" borderId="124" xfId="0" applyFont="1" applyFill="1" applyBorder="1" applyAlignment="1">
      <alignment horizontal="center" vertical="justify" wrapText="1"/>
    </xf>
    <xf numFmtId="0" fontId="11" fillId="44" borderId="117" xfId="0" applyFont="1" applyFill="1" applyBorder="1" applyAlignment="1">
      <alignment horizontal="center" vertical="justify" wrapText="1"/>
    </xf>
    <xf numFmtId="0" fontId="11" fillId="44" borderId="116" xfId="0" applyFont="1" applyFill="1" applyBorder="1" applyAlignment="1">
      <alignment horizontal="center" vertical="justify" wrapText="1"/>
    </xf>
    <xf numFmtId="0" fontId="11" fillId="44" borderId="125" xfId="0" applyFont="1" applyFill="1" applyBorder="1" applyAlignment="1">
      <alignment horizontal="center" vertical="justify" wrapText="1"/>
    </xf>
    <xf numFmtId="0" fontId="11" fillId="44" borderId="109" xfId="0" applyFont="1" applyFill="1" applyBorder="1" applyAlignment="1">
      <alignment horizontal="center" vertical="justify" wrapText="1"/>
    </xf>
    <xf numFmtId="0" fontId="131" fillId="17" borderId="48" xfId="0" applyFont="1" applyFill="1" applyBorder="1" applyAlignment="1">
      <alignment horizontal="center" vertical="top" wrapText="1"/>
    </xf>
    <xf numFmtId="0" fontId="131" fillId="17" borderId="124" xfId="0" applyFont="1" applyFill="1" applyBorder="1" applyAlignment="1">
      <alignment horizontal="center" vertical="top" wrapText="1"/>
    </xf>
    <xf numFmtId="0" fontId="131" fillId="17" borderId="117" xfId="0" applyFont="1" applyFill="1" applyBorder="1" applyAlignment="1">
      <alignment horizontal="center" vertical="top" wrapText="1"/>
    </xf>
    <xf numFmtId="0" fontId="131" fillId="17" borderId="116" xfId="0" applyFont="1" applyFill="1" applyBorder="1" applyAlignment="1">
      <alignment horizontal="center" vertical="top" wrapText="1"/>
    </xf>
    <xf numFmtId="0" fontId="131" fillId="17" borderId="125" xfId="0" applyFont="1" applyFill="1" applyBorder="1" applyAlignment="1">
      <alignment horizontal="center" vertical="top" wrapText="1"/>
    </xf>
    <xf numFmtId="0" fontId="131" fillId="17" borderId="109" xfId="0" applyFont="1" applyFill="1" applyBorder="1" applyAlignment="1">
      <alignment horizontal="center" vertical="top" wrapText="1"/>
    </xf>
    <xf numFmtId="0" fontId="11" fillId="45" borderId="166" xfId="0" applyFont="1" applyFill="1" applyBorder="1" applyAlignment="1">
      <alignment horizontal="center" vertical="center"/>
    </xf>
    <xf numFmtId="0" fontId="11" fillId="45" borderId="165" xfId="0" applyFont="1" applyFill="1" applyBorder="1" applyAlignment="1">
      <alignment horizontal="center" vertical="center"/>
    </xf>
    <xf numFmtId="0" fontId="11" fillId="45" borderId="167" xfId="0" applyFont="1" applyFill="1" applyBorder="1" applyAlignment="1">
      <alignment horizontal="center" vertical="center"/>
    </xf>
    <xf numFmtId="0" fontId="11" fillId="45" borderId="169" xfId="0" applyFont="1" applyFill="1" applyBorder="1" applyAlignment="1">
      <alignment horizontal="center" vertical="center"/>
    </xf>
    <xf numFmtId="0" fontId="11" fillId="45" borderId="31" xfId="0" applyFont="1" applyFill="1" applyBorder="1" applyAlignment="1">
      <alignment horizontal="center" vertical="center"/>
    </xf>
    <xf numFmtId="0" fontId="11" fillId="45" borderId="168" xfId="0" applyFont="1" applyFill="1" applyBorder="1" applyAlignment="1">
      <alignment horizontal="center" vertical="center"/>
    </xf>
    <xf numFmtId="0" fontId="27" fillId="17" borderId="24" xfId="0" applyFont="1" applyFill="1" applyBorder="1" applyAlignment="1">
      <alignment horizontal="center" vertical="center" wrapText="1"/>
    </xf>
    <xf numFmtId="0" fontId="11" fillId="17" borderId="24" xfId="0" applyFont="1" applyFill="1" applyBorder="1" applyAlignment="1">
      <alignment horizontal="center" vertical="center" wrapText="1"/>
    </xf>
  </cellXfs>
  <cellStyles count="5">
    <cellStyle name="Millares" xfId="3" builtinId="3"/>
    <cellStyle name="Moneda" xfId="4" builtinId="4"/>
    <cellStyle name="Normal" xfId="0" builtinId="0"/>
    <cellStyle name="Normal 2" xfId="2"/>
    <cellStyle name="Porcentaje" xfId="1" builtinId="5"/>
  </cellStyles>
  <dxfs count="1">
    <dxf>
      <fill>
        <patternFill patternType="solid">
          <fgColor rgb="FFCFE2F3"/>
          <bgColor rgb="FFCFE2F3"/>
        </patternFill>
      </fill>
    </dxf>
  </dxfs>
  <tableStyles count="0" defaultTableStyle="TableStyleMedium2" defaultPivotStyle="PivotStyleLight16"/>
  <colors>
    <mruColors>
      <color rgb="FFFF9999"/>
      <color rgb="FFFF7C80"/>
      <color rgb="FF04F053"/>
      <color rgb="FFCC0066"/>
      <color rgb="FF6639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r>
              <a:rPr lang="es-CO" sz="3000" b="1" i="0" baseline="0">
                <a:effectLst/>
              </a:rPr>
              <a:t>AVANCE ESPERADO ACUMULADO   A DICIEMBRE 2026  - LOGRO ALCANZADO ACUMULADO CUATRIENIO  MARZO 2026. LINEAS ESTRATEGICAS</a:t>
            </a:r>
            <a:endParaRPr lang="es-CO" sz="3000" b="1">
              <a:effectLst/>
            </a:endParaRPr>
          </a:p>
        </c:rich>
      </c:tx>
      <c:layout>
        <c:manualLayout>
          <c:xMode val="edge"/>
          <c:yMode val="edge"/>
          <c:x val="0.15681069958847738"/>
          <c:y val="8.119079837618403E-3"/>
        </c:manualLayout>
      </c:layout>
      <c:overlay val="0"/>
      <c:spPr>
        <a:noFill/>
        <a:ln>
          <a:noFill/>
        </a:ln>
        <a:effectLst/>
      </c:spPr>
      <c:txPr>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759664301221606E-2"/>
          <c:y val="9.6691492724437875E-2"/>
          <c:w val="0.964713586727585"/>
          <c:h val="0.63379803167364568"/>
        </c:manualLayout>
      </c:layout>
      <c:bar3DChart>
        <c:barDir val="col"/>
        <c:grouping val="clustered"/>
        <c:varyColors val="0"/>
        <c:ser>
          <c:idx val="0"/>
          <c:order val="0"/>
          <c:tx>
            <c:strRef>
              <c:f>'SEGUIMIENTO DEL PLAN DE DESARRO'!$G$2</c:f>
              <c:strCache>
                <c:ptCount val="1"/>
                <c:pt idx="0">
                  <c:v>AVANCE ESPERADO ACUMULADO CUATRIENIO 2024 - 2025 - 2026</c:v>
                </c:pt>
              </c:strCache>
            </c:strRef>
          </c:tx>
          <c:spPr>
            <a:solidFill>
              <a:schemeClr val="tx2">
                <a:lumMod val="65000"/>
                <a:lumOff val="35000"/>
              </a:schemeClr>
            </a:solidFill>
            <a:ln>
              <a:noFill/>
            </a:ln>
            <a:effectLst/>
            <a:sp3d/>
          </c:spPr>
          <c:invertIfNegative val="0"/>
          <c:dLbls>
            <c:dLbl>
              <c:idx val="0"/>
              <c:layout>
                <c:manualLayout>
                  <c:x val="8.6419753086419606E-3"/>
                  <c:y val="-2.1650879566982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CF-4D20-9DE3-5FCED4D6D7CD}"/>
                </c:ext>
              </c:extLst>
            </c:dLbl>
            <c:dLbl>
              <c:idx val="1"/>
              <c:layout>
                <c:manualLayout>
                  <c:x val="6.1728395061728392E-3"/>
                  <c:y val="-1.623815967523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CF-4D20-9DE3-5FCED4D6D7CD}"/>
                </c:ext>
              </c:extLst>
            </c:dLbl>
            <c:dLbl>
              <c:idx val="2"/>
              <c:layout>
                <c:manualLayout>
                  <c:x val="8.6419753086419745E-3"/>
                  <c:y val="-1.3531799729364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CF-4D20-9DE3-5FCED4D6D7CD}"/>
                </c:ext>
              </c:extLst>
            </c:dLbl>
            <c:dLbl>
              <c:idx val="3"/>
              <c:layout>
                <c:manualLayout>
                  <c:x val="6.1728395061728392E-3"/>
                  <c:y val="-1.3531799729363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CF-4D20-9DE3-5FCED4D6D7CD}"/>
                </c:ext>
              </c:extLst>
            </c:dLbl>
            <c:dLbl>
              <c:idx val="4"/>
              <c:layout>
                <c:manualLayout>
                  <c:x val="4.9382716049382715E-3"/>
                  <c:y val="-2.165087956698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CF-4D20-9DE3-5FCED4D6D7CD}"/>
                </c:ext>
              </c:extLst>
            </c:dLbl>
            <c:dLbl>
              <c:idx val="5"/>
              <c:layout>
                <c:manualLayout>
                  <c:x val="6.1728395061728392E-3"/>
                  <c:y val="-1.623815967523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CF-4D20-9DE3-5FCED4D6D7CD}"/>
                </c:ext>
              </c:extLst>
            </c:dLbl>
            <c:dLbl>
              <c:idx val="6"/>
              <c:layout>
                <c:manualLayout>
                  <c:x val="7.4074074074074077E-3"/>
                  <c:y val="-1.8944519621109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CF-4D20-9DE3-5FCED4D6D7CD}"/>
                </c:ext>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DESARRO'!$G$3:$G$9</c:f>
              <c:numCache>
                <c:formatCode>0.0%</c:formatCode>
                <c:ptCount val="7"/>
                <c:pt idx="0">
                  <c:v>0.80223711421976773</c:v>
                </c:pt>
                <c:pt idx="1">
                  <c:v>0.79931262285361604</c:v>
                </c:pt>
                <c:pt idx="2">
                  <c:v>0.82276088820641258</c:v>
                </c:pt>
                <c:pt idx="3">
                  <c:v>0.82209331785503881</c:v>
                </c:pt>
                <c:pt idx="4">
                  <c:v>0.77279219838918167</c:v>
                </c:pt>
                <c:pt idx="5">
                  <c:v>0.83819641214294427</c:v>
                </c:pt>
                <c:pt idx="6">
                  <c:v>0.75826724587141259</c:v>
                </c:pt>
              </c:numCache>
            </c:numRef>
          </c:val>
          <c:extLst>
            <c:ext xmlns:c16="http://schemas.microsoft.com/office/drawing/2014/chart" uri="{C3380CC4-5D6E-409C-BE32-E72D297353CC}">
              <c16:uniqueId val="{00000000-F9CF-4D20-9DE3-5FCED4D6D7CD}"/>
            </c:ext>
          </c:extLst>
        </c:ser>
        <c:ser>
          <c:idx val="1"/>
          <c:order val="1"/>
          <c:tx>
            <c:strRef>
              <c:f>'SEGUIMIENTO DEL PLAN DE DESARRO'!$J$2</c:f>
              <c:strCache>
                <c:ptCount val="1"/>
                <c:pt idx="0">
                  <c:v>AVANCE ACUMULADO  CORTE  MARZO 2026 RESPECTO AL CUATRIENIO</c:v>
                </c:pt>
              </c:strCache>
            </c:strRef>
          </c:tx>
          <c:spPr>
            <a:solidFill>
              <a:srgbClr val="FFFF00"/>
            </a:solidFill>
            <a:ln>
              <a:noFill/>
            </a:ln>
            <a:effectLst/>
            <a:sp3d/>
          </c:spPr>
          <c:invertIfNegative val="0"/>
          <c:dPt>
            <c:idx val="1"/>
            <c:invertIfNegative val="0"/>
            <c:bubble3D val="0"/>
            <c:spPr>
              <a:solidFill>
                <a:schemeClr val="accent6">
                  <a:lumMod val="40000"/>
                  <a:lumOff val="60000"/>
                </a:schemeClr>
              </a:solidFill>
              <a:ln>
                <a:noFill/>
              </a:ln>
              <a:effectLst/>
              <a:sp3d/>
            </c:spPr>
            <c:extLst>
              <c:ext xmlns:c16="http://schemas.microsoft.com/office/drawing/2014/chart" uri="{C3380CC4-5D6E-409C-BE32-E72D297353CC}">
                <c16:uniqueId val="{0000000A-F9CF-4D20-9DE3-5FCED4D6D7CD}"/>
              </c:ext>
            </c:extLst>
          </c:dPt>
          <c:dPt>
            <c:idx val="2"/>
            <c:invertIfNegative val="0"/>
            <c:bubble3D val="0"/>
            <c:spPr>
              <a:solidFill>
                <a:schemeClr val="accent6">
                  <a:lumMod val="40000"/>
                  <a:lumOff val="60000"/>
                </a:schemeClr>
              </a:solidFill>
              <a:ln>
                <a:noFill/>
              </a:ln>
              <a:effectLst/>
              <a:sp3d/>
            </c:spPr>
            <c:extLst>
              <c:ext xmlns:c16="http://schemas.microsoft.com/office/drawing/2014/chart" uri="{C3380CC4-5D6E-409C-BE32-E72D297353CC}">
                <c16:uniqueId val="{0000000B-F9CF-4D20-9DE3-5FCED4D6D7CD}"/>
              </c:ext>
            </c:extLst>
          </c:dPt>
          <c:dPt>
            <c:idx val="5"/>
            <c:invertIfNegative val="0"/>
            <c:bubble3D val="0"/>
            <c:spPr>
              <a:solidFill>
                <a:schemeClr val="accent6">
                  <a:lumMod val="40000"/>
                  <a:lumOff val="60000"/>
                </a:schemeClr>
              </a:solidFill>
              <a:ln>
                <a:noFill/>
              </a:ln>
              <a:effectLst/>
              <a:sp3d/>
            </c:spPr>
            <c:extLst>
              <c:ext xmlns:c16="http://schemas.microsoft.com/office/drawing/2014/chart" uri="{C3380CC4-5D6E-409C-BE32-E72D297353CC}">
                <c16:uniqueId val="{0000000E-F9CF-4D20-9DE3-5FCED4D6D7CD}"/>
              </c:ext>
            </c:extLst>
          </c:dPt>
          <c:dPt>
            <c:idx val="6"/>
            <c:invertIfNegative val="0"/>
            <c:bubble3D val="0"/>
            <c:spPr>
              <a:solidFill>
                <a:schemeClr val="accent2">
                  <a:lumMod val="40000"/>
                  <a:lumOff val="60000"/>
                </a:schemeClr>
              </a:solidFill>
              <a:ln>
                <a:noFill/>
              </a:ln>
              <a:effectLst/>
              <a:sp3d/>
            </c:spPr>
            <c:extLst>
              <c:ext xmlns:c16="http://schemas.microsoft.com/office/drawing/2014/chart" uri="{C3380CC4-5D6E-409C-BE32-E72D297353CC}">
                <c16:uniqueId val="{0000000F-F9CF-4D20-9DE3-5FCED4D6D7CD}"/>
              </c:ext>
            </c:extLst>
          </c:dPt>
          <c:dLbls>
            <c:dLbl>
              <c:idx val="0"/>
              <c:layout>
                <c:manualLayout>
                  <c:x val="1.9525561682910891E-2"/>
                  <c:y val="-2.9798915697786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CF-4D20-9DE3-5FCED4D6D7CD}"/>
                </c:ext>
              </c:extLst>
            </c:dLbl>
            <c:dLbl>
              <c:idx val="1"/>
              <c:layout>
                <c:manualLayout>
                  <c:x val="2.0987654320987655E-2"/>
                  <c:y val="-1.623815967523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CF-4D20-9DE3-5FCED4D6D7CD}"/>
                </c:ext>
              </c:extLst>
            </c:dLbl>
            <c:dLbl>
              <c:idx val="2"/>
              <c:layout>
                <c:manualLayout>
                  <c:x val="1.7283950617283949E-2"/>
                  <c:y val="-2.4357239512855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CF-4D20-9DE3-5FCED4D6D7CD}"/>
                </c:ext>
              </c:extLst>
            </c:dLbl>
            <c:dLbl>
              <c:idx val="3"/>
              <c:layout>
                <c:manualLayout>
                  <c:x val="2.4691358024691298E-2"/>
                  <c:y val="-2.9769959404600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9CF-4D20-9DE3-5FCED4D6D7CD}"/>
                </c:ext>
              </c:extLst>
            </c:dLbl>
            <c:dLbl>
              <c:idx val="4"/>
              <c:layout>
                <c:manualLayout>
                  <c:x val="1.6049382716049384E-2"/>
                  <c:y val="-1.0825439783491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9CF-4D20-9DE3-5FCED4D6D7CD}"/>
                </c:ext>
              </c:extLst>
            </c:dLbl>
            <c:dLbl>
              <c:idx val="5"/>
              <c:layout>
                <c:manualLayout>
                  <c:x val="2.908354945524794E-2"/>
                  <c:y val="-1.8944509446359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CF-4D20-9DE3-5FCED4D6D7CD}"/>
                </c:ext>
              </c:extLst>
            </c:dLbl>
            <c:dLbl>
              <c:idx val="6"/>
              <c:layout>
                <c:manualLayout>
                  <c:x val="1.8518518518518517E-2"/>
                  <c:y val="-3.7889039242219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9CF-4D20-9DE3-5FCED4D6D7CD}"/>
                </c:ext>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DESARRO'!$J$3:$J$9</c:f>
              <c:numCache>
                <c:formatCode>0.0%</c:formatCode>
                <c:ptCount val="7"/>
                <c:pt idx="0">
                  <c:v>0.52319293972307812</c:v>
                </c:pt>
                <c:pt idx="1">
                  <c:v>0.55531722153017071</c:v>
                </c:pt>
                <c:pt idx="2">
                  <c:v>0.56537558510342345</c:v>
                </c:pt>
                <c:pt idx="3">
                  <c:v>0.52346057293872739</c:v>
                </c:pt>
                <c:pt idx="4">
                  <c:v>0.53358917072877365</c:v>
                </c:pt>
                <c:pt idx="5">
                  <c:v>0.58485635336926378</c:v>
                </c:pt>
                <c:pt idx="6">
                  <c:v>0.37655873466810963</c:v>
                </c:pt>
              </c:numCache>
            </c:numRef>
          </c:val>
          <c:extLst>
            <c:ext xmlns:c16="http://schemas.microsoft.com/office/drawing/2014/chart" uri="{C3380CC4-5D6E-409C-BE32-E72D297353CC}">
              <c16:uniqueId val="{00000001-F9CF-4D20-9DE3-5FCED4D6D7CD}"/>
            </c:ext>
          </c:extLst>
        </c:ser>
        <c:dLbls>
          <c:showLegendKey val="0"/>
          <c:showVal val="0"/>
          <c:showCatName val="0"/>
          <c:showSerName val="0"/>
          <c:showPercent val="0"/>
          <c:showBubbleSize val="0"/>
        </c:dLbls>
        <c:gapWidth val="150"/>
        <c:shape val="box"/>
        <c:axId val="2128545135"/>
        <c:axId val="2128544303"/>
        <c:axId val="0"/>
      </c:bar3DChart>
      <c:catAx>
        <c:axId val="212854513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0" b="1" i="0" u="none" strike="noStrike" kern="1200" baseline="0">
                <a:solidFill>
                  <a:schemeClr val="tx1">
                    <a:lumMod val="65000"/>
                    <a:lumOff val="35000"/>
                  </a:schemeClr>
                </a:solidFill>
                <a:latin typeface="+mn-lt"/>
                <a:ea typeface="+mn-ea"/>
                <a:cs typeface="+mn-cs"/>
              </a:defRPr>
            </a:pPr>
            <a:endParaRPr lang="es-CO"/>
          </a:p>
        </c:txPr>
        <c:crossAx val="2128544303"/>
        <c:crosses val="autoZero"/>
        <c:auto val="1"/>
        <c:lblAlgn val="ctr"/>
        <c:lblOffset val="100"/>
        <c:noMultiLvlLbl val="0"/>
      </c:catAx>
      <c:valAx>
        <c:axId val="21285443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3000" b="1" i="0" u="none" strike="noStrike" kern="1200" baseline="0">
                <a:solidFill>
                  <a:schemeClr val="tx1">
                    <a:lumMod val="65000"/>
                    <a:lumOff val="35000"/>
                  </a:schemeClr>
                </a:solidFill>
                <a:latin typeface="+mn-lt"/>
                <a:ea typeface="+mn-ea"/>
                <a:cs typeface="+mn-cs"/>
              </a:defRPr>
            </a:pPr>
            <a:endParaRPr lang="es-CO"/>
          </a:p>
        </c:txPr>
        <c:crossAx val="2128545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3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r>
              <a:rPr lang="en-US"/>
              <a:t>AVANCE CUATRIENIO COMPONENTE IMPULSOR CONSTRUCCIÓN DE PAZ, DERECHOS HUMANOS Y CONVIVENCIA.  </a:t>
            </a:r>
            <a:r>
              <a:rPr lang="en-US" sz="1200" b="1" i="0" u="none" strike="noStrike" kern="1200" spc="0" baseline="0">
                <a:solidFill>
                  <a:srgbClr val="000000">
                    <a:lumMod val="65000"/>
                    <a:lumOff val="35000"/>
                  </a:srgbClr>
                </a:solidFill>
                <a:latin typeface="+mn-lt"/>
                <a:ea typeface="+mn-ea"/>
                <a:cs typeface="+mn-cs"/>
              </a:rPr>
              <a:t>PROGRAMAS. </a:t>
            </a:r>
            <a:r>
              <a:rPr lang="es-CO" sz="1200" b="1" i="0" u="none" strike="noStrike" kern="1200" spc="0" baseline="0">
                <a:solidFill>
                  <a:srgbClr val="000000">
                    <a:lumMod val="65000"/>
                    <a:lumOff val="35000"/>
                  </a:srgbClr>
                </a:solidFill>
                <a:latin typeface="+mn-lt"/>
                <a:ea typeface="+mn-ea"/>
                <a:cs typeface="+mn-cs"/>
              </a:rPr>
              <a:t> 30 DE MARZO 2026</a:t>
            </a:r>
          </a:p>
          <a:p>
            <a:pPr marL="0" marR="0" indent="0" algn="ctr" defTabSz="914400" rtl="0" eaLnBrk="1" fontAlgn="auto" latinLnBrk="0" hangingPunct="1">
              <a:lnSpc>
                <a:spcPct val="100000"/>
              </a:lnSpc>
              <a:spcBef>
                <a:spcPts val="0"/>
              </a:spcBef>
              <a:spcAft>
                <a:spcPts val="0"/>
              </a:spcAft>
              <a:buClrTx/>
              <a:buSzTx/>
              <a:buFontTx/>
              <a:buNone/>
              <a:tabLst/>
              <a:defRPr sz="1200" b="1">
                <a:solidFill>
                  <a:srgbClr val="000000">
                    <a:lumMod val="65000"/>
                    <a:lumOff val="35000"/>
                  </a:srgbClr>
                </a:solidFill>
              </a:defRPr>
            </a:pPr>
            <a:endParaRPr lang="es-CO" sz="12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HUMANA'!$E$47</c:f>
              <c:strCache>
                <c:ptCount val="1"/>
                <c:pt idx="0">
                  <c:v>AVANCE CUATRIENIO COMPONENTE IMPULSOR CONSTRUCCIÓN DE PAZ, DERECHOS HUMANOS Y CONVIVENCIA. CORTE  30 DE MARZO DE 2026</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9277-4A5F-822C-32DA1E4F09A0}"/>
              </c:ext>
            </c:extLst>
          </c:dPt>
          <c:dPt>
            <c:idx val="1"/>
            <c:invertIfNegative val="0"/>
            <c:bubble3D val="0"/>
            <c:spPr>
              <a:solidFill>
                <a:srgbClr val="00B050"/>
              </a:solidFill>
              <a:ln>
                <a:noFill/>
              </a:ln>
              <a:effectLst/>
            </c:spPr>
            <c:extLst>
              <c:ext xmlns:c16="http://schemas.microsoft.com/office/drawing/2014/chart" uri="{C3380CC4-5D6E-409C-BE32-E72D297353CC}">
                <c16:uniqueId val="{00000003-E7DC-472A-AFBC-CCA92A1F9F7F}"/>
              </c:ext>
            </c:extLst>
          </c:dPt>
          <c:dPt>
            <c:idx val="2"/>
            <c:invertIfNegative val="0"/>
            <c:bubble3D val="0"/>
            <c:spPr>
              <a:solidFill>
                <a:srgbClr val="FFFF00"/>
              </a:solidFill>
              <a:ln>
                <a:noFill/>
              </a:ln>
              <a:effectLst/>
            </c:spPr>
            <c:extLst>
              <c:ext xmlns:c16="http://schemas.microsoft.com/office/drawing/2014/chart" uri="{C3380CC4-5D6E-409C-BE32-E72D297353CC}">
                <c16:uniqueId val="{00000010-5D1D-4D74-A5E2-FFE8A77CF9EF}"/>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F-7834-431A-9D22-4DF8F1E02A6A}"/>
              </c:ext>
            </c:extLst>
          </c:dPt>
          <c:dPt>
            <c:idx val="4"/>
            <c:invertIfNegative val="0"/>
            <c:bubble3D val="0"/>
            <c:spPr>
              <a:solidFill>
                <a:srgbClr val="FFFF00"/>
              </a:solidFill>
              <a:ln>
                <a:noFill/>
              </a:ln>
              <a:effectLst/>
            </c:spPr>
            <c:extLst>
              <c:ext xmlns:c16="http://schemas.microsoft.com/office/drawing/2014/chart" uri="{C3380CC4-5D6E-409C-BE32-E72D297353CC}">
                <c16:uniqueId val="{00000004-E7DC-472A-AFBC-CCA92A1F9F7F}"/>
              </c:ext>
            </c:extLst>
          </c:dPt>
          <c:dPt>
            <c:idx val="5"/>
            <c:invertIfNegative val="0"/>
            <c:bubble3D val="0"/>
            <c:spPr>
              <a:solidFill>
                <a:srgbClr val="FFFF00"/>
              </a:solidFill>
              <a:ln>
                <a:noFill/>
              </a:ln>
              <a:effectLst/>
            </c:spPr>
            <c:extLst>
              <c:ext xmlns:c16="http://schemas.microsoft.com/office/drawing/2014/chart" uri="{C3380CC4-5D6E-409C-BE32-E72D297353CC}">
                <c16:uniqueId val="{00000007-E7DC-472A-AFBC-CCA92A1F9F7F}"/>
              </c:ext>
            </c:extLst>
          </c:dPt>
          <c:dPt>
            <c:idx val="6"/>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8-E7DC-472A-AFBC-CCA92A1F9F7F}"/>
              </c:ext>
            </c:extLst>
          </c:dPt>
          <c:dPt>
            <c:idx val="7"/>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F86C-460B-8801-1D5F8B7F4B90}"/>
              </c:ext>
            </c:extLst>
          </c:dPt>
          <c:dPt>
            <c:idx val="8"/>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D-12F6-441F-BF3A-BFF84524F3CC}"/>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HUMANA'!$E$48:$E$56</c:f>
              <c:numCache>
                <c:formatCode>0.0%</c:formatCode>
                <c:ptCount val="9"/>
                <c:pt idx="0">
                  <c:v>0.55721489320920936</c:v>
                </c:pt>
                <c:pt idx="1">
                  <c:v>0.89826666666666666</c:v>
                </c:pt>
                <c:pt idx="2">
                  <c:v>0.54749999999999999</c:v>
                </c:pt>
                <c:pt idx="3">
                  <c:v>0.6875</c:v>
                </c:pt>
                <c:pt idx="4">
                  <c:v>0.4312770562770562</c:v>
                </c:pt>
                <c:pt idx="5">
                  <c:v>0.51910000000000001</c:v>
                </c:pt>
                <c:pt idx="6">
                  <c:v>0.34340789473684213</c:v>
                </c:pt>
                <c:pt idx="7">
                  <c:v>0.65344530577088733</c:v>
                </c:pt>
                <c:pt idx="8">
                  <c:v>0.37722222222222224</c:v>
                </c:pt>
              </c:numCache>
            </c:numRef>
          </c:val>
          <c:extLst>
            <c:ext xmlns:c16="http://schemas.microsoft.com/office/drawing/2014/chart" uri="{C3380CC4-5D6E-409C-BE32-E72D297353CC}">
              <c16:uniqueId val="{00000000-9277-4A5F-822C-32DA1E4F09A0}"/>
            </c:ext>
          </c:extLst>
        </c:ser>
        <c:dLbls>
          <c:showLegendKey val="0"/>
          <c:showVal val="0"/>
          <c:showCatName val="0"/>
          <c:showSerName val="0"/>
          <c:showPercent val="0"/>
          <c:showBubbleSize val="0"/>
        </c:dLbls>
        <c:gapWidth val="219"/>
        <c:overlap val="-27"/>
        <c:axId val="428037472"/>
        <c:axId val="428040608"/>
      </c:barChart>
      <c:catAx>
        <c:axId val="42803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8040608"/>
        <c:crosses val="autoZero"/>
        <c:auto val="1"/>
        <c:lblAlgn val="ctr"/>
        <c:lblOffset val="100"/>
        <c:noMultiLvlLbl val="0"/>
      </c:catAx>
      <c:valAx>
        <c:axId val="428040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7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SALUD PÚBLICA Y ASEGURAMIENTO.  </a:t>
            </a:r>
            <a:r>
              <a:rPr lang="en-US" sz="1200" b="1" i="0" u="none" strike="noStrike" kern="1200" spc="0" baseline="0">
                <a:solidFill>
                  <a:srgbClr val="000000">
                    <a:lumMod val="65000"/>
                    <a:lumOff val="35000"/>
                  </a:srgbClr>
                </a:solidFill>
                <a:latin typeface="+mn-lt"/>
                <a:ea typeface="+mn-ea"/>
                <a:cs typeface="+mn-cs"/>
              </a:rPr>
              <a:t>PROGRAMAS. </a:t>
            </a:r>
            <a:r>
              <a:rPr lang="es-CO" sz="1200" b="1" i="0" u="none" strike="noStrike" kern="1200" spc="0" baseline="0">
                <a:solidFill>
                  <a:srgbClr val="000000">
                    <a:lumMod val="65000"/>
                    <a:lumOff val="35000"/>
                  </a:srgbClr>
                </a:solidFill>
                <a:latin typeface="+mn-lt"/>
                <a:ea typeface="+mn-ea"/>
                <a:cs typeface="+mn-cs"/>
              </a:rPr>
              <a:t> 30 DE MARZO 2026</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HUMANA'!$E$59</c:f>
              <c:strCache>
                <c:ptCount val="1"/>
                <c:pt idx="0">
                  <c:v>AVANCE CUATRIENIO COMPONENTE IMPULSOR SALUD PÚBLICA Y ASEGURAMIENTO. CORTE  30 DE MARZO DE 2026</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0860-4ACE-B6E6-8A57B7D36831}"/>
              </c:ext>
            </c:extLst>
          </c:dPt>
          <c:dPt>
            <c:idx val="1"/>
            <c:invertIfNegative val="0"/>
            <c:bubble3D val="0"/>
            <c:spPr>
              <a:solidFill>
                <a:srgbClr val="FFFF00"/>
              </a:solidFill>
              <a:ln>
                <a:noFill/>
              </a:ln>
              <a:effectLst/>
            </c:spPr>
            <c:extLst>
              <c:ext xmlns:c16="http://schemas.microsoft.com/office/drawing/2014/chart" uri="{C3380CC4-5D6E-409C-BE32-E72D297353CC}">
                <c16:uniqueId val="{00000008-CAC7-4B68-BD78-04312D546A9F}"/>
              </c:ext>
            </c:extLst>
          </c:dPt>
          <c:dPt>
            <c:idx val="2"/>
            <c:invertIfNegative val="0"/>
            <c:bubble3D val="0"/>
            <c:spPr>
              <a:solidFill>
                <a:srgbClr val="FFFF00"/>
              </a:solidFill>
              <a:ln>
                <a:noFill/>
              </a:ln>
              <a:effectLst/>
            </c:spPr>
            <c:extLst>
              <c:ext xmlns:c16="http://schemas.microsoft.com/office/drawing/2014/chart" uri="{C3380CC4-5D6E-409C-BE32-E72D297353CC}">
                <c16:uniqueId val="{00000003-9256-4C99-98CD-90B583FDCB4E}"/>
              </c:ext>
            </c:extLst>
          </c:dPt>
          <c:dPt>
            <c:idx val="3"/>
            <c:invertIfNegative val="0"/>
            <c:bubble3D val="0"/>
            <c:spPr>
              <a:solidFill>
                <a:srgbClr val="FFFF00"/>
              </a:solidFill>
              <a:ln>
                <a:noFill/>
              </a:ln>
              <a:effectLst/>
            </c:spPr>
            <c:extLst>
              <c:ext xmlns:c16="http://schemas.microsoft.com/office/drawing/2014/chart" uri="{C3380CC4-5D6E-409C-BE32-E72D297353CC}">
                <c16:uniqueId val="{00000007-CAC7-4B68-BD78-04312D546A9F}"/>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2FEC-4A0E-B80C-BD52157813CF}"/>
              </c:ext>
            </c:extLst>
          </c:dPt>
          <c:dPt>
            <c:idx val="5"/>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80FB-4A67-9792-49E0CACA3035}"/>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HUMANA'!$E$60:$E$65</c:f>
              <c:numCache>
                <c:formatCode>0.0%</c:formatCode>
                <c:ptCount val="6"/>
                <c:pt idx="0">
                  <c:v>0.47089768099188162</c:v>
                </c:pt>
                <c:pt idx="1">
                  <c:v>0.51613215854031502</c:v>
                </c:pt>
                <c:pt idx="2">
                  <c:v>0.53748333333333331</c:v>
                </c:pt>
                <c:pt idx="3">
                  <c:v>0.40086206896551724</c:v>
                </c:pt>
                <c:pt idx="4">
                  <c:v>0.56876084412024253</c:v>
                </c:pt>
                <c:pt idx="5">
                  <c:v>0.33124999999999999</c:v>
                </c:pt>
              </c:numCache>
            </c:numRef>
          </c:val>
          <c:extLst>
            <c:ext xmlns:c16="http://schemas.microsoft.com/office/drawing/2014/chart" uri="{C3380CC4-5D6E-409C-BE32-E72D297353CC}">
              <c16:uniqueId val="{00000000-0860-4ACE-B6E6-8A57B7D36831}"/>
            </c:ext>
          </c:extLst>
        </c:ser>
        <c:dLbls>
          <c:showLegendKey val="0"/>
          <c:showVal val="0"/>
          <c:showCatName val="0"/>
          <c:showSerName val="0"/>
          <c:showPercent val="0"/>
          <c:showBubbleSize val="0"/>
        </c:dLbls>
        <c:gapWidth val="219"/>
        <c:overlap val="-27"/>
        <c:axId val="428037864"/>
        <c:axId val="428040216"/>
      </c:barChart>
      <c:catAx>
        <c:axId val="428037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8040216"/>
        <c:crosses val="autoZero"/>
        <c:auto val="1"/>
        <c:lblAlgn val="ctr"/>
        <c:lblOffset val="100"/>
        <c:noMultiLvlLbl val="0"/>
      </c:catAx>
      <c:valAx>
        <c:axId val="428040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03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ATENCIÓN INTEGRAL A GRUPOS DE ESPECIAL PROTECCIÓN.  PROGRAMAS.</a:t>
            </a:r>
            <a:r>
              <a:rPr lang="en-US" baseline="0"/>
              <a:t> </a:t>
            </a:r>
            <a:r>
              <a:rPr lang="en-US" sz="1200" b="1" i="0" u="none" strike="noStrike" kern="1200" spc="0" baseline="0">
                <a:solidFill>
                  <a:srgbClr val="000000">
                    <a:lumMod val="65000"/>
                    <a:lumOff val="35000"/>
                  </a:srgbClr>
                </a:solidFill>
                <a:latin typeface="+mn-lt"/>
                <a:ea typeface="+mn-ea"/>
                <a:cs typeface="+mn-cs"/>
              </a:rPr>
              <a:t>CORTE</a:t>
            </a:r>
            <a:r>
              <a:rPr lang="es-CO" sz="1200" b="1" i="0" u="none" strike="noStrike" kern="1200" spc="0" baseline="0">
                <a:solidFill>
                  <a:srgbClr val="000000">
                    <a:lumMod val="65000"/>
                    <a:lumOff val="35000"/>
                  </a:srgbClr>
                </a:solidFill>
                <a:latin typeface="+mn-lt"/>
                <a:ea typeface="+mn-ea"/>
                <a:cs typeface="+mn-cs"/>
              </a:rPr>
              <a:t> 30 DE MARZO 2026</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5064907673228918E-2"/>
          <c:y val="0.12627385368527666"/>
          <c:w val="0.96361372738973361"/>
          <c:h val="0.71081731510674684"/>
        </c:manualLayout>
      </c:layout>
      <c:barChart>
        <c:barDir val="col"/>
        <c:grouping val="clustered"/>
        <c:varyColors val="0"/>
        <c:ser>
          <c:idx val="0"/>
          <c:order val="0"/>
          <c:tx>
            <c:strRef>
              <c:f>'GRAFICAS SEGURIDAD HUMANA'!$E$69</c:f>
              <c:strCache>
                <c:ptCount val="1"/>
                <c:pt idx="0">
                  <c:v>AVANCE CUATRIENIO COMPONENTE IMPULSOR ATENCIÓN INTEGRAL A GRUPOS DE ESPECIAL PROTECCIÓN.   CORTE  30 DE MARZO DE 2026</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4242-4241-9CB4-4A3AF86C8F09}"/>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AFC7-4A64-8FDC-435E03BF83F4}"/>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2-E6E8-4DDC-A71F-3BD800F29E13}"/>
              </c:ext>
            </c:extLst>
          </c:dPt>
          <c:dPt>
            <c:idx val="3"/>
            <c:invertIfNegative val="0"/>
            <c:bubble3D val="0"/>
            <c:spPr>
              <a:solidFill>
                <a:srgbClr val="FFFF00"/>
              </a:solidFill>
              <a:ln>
                <a:noFill/>
              </a:ln>
              <a:effectLst/>
            </c:spPr>
            <c:extLst>
              <c:ext xmlns:c16="http://schemas.microsoft.com/office/drawing/2014/chart" uri="{C3380CC4-5D6E-409C-BE32-E72D297353CC}">
                <c16:uniqueId val="{00000003-E6E8-4DDC-A71F-3BD800F29E13}"/>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E6E8-4DDC-A71F-3BD800F29E13}"/>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E6E8-4DDC-A71F-3BD800F29E13}"/>
              </c:ext>
            </c:extLst>
          </c:dPt>
          <c:dPt>
            <c:idx val="6"/>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2-49BE-4BC7-8149-E34DD7858BFB}"/>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HUMANA'!$E$70:$E$76</c:f>
              <c:numCache>
                <c:formatCode>0.0%</c:formatCode>
                <c:ptCount val="7"/>
                <c:pt idx="0">
                  <c:v>0.6882798055588667</c:v>
                </c:pt>
                <c:pt idx="1">
                  <c:v>0.64396646705585314</c:v>
                </c:pt>
                <c:pt idx="2">
                  <c:v>0.55779258400927001</c:v>
                </c:pt>
                <c:pt idx="3">
                  <c:v>0.50708333333333333</c:v>
                </c:pt>
                <c:pt idx="4">
                  <c:v>0.62812500000000004</c:v>
                </c:pt>
                <c:pt idx="5">
                  <c:v>0.65341144895474268</c:v>
                </c:pt>
                <c:pt idx="6">
                  <c:v>0.63680000000000003</c:v>
                </c:pt>
              </c:numCache>
            </c:numRef>
          </c:val>
          <c:extLst>
            <c:ext xmlns:c16="http://schemas.microsoft.com/office/drawing/2014/chart" uri="{C3380CC4-5D6E-409C-BE32-E72D297353CC}">
              <c16:uniqueId val="{00000000-4242-4241-9CB4-4A3AF86C8F09}"/>
            </c:ext>
          </c:extLst>
        </c:ser>
        <c:dLbls>
          <c:showLegendKey val="0"/>
          <c:showVal val="0"/>
          <c:showCatName val="0"/>
          <c:showSerName val="0"/>
          <c:showPercent val="0"/>
          <c:showBubbleSize val="0"/>
        </c:dLbls>
        <c:gapWidth val="219"/>
        <c:overlap val="-27"/>
        <c:axId val="428041392"/>
        <c:axId val="428041784"/>
      </c:barChart>
      <c:catAx>
        <c:axId val="42804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28041784"/>
        <c:crosses val="autoZero"/>
        <c:auto val="1"/>
        <c:lblAlgn val="ctr"/>
        <c:lblOffset val="100"/>
        <c:noMultiLvlLbl val="0"/>
      </c:catAx>
      <c:valAx>
        <c:axId val="4280417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4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r>
              <a:rPr lang="en-US"/>
              <a:t>AVANCE CUATRIENIO COMPONENTE IMPULSOR  SUPERACIÓN DE LA POBREZA EXTREMA Y SOBERANIA ALIMENTARIA. PROGRAMAS</a:t>
            </a:r>
            <a:r>
              <a:rPr lang="en-US" sz="1200" b="1" i="0" u="none" strike="noStrike" kern="1200" spc="0" baseline="0">
                <a:solidFill>
                  <a:srgbClr val="000000">
                    <a:lumMod val="65000"/>
                    <a:lumOff val="35000"/>
                  </a:srgbClr>
                </a:solidFill>
                <a:latin typeface="+mn-lt"/>
                <a:ea typeface="+mn-ea"/>
                <a:cs typeface="+mn-cs"/>
              </a:rPr>
              <a:t>. CORTE </a:t>
            </a:r>
            <a:r>
              <a:rPr lang="es-CO" sz="1200" b="1" i="0" u="none" strike="noStrike" kern="1200" spc="0" baseline="0">
                <a:solidFill>
                  <a:srgbClr val="000000">
                    <a:lumMod val="65000"/>
                    <a:lumOff val="35000"/>
                  </a:srgbClr>
                </a:solidFill>
                <a:latin typeface="+mn-lt"/>
                <a:ea typeface="+mn-ea"/>
                <a:cs typeface="+mn-cs"/>
              </a:rPr>
              <a:t> 30 DE MARZO 2026</a:t>
            </a:r>
          </a:p>
          <a:p>
            <a:pPr marL="0" marR="0" indent="0" algn="ctr" defTabSz="914400" rtl="0" eaLnBrk="1" fontAlgn="auto" latinLnBrk="0" hangingPunct="1">
              <a:lnSpc>
                <a:spcPct val="100000"/>
              </a:lnSpc>
              <a:spcBef>
                <a:spcPts val="0"/>
              </a:spcBef>
              <a:spcAft>
                <a:spcPts val="0"/>
              </a:spcAft>
              <a:buClrTx/>
              <a:buSzTx/>
              <a:buFontTx/>
              <a:buNone/>
              <a:tabLst/>
              <a:defRPr sz="1200" b="1">
                <a:solidFill>
                  <a:srgbClr val="000000">
                    <a:lumMod val="65000"/>
                    <a:lumOff val="35000"/>
                  </a:srgbClr>
                </a:solidFill>
              </a:defRPr>
            </a:pPr>
            <a:endParaRPr lang="es-CO" sz="1200" b="1" i="0" u="none" strike="noStrike" kern="1200" spc="0" baseline="0">
              <a:solidFill>
                <a:srgbClr val="000000">
                  <a:lumMod val="65000"/>
                  <a:lumOff val="35000"/>
                </a:srgbClr>
              </a:solidFill>
              <a:latin typeface="+mn-lt"/>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200" b="1">
                <a:solidFill>
                  <a:srgbClr val="000000">
                    <a:lumMod val="65000"/>
                    <a:lumOff val="35000"/>
                  </a:srgbClr>
                </a:solidFill>
              </a:defRPr>
            </a:pPr>
            <a:endParaRPr lang="en-US" sz="12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HUMANA'!$E$81</c:f>
              <c:strCache>
                <c:ptCount val="1"/>
                <c:pt idx="0">
                  <c:v>AVANCE CUATRIENIO COMPONENTE IMPULSOR  SUPERACIÓN DE LA POBREZA EXTREMA Y SOBERANIA ALIMENTARIA.  CORTE  30 DE MARZO DE 2026</c:v>
                </c:pt>
              </c:strCache>
            </c:strRef>
          </c:tx>
          <c:spPr>
            <a:solidFill>
              <a:schemeClr val="accent6">
                <a:lumMod val="40000"/>
                <a:lumOff val="60000"/>
              </a:schemeClr>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8EAA-4F49-AEDC-207F114B66FE}"/>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012E-4108-B7CB-22BEB9982FAA}"/>
              </c:ext>
            </c:extLst>
          </c:dPt>
          <c:dPt>
            <c:idx val="2"/>
            <c:invertIfNegative val="0"/>
            <c:bubble3D val="0"/>
            <c:spPr>
              <a:solidFill>
                <a:srgbClr val="00B050"/>
              </a:solidFill>
              <a:ln>
                <a:noFill/>
              </a:ln>
              <a:effectLst/>
            </c:spPr>
            <c:extLst>
              <c:ext xmlns:c16="http://schemas.microsoft.com/office/drawing/2014/chart" uri="{C3380CC4-5D6E-409C-BE32-E72D297353CC}">
                <c16:uniqueId val="{00000014-06D9-452A-85EB-144BE27212A7}"/>
              </c:ext>
            </c:extLst>
          </c:dPt>
          <c:dPt>
            <c:idx val="3"/>
            <c:invertIfNegative val="0"/>
            <c:bubble3D val="0"/>
            <c:spPr>
              <a:solidFill>
                <a:srgbClr val="FFFF00"/>
              </a:solidFill>
              <a:ln>
                <a:noFill/>
              </a:ln>
              <a:effectLst/>
            </c:spPr>
            <c:extLst>
              <c:ext xmlns:c16="http://schemas.microsoft.com/office/drawing/2014/chart" uri="{C3380CC4-5D6E-409C-BE32-E72D297353CC}">
                <c16:uniqueId val="{00000004-012E-4108-B7CB-22BEB9982FAA}"/>
              </c:ext>
            </c:extLst>
          </c:dPt>
          <c:dPt>
            <c:idx val="4"/>
            <c:invertIfNegative val="0"/>
            <c:bubble3D val="0"/>
            <c:spPr>
              <a:solidFill>
                <a:srgbClr val="FF0000"/>
              </a:solidFill>
              <a:ln>
                <a:noFill/>
              </a:ln>
              <a:effectLst/>
            </c:spPr>
            <c:extLst>
              <c:ext xmlns:c16="http://schemas.microsoft.com/office/drawing/2014/chart" uri="{C3380CC4-5D6E-409C-BE32-E72D297353CC}">
                <c16:uniqueId val="{00000014-C081-449F-8018-E0AAD8A03517}"/>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012E-4108-B7CB-22BEB9982FAA}"/>
              </c:ext>
            </c:extLst>
          </c:dPt>
          <c:dPt>
            <c:idx val="6"/>
            <c:invertIfNegative val="0"/>
            <c:bubble3D val="0"/>
            <c:spPr>
              <a:solidFill>
                <a:srgbClr val="FF0000"/>
              </a:solidFill>
              <a:ln>
                <a:noFill/>
              </a:ln>
              <a:effectLst/>
            </c:spPr>
            <c:extLst>
              <c:ext xmlns:c16="http://schemas.microsoft.com/office/drawing/2014/chart" uri="{C3380CC4-5D6E-409C-BE32-E72D297353CC}">
                <c16:uniqueId val="{00000008-012E-4108-B7CB-22BEB9982FAA}"/>
              </c:ext>
            </c:extLst>
          </c:dPt>
          <c:dPt>
            <c:idx val="7"/>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012E-4108-B7CB-22BEB9982FAA}"/>
              </c:ext>
            </c:extLst>
          </c:dPt>
          <c:dPt>
            <c:idx val="8"/>
            <c:invertIfNegative val="0"/>
            <c:bubble3D val="0"/>
            <c:spPr>
              <a:solidFill>
                <a:srgbClr val="FFFF00"/>
              </a:solidFill>
              <a:ln>
                <a:noFill/>
              </a:ln>
              <a:effectLst/>
            </c:spPr>
            <c:extLst>
              <c:ext xmlns:c16="http://schemas.microsoft.com/office/drawing/2014/chart" uri="{C3380CC4-5D6E-409C-BE32-E72D297353CC}">
                <c16:uniqueId val="{00000015-06D9-452A-85EB-144BE27212A7}"/>
              </c:ext>
            </c:extLst>
          </c:dPt>
          <c:dPt>
            <c:idx val="9"/>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6-06D9-452A-85EB-144BE27212A7}"/>
              </c:ext>
            </c:extLst>
          </c:dPt>
          <c:dPt>
            <c:idx val="1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12E-4108-B7CB-22BEB9982FAA}"/>
              </c:ext>
            </c:extLst>
          </c:dPt>
          <c:dPt>
            <c:idx val="11"/>
            <c:invertIfNegative val="0"/>
            <c:bubble3D val="0"/>
            <c:spPr>
              <a:solidFill>
                <a:srgbClr val="00B050"/>
              </a:solidFill>
              <a:ln>
                <a:noFill/>
              </a:ln>
              <a:effectLst/>
            </c:spPr>
            <c:extLst>
              <c:ext xmlns:c16="http://schemas.microsoft.com/office/drawing/2014/chart" uri="{C3380CC4-5D6E-409C-BE32-E72D297353CC}">
                <c16:uniqueId val="{00000016-DEF0-44EB-831F-8FBC15A146F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HUMANA'!$E$82:$E$93</c:f>
              <c:numCache>
                <c:formatCode>0.0%</c:formatCode>
                <c:ptCount val="12"/>
                <c:pt idx="0">
                  <c:v>0.50341569509571538</c:v>
                </c:pt>
                <c:pt idx="1">
                  <c:v>0.36443749999999997</c:v>
                </c:pt>
                <c:pt idx="2">
                  <c:v>0.82507777777777769</c:v>
                </c:pt>
                <c:pt idx="3">
                  <c:v>0.53296018049984573</c:v>
                </c:pt>
                <c:pt idx="4">
                  <c:v>2.5000000000000001E-2</c:v>
                </c:pt>
                <c:pt idx="5">
                  <c:v>0.60002302631578952</c:v>
                </c:pt>
                <c:pt idx="6">
                  <c:v>0.12068333333333334</c:v>
                </c:pt>
                <c:pt idx="7">
                  <c:v>0.69858363858363859</c:v>
                </c:pt>
                <c:pt idx="8">
                  <c:v>0.43686111111111109</c:v>
                </c:pt>
                <c:pt idx="9">
                  <c:v>0.57352941176470584</c:v>
                </c:pt>
                <c:pt idx="10">
                  <c:v>0.6</c:v>
                </c:pt>
                <c:pt idx="11">
                  <c:v>0.76041666666666674</c:v>
                </c:pt>
              </c:numCache>
            </c:numRef>
          </c:val>
          <c:extLst>
            <c:ext xmlns:c16="http://schemas.microsoft.com/office/drawing/2014/chart" uri="{C3380CC4-5D6E-409C-BE32-E72D297353CC}">
              <c16:uniqueId val="{00000000-8EAA-4F49-AEDC-207F114B66FE}"/>
            </c:ext>
          </c:extLst>
        </c:ser>
        <c:dLbls>
          <c:showLegendKey val="0"/>
          <c:showVal val="0"/>
          <c:showCatName val="0"/>
          <c:showSerName val="0"/>
          <c:showPercent val="0"/>
          <c:showBubbleSize val="0"/>
        </c:dLbls>
        <c:gapWidth val="219"/>
        <c:overlap val="-27"/>
        <c:axId val="428042568"/>
        <c:axId val="428035120"/>
      </c:barChart>
      <c:catAx>
        <c:axId val="42804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28035120"/>
        <c:crosses val="autoZero"/>
        <c:auto val="1"/>
        <c:lblAlgn val="ctr"/>
        <c:lblOffset val="100"/>
        <c:noMultiLvlLbl val="0"/>
      </c:catAx>
      <c:valAx>
        <c:axId val="428035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42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200" b="1" i="0" baseline="0">
                <a:effectLst/>
              </a:rPr>
              <a:t>Seguridad Ciudadana y Orden Público  Avance ponderado </a:t>
            </a:r>
            <a:r>
              <a:rPr lang="es-CO" sz="1200" b="1" i="0" u="none" strike="noStrike" baseline="0">
                <a:effectLst/>
              </a:rPr>
              <a:t> </a:t>
            </a:r>
            <a:r>
              <a:rPr lang="es-CO" sz="1200" b="1" i="0" u="none" strike="noStrike" kern="1200" spc="0" baseline="0">
                <a:solidFill>
                  <a:srgbClr val="000000">
                    <a:lumMod val="65000"/>
                    <a:lumOff val="35000"/>
                  </a:srgbClr>
                </a:solidFill>
                <a:effectLst/>
                <a:latin typeface="+mn-lt"/>
                <a:ea typeface="+mn-ea"/>
                <a:cs typeface="+mn-cs"/>
              </a:rPr>
              <a:t>30 de marzo 2026</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200" b="1" i="0" u="none" strike="noStrike" kern="1200" spc="0" baseline="0">
              <a:solidFill>
                <a:srgbClr val="000000">
                  <a:lumMod val="65000"/>
                  <a:lumOff val="35000"/>
                </a:srgb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HUMANA'!$D$31</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HUMANA'!$D$32:$D$37</c:f>
              <c:numCache>
                <c:formatCode>0.0%</c:formatCode>
                <c:ptCount val="6"/>
                <c:pt idx="0" formatCode="0.00%">
                  <c:v>0.57576906657050364</c:v>
                </c:pt>
                <c:pt idx="1">
                  <c:v>0.40312500000000007</c:v>
                </c:pt>
                <c:pt idx="2">
                  <c:v>0.64999999999999991</c:v>
                </c:pt>
                <c:pt idx="3">
                  <c:v>0.60071725893871608</c:v>
                </c:pt>
                <c:pt idx="4">
                  <c:v>0.85</c:v>
                </c:pt>
                <c:pt idx="5">
                  <c:v>0.71960138888888892</c:v>
                </c:pt>
              </c:numCache>
            </c:numRef>
          </c:val>
          <c:extLst>
            <c:ext xmlns:c16="http://schemas.microsoft.com/office/drawing/2014/chart" uri="{C3380CC4-5D6E-409C-BE32-E72D297353CC}">
              <c16:uniqueId val="{00000000-056A-4ED6-9772-735BCC710DA3}"/>
            </c:ext>
          </c:extLst>
        </c:ser>
        <c:dLbls>
          <c:showLegendKey val="0"/>
          <c:showVal val="0"/>
          <c:showCatName val="0"/>
          <c:showSerName val="0"/>
          <c:showPercent val="0"/>
          <c:showBubbleSize val="0"/>
        </c:dLbls>
        <c:gapWidth val="219"/>
        <c:overlap val="-27"/>
        <c:axId val="428228552"/>
        <c:axId val="428226984"/>
      </c:barChart>
      <c:catAx>
        <c:axId val="42822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6984"/>
        <c:crosses val="autoZero"/>
        <c:auto val="1"/>
        <c:lblAlgn val="ctr"/>
        <c:lblOffset val="100"/>
        <c:noMultiLvlLbl val="0"/>
      </c:catAx>
      <c:valAx>
        <c:axId val="4282269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8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200" b="1" i="0" baseline="0">
                <a:effectLst/>
              </a:rPr>
              <a:t>Construccion de paz, Derechos Humanos </a:t>
            </a:r>
            <a:r>
              <a:rPr lang="en-US" sz="1200" b="1" i="0" u="none" strike="noStrike" kern="1200" spc="0" baseline="0">
                <a:solidFill>
                  <a:srgbClr val="000000">
                    <a:lumMod val="65000"/>
                    <a:lumOff val="35000"/>
                  </a:srgbClr>
                </a:solidFill>
                <a:effectLst/>
                <a:latin typeface="+mn-lt"/>
                <a:ea typeface="+mn-ea"/>
                <a:cs typeface="+mn-cs"/>
              </a:rPr>
              <a:t>y Convivencia Avance Ponderado </a:t>
            </a:r>
            <a:r>
              <a:rPr lang="es-CO" sz="1200" b="1" i="0" u="none" strike="noStrike" kern="1200" spc="0" baseline="0">
                <a:solidFill>
                  <a:srgbClr val="000000">
                    <a:lumMod val="65000"/>
                    <a:lumOff val="35000"/>
                  </a:srgbClr>
                </a:solidFill>
                <a:effectLst/>
                <a:latin typeface="+mn-lt"/>
                <a:ea typeface="+mn-ea"/>
                <a:cs typeface="+mn-cs"/>
              </a:rPr>
              <a:t> 30 de marzo 2026</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200" b="1" i="0" u="none" strike="noStrike" kern="1200" spc="0" baseline="0">
              <a:solidFill>
                <a:srgbClr val="000000">
                  <a:lumMod val="65000"/>
                  <a:lumOff val="35000"/>
                </a:srgbClr>
              </a:solidFill>
              <a:effectLst/>
              <a:latin typeface="+mn-lt"/>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200" b="1">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HUMANA'!$D$47</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HUMANA'!$D$48:$D$56</c:f>
              <c:numCache>
                <c:formatCode>0.0%</c:formatCode>
                <c:ptCount val="9"/>
                <c:pt idx="0" formatCode="0.00%">
                  <c:v>0.54219734284707533</c:v>
                </c:pt>
                <c:pt idx="1">
                  <c:v>0.95291999999999999</c:v>
                </c:pt>
                <c:pt idx="2">
                  <c:v>0.57599999999999996</c:v>
                </c:pt>
                <c:pt idx="3">
                  <c:v>0.63749999999999996</c:v>
                </c:pt>
                <c:pt idx="4">
                  <c:v>0.30189393939393938</c:v>
                </c:pt>
                <c:pt idx="5">
                  <c:v>0.51910000000000001</c:v>
                </c:pt>
                <c:pt idx="6">
                  <c:v>0.35152500000000009</c:v>
                </c:pt>
                <c:pt idx="7">
                  <c:v>0.65691085271317839</c:v>
                </c:pt>
                <c:pt idx="8">
                  <c:v>0.22041666666666668</c:v>
                </c:pt>
              </c:numCache>
            </c:numRef>
          </c:val>
          <c:extLst>
            <c:ext xmlns:c16="http://schemas.microsoft.com/office/drawing/2014/chart" uri="{C3380CC4-5D6E-409C-BE32-E72D297353CC}">
              <c16:uniqueId val="{00000000-49D2-4A34-9E95-80AB36FC2CFB}"/>
            </c:ext>
          </c:extLst>
        </c:ser>
        <c:dLbls>
          <c:showLegendKey val="0"/>
          <c:showVal val="0"/>
          <c:showCatName val="0"/>
          <c:showSerName val="0"/>
          <c:showPercent val="0"/>
          <c:showBubbleSize val="0"/>
        </c:dLbls>
        <c:gapWidth val="219"/>
        <c:overlap val="-27"/>
        <c:axId val="428230904"/>
        <c:axId val="428229728"/>
      </c:barChart>
      <c:catAx>
        <c:axId val="42823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8229728"/>
        <c:crosses val="autoZero"/>
        <c:auto val="1"/>
        <c:lblAlgn val="ctr"/>
        <c:lblOffset val="100"/>
        <c:noMultiLvlLbl val="0"/>
      </c:catAx>
      <c:valAx>
        <c:axId val="4282297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30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Salud Pública y Aseguramiento </a:t>
            </a:r>
            <a:r>
              <a:rPr lang="en-US" sz="1400" b="1" i="0" u="none" strike="noStrike" kern="1200" spc="0" baseline="0">
                <a:solidFill>
                  <a:srgbClr val="000000">
                    <a:lumMod val="65000"/>
                    <a:lumOff val="35000"/>
                  </a:srgbClr>
                </a:solidFill>
                <a:effectLst/>
                <a:latin typeface="+mn-lt"/>
                <a:ea typeface="+mn-ea"/>
                <a:cs typeface="+mn-cs"/>
              </a:rPr>
              <a:t>Avance ponderado </a:t>
            </a:r>
            <a:r>
              <a:rPr lang="es-CO" sz="1400" b="1" i="0" u="none" strike="noStrike" kern="1200" spc="0" baseline="0">
                <a:solidFill>
                  <a:srgbClr val="000000">
                    <a:lumMod val="65000"/>
                    <a:lumOff val="35000"/>
                  </a:srgbClr>
                </a:solidFill>
                <a:effectLst/>
                <a:latin typeface="+mn-lt"/>
                <a:ea typeface="+mn-ea"/>
                <a:cs typeface="+mn-cs"/>
              </a:rPr>
              <a:t> 30 de marzo 2026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HUMANA'!$D$59</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HUMANA'!$D$60:$D$65</c:f>
              <c:numCache>
                <c:formatCode>0.0%</c:formatCode>
                <c:ptCount val="6"/>
                <c:pt idx="0">
                  <c:v>0.47208931869570703</c:v>
                </c:pt>
                <c:pt idx="1">
                  <c:v>0.41792820200213243</c:v>
                </c:pt>
                <c:pt idx="2">
                  <c:v>0.5475000000000001</c:v>
                </c:pt>
                <c:pt idx="3">
                  <c:v>0.31034482758620691</c:v>
                </c:pt>
                <c:pt idx="4">
                  <c:v>0.55694991309084985</c:v>
                </c:pt>
                <c:pt idx="5">
                  <c:v>0.34499999999999997</c:v>
                </c:pt>
              </c:numCache>
            </c:numRef>
          </c:val>
          <c:extLst>
            <c:ext xmlns:c16="http://schemas.microsoft.com/office/drawing/2014/chart" uri="{C3380CC4-5D6E-409C-BE32-E72D297353CC}">
              <c16:uniqueId val="{00000000-0423-4C87-AC5A-49301F7B9490}"/>
            </c:ext>
          </c:extLst>
        </c:ser>
        <c:dLbls>
          <c:showLegendKey val="0"/>
          <c:showVal val="0"/>
          <c:showCatName val="0"/>
          <c:showSerName val="0"/>
          <c:showPercent val="0"/>
          <c:showBubbleSize val="0"/>
        </c:dLbls>
        <c:gapWidth val="219"/>
        <c:overlap val="-27"/>
        <c:axId val="428227768"/>
        <c:axId val="428228160"/>
      </c:barChart>
      <c:catAx>
        <c:axId val="42822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8160"/>
        <c:crosses val="autoZero"/>
        <c:auto val="1"/>
        <c:lblAlgn val="ctr"/>
        <c:lblOffset val="100"/>
        <c:noMultiLvlLbl val="0"/>
      </c:catAx>
      <c:valAx>
        <c:axId val="428228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7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300" b="1" i="0" baseline="0">
                <a:effectLst/>
              </a:rPr>
              <a:t>Atención Integral </a:t>
            </a:r>
            <a:r>
              <a:rPr lang="en-US" sz="1300" b="1" i="0" u="none" strike="noStrike" kern="1200" spc="0" baseline="0">
                <a:solidFill>
                  <a:srgbClr val="000000">
                    <a:lumMod val="65000"/>
                    <a:lumOff val="35000"/>
                  </a:srgbClr>
                </a:solidFill>
                <a:effectLst/>
                <a:latin typeface="+mn-lt"/>
                <a:ea typeface="+mn-ea"/>
                <a:cs typeface="+mn-cs"/>
              </a:rPr>
              <a:t>a </a:t>
            </a:r>
            <a:r>
              <a:rPr lang="en-US" sz="1200" b="1" i="0" u="none" strike="noStrike" kern="1200" spc="0" baseline="0">
                <a:solidFill>
                  <a:srgbClr val="000000">
                    <a:lumMod val="65000"/>
                    <a:lumOff val="35000"/>
                  </a:srgbClr>
                </a:solidFill>
                <a:effectLst/>
                <a:latin typeface="+mn-lt"/>
                <a:ea typeface="+mn-ea"/>
                <a:cs typeface="+mn-cs"/>
              </a:rPr>
              <a:t>Grupos de Especial Protección Avance ponderado </a:t>
            </a:r>
            <a:r>
              <a:rPr lang="es-CO" sz="1200" b="1" i="0" u="none" strike="noStrike" kern="1200" spc="0" baseline="0">
                <a:solidFill>
                  <a:srgbClr val="000000">
                    <a:lumMod val="65000"/>
                    <a:lumOff val="35000"/>
                  </a:srgbClr>
                </a:solidFill>
                <a:effectLst/>
                <a:latin typeface="+mn-lt"/>
                <a:ea typeface="+mn-ea"/>
                <a:cs typeface="+mn-cs"/>
              </a:rPr>
              <a:t> 30 de marzo 2026</a:t>
            </a:r>
          </a:p>
        </c:rich>
      </c:tx>
      <c:layout>
        <c:manualLayout>
          <c:xMode val="edge"/>
          <c:yMode val="edge"/>
          <c:x val="0.18803343324124142"/>
          <c:y val="0"/>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HUMANA'!$D$69</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HUMANA'!$D$70:$D$76</c:f>
              <c:numCache>
                <c:formatCode>0.0%</c:formatCode>
                <c:ptCount val="7"/>
                <c:pt idx="0">
                  <c:v>0.52726154508305056</c:v>
                </c:pt>
                <c:pt idx="1">
                  <c:v>0.50317642713369037</c:v>
                </c:pt>
                <c:pt idx="2">
                  <c:v>0.60402665121668608</c:v>
                </c:pt>
                <c:pt idx="3">
                  <c:v>0.503</c:v>
                </c:pt>
                <c:pt idx="4">
                  <c:v>0.49249999999999999</c:v>
                </c:pt>
                <c:pt idx="5">
                  <c:v>0.67261858825950505</c:v>
                </c:pt>
                <c:pt idx="6">
                  <c:v>0.49520000000000008</c:v>
                </c:pt>
              </c:numCache>
            </c:numRef>
          </c:val>
          <c:extLst>
            <c:ext xmlns:c16="http://schemas.microsoft.com/office/drawing/2014/chart" uri="{C3380CC4-5D6E-409C-BE32-E72D297353CC}">
              <c16:uniqueId val="{00000000-F9AB-4D95-BA80-8DE526F7631F}"/>
            </c:ext>
          </c:extLst>
        </c:ser>
        <c:dLbls>
          <c:showLegendKey val="0"/>
          <c:showVal val="0"/>
          <c:showCatName val="0"/>
          <c:showSerName val="0"/>
          <c:showPercent val="0"/>
          <c:showBubbleSize val="0"/>
        </c:dLbls>
        <c:gapWidth val="219"/>
        <c:overlap val="-27"/>
        <c:axId val="428224632"/>
        <c:axId val="428231296"/>
      </c:barChart>
      <c:catAx>
        <c:axId val="42822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31296"/>
        <c:crosses val="autoZero"/>
        <c:auto val="1"/>
        <c:lblAlgn val="ctr"/>
        <c:lblOffset val="100"/>
        <c:noMultiLvlLbl val="0"/>
      </c:catAx>
      <c:valAx>
        <c:axId val="428231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Superación de la </a:t>
            </a:r>
            <a:r>
              <a:rPr lang="en-US" sz="1200" b="1" i="0" baseline="0">
                <a:effectLst/>
              </a:rPr>
              <a:t>pobreza extrema y soberanía alimentaria Avance </a:t>
            </a:r>
            <a:r>
              <a:rPr lang="en-US" sz="1300" b="1" i="0" u="none" strike="noStrike" kern="1200" spc="0" baseline="0">
                <a:solidFill>
                  <a:srgbClr val="000000">
                    <a:lumMod val="65000"/>
                    <a:lumOff val="35000"/>
                  </a:srgbClr>
                </a:solidFill>
                <a:effectLst/>
                <a:latin typeface="+mn-lt"/>
                <a:ea typeface="+mn-ea"/>
                <a:cs typeface="+mn-cs"/>
              </a:rPr>
              <a:t>ponderado </a:t>
            </a:r>
            <a:r>
              <a:rPr lang="es-CO" sz="1200" b="1" i="0" u="none" strike="noStrike" kern="1200" spc="0" baseline="0">
                <a:solidFill>
                  <a:srgbClr val="000000">
                    <a:lumMod val="65000"/>
                    <a:lumOff val="35000"/>
                  </a:srgbClr>
                </a:solidFill>
                <a:effectLst/>
                <a:latin typeface="+mn-lt"/>
                <a:ea typeface="+mn-ea"/>
                <a:cs typeface="+mn-cs"/>
              </a:rPr>
              <a:t>30 de marzo 2026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HUMANA'!$D$81</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HUMANA'!$D$82:$D$93</c:f>
              <c:numCache>
                <c:formatCode>0.0%</c:formatCode>
                <c:ptCount val="12"/>
                <c:pt idx="0">
                  <c:v>0.50644210731584249</c:v>
                </c:pt>
                <c:pt idx="1">
                  <c:v>0.36021249999999994</c:v>
                </c:pt>
                <c:pt idx="2">
                  <c:v>0.81911</c:v>
                </c:pt>
                <c:pt idx="3">
                  <c:v>0.55898957297130514</c:v>
                </c:pt>
                <c:pt idx="4">
                  <c:v>2.5000000000000001E-2</c:v>
                </c:pt>
                <c:pt idx="5">
                  <c:v>0.59690822368421048</c:v>
                </c:pt>
                <c:pt idx="6">
                  <c:v>0.13547666666666666</c:v>
                </c:pt>
                <c:pt idx="7">
                  <c:v>0.74387545787545784</c:v>
                </c:pt>
                <c:pt idx="8">
                  <c:v>0.41186666666666666</c:v>
                </c:pt>
                <c:pt idx="9">
                  <c:v>0.59558823529411775</c:v>
                </c:pt>
                <c:pt idx="10">
                  <c:v>0.57000000000000006</c:v>
                </c:pt>
                <c:pt idx="11">
                  <c:v>0.71250000000000002</c:v>
                </c:pt>
              </c:numCache>
            </c:numRef>
          </c:val>
          <c:extLst>
            <c:ext xmlns:c16="http://schemas.microsoft.com/office/drawing/2014/chart" uri="{C3380CC4-5D6E-409C-BE32-E72D297353CC}">
              <c16:uniqueId val="{00000000-FB42-486C-8859-F2569F5CEE8B}"/>
            </c:ext>
          </c:extLst>
        </c:ser>
        <c:dLbls>
          <c:showLegendKey val="0"/>
          <c:showVal val="0"/>
          <c:showCatName val="0"/>
          <c:showSerName val="0"/>
          <c:showPercent val="0"/>
          <c:showBubbleSize val="0"/>
        </c:dLbls>
        <c:gapWidth val="219"/>
        <c:overlap val="-27"/>
        <c:axId val="428229336"/>
        <c:axId val="428231688"/>
      </c:barChart>
      <c:catAx>
        <c:axId val="42822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8231688"/>
        <c:crosses val="autoZero"/>
        <c:auto val="1"/>
        <c:lblAlgn val="ctr"/>
        <c:lblOffset val="100"/>
        <c:noMultiLvlLbl val="0"/>
      </c:catAx>
      <c:valAx>
        <c:axId val="4282316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SEGURIDAD HUMANA COMPARATIVO </a:t>
            </a:r>
            <a:r>
              <a:rPr lang="es-CO" b="1" baseline="0"/>
              <a:t> </a:t>
            </a:r>
            <a:r>
              <a:rPr lang="es-CO" b="1"/>
              <a:t>DICIEMBRE 2025 - 3O</a:t>
            </a:r>
            <a:r>
              <a:rPr lang="es-CO" b="1" baseline="0"/>
              <a:t> DE MARZO DE 2026</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2026</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0.79931262285361604</c:v>
                </c:pt>
                <c:pt idx="1">
                  <c:v>0.88249604373855894</c:v>
                </c:pt>
                <c:pt idx="2">
                  <c:v>0.79066222089425975</c:v>
                </c:pt>
                <c:pt idx="3">
                  <c:v>0.7032139679102718</c:v>
                </c:pt>
                <c:pt idx="4">
                  <c:v>0.91385788056208472</c:v>
                </c:pt>
                <c:pt idx="5">
                  <c:v>0.79616715845974406</c:v>
                </c:pt>
              </c:numCache>
            </c:numRef>
          </c:val>
          <c:extLst>
            <c:ext xmlns:c16="http://schemas.microsoft.com/office/drawing/2014/chart" uri="{C3380CC4-5D6E-409C-BE32-E72D297353CC}">
              <c16:uniqueId val="{00000000-1B77-4F60-BAD1-3CFCB1A32D99}"/>
            </c:ext>
          </c:extLst>
        </c:ser>
        <c:ser>
          <c:idx val="1"/>
          <c:order val="1"/>
          <c:tx>
            <c:strRef>
              <c:f>'GRAFICAS SEGURIDAD HUMANA'!$E$4</c:f>
              <c:strCache>
                <c:ptCount val="1"/>
                <c:pt idx="0">
                  <c:v>LOGRO  CORTE  30 DE MARZO DE 2026 RESPECTO AL CUATRIENIO</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7AD2-4D23-AAD4-68CCD020C8A4}"/>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D-BD84-4460-A27B-914F6B693402}"/>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7AD2-4D23-AAD4-68CCD020C8A4}"/>
              </c:ext>
            </c:extLst>
          </c:dPt>
          <c:dPt>
            <c:idx val="3"/>
            <c:invertIfNegative val="0"/>
            <c:bubble3D val="0"/>
            <c:spPr>
              <a:solidFill>
                <a:srgbClr val="FFFF00"/>
              </a:solidFill>
              <a:ln>
                <a:noFill/>
              </a:ln>
              <a:effectLst/>
            </c:spPr>
            <c:extLst>
              <c:ext xmlns:c16="http://schemas.microsoft.com/office/drawing/2014/chart" uri="{C3380CC4-5D6E-409C-BE32-E72D297353CC}">
                <c16:uniqueId val="{00000001-8801-4487-AF41-40FCA1B4ACFF}"/>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7AD2-4D23-AAD4-68CCD020C8A4}"/>
              </c:ext>
            </c:extLst>
          </c:dPt>
          <c:dPt>
            <c:idx val="5"/>
            <c:invertIfNegative val="0"/>
            <c:bubble3D val="0"/>
            <c:spPr>
              <a:solidFill>
                <a:srgbClr val="FFFF00"/>
              </a:solidFill>
              <a:ln>
                <a:noFill/>
              </a:ln>
              <a:effectLst/>
            </c:spPr>
            <c:extLst>
              <c:ext xmlns:c16="http://schemas.microsoft.com/office/drawing/2014/chart" uri="{C3380CC4-5D6E-409C-BE32-E72D297353CC}">
                <c16:uniqueId val="{00000000-8801-4487-AF41-40FCA1B4ACF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0.55531722153017071</c:v>
                </c:pt>
                <c:pt idx="1">
                  <c:v>0.65510371930358957</c:v>
                </c:pt>
                <c:pt idx="2">
                  <c:v>0.55721489320920936</c:v>
                </c:pt>
                <c:pt idx="3">
                  <c:v>0.47089768099188162</c:v>
                </c:pt>
                <c:pt idx="4">
                  <c:v>0.6882798055588667</c:v>
                </c:pt>
                <c:pt idx="5">
                  <c:v>0.50341569509571538</c:v>
                </c:pt>
              </c:numCache>
            </c:numRef>
          </c:val>
          <c:extLst>
            <c:ext xmlns:c16="http://schemas.microsoft.com/office/drawing/2014/chart" uri="{C3380CC4-5D6E-409C-BE32-E72D297353CC}">
              <c16:uniqueId val="{00000001-1B77-4F60-BAD1-3CFCB1A32D99}"/>
            </c:ext>
          </c:extLst>
        </c:ser>
        <c:ser>
          <c:idx val="2"/>
          <c:order val="2"/>
          <c:tx>
            <c:strRef>
              <c:f>'GRAFICAS SEGURIDAD HUMANA'!$F$4</c:f>
              <c:strCache>
                <c:ptCount val="1"/>
                <c:pt idx="0">
                  <c:v>LOGRO VIGENCIA  CORTE DICIEMBRE 31 DE 2025 RESPECTO AL CUATRIENIO</c:v>
                </c:pt>
              </c:strCache>
            </c:strRef>
          </c:tx>
          <c:spPr>
            <a:solidFill>
              <a:srgbClr val="6639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HUMANA'!$F$5:$F$10</c:f>
              <c:numCache>
                <c:formatCode>0.0%</c:formatCode>
                <c:ptCount val="6"/>
                <c:pt idx="0">
                  <c:v>0.52039961510956811</c:v>
                </c:pt>
                <c:pt idx="1">
                  <c:v>0.64063194152581171</c:v>
                </c:pt>
                <c:pt idx="2">
                  <c:v>0.51564037674127183</c:v>
                </c:pt>
                <c:pt idx="3">
                  <c:v>0.43842939618684557</c:v>
                </c:pt>
                <c:pt idx="4">
                  <c:v>0.62883910107787166</c:v>
                </c:pt>
                <c:pt idx="5">
                  <c:v>0.46829141731287866</c:v>
                </c:pt>
              </c:numCache>
            </c:numRef>
          </c:val>
          <c:extLst>
            <c:ext xmlns:c16="http://schemas.microsoft.com/office/drawing/2014/chart" uri="{C3380CC4-5D6E-409C-BE32-E72D297353CC}">
              <c16:uniqueId val="{00000002-1B77-4F60-BAD1-3CFCB1A32D99}"/>
            </c:ext>
          </c:extLst>
        </c:ser>
        <c:dLbls>
          <c:showLegendKey val="0"/>
          <c:showVal val="0"/>
          <c:showCatName val="0"/>
          <c:showSerName val="0"/>
          <c:showPercent val="0"/>
          <c:showBubbleSize val="0"/>
        </c:dLbls>
        <c:gapWidth val="219"/>
        <c:overlap val="-27"/>
        <c:axId val="428224240"/>
        <c:axId val="428225808"/>
      </c:barChart>
      <c:catAx>
        <c:axId val="42822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225808"/>
        <c:crosses val="autoZero"/>
        <c:auto val="1"/>
        <c:lblAlgn val="ctr"/>
        <c:lblOffset val="100"/>
        <c:noMultiLvlLbl val="0"/>
      </c:catAx>
      <c:valAx>
        <c:axId val="428225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28224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36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'SEGUIMIENTO DEL PLAN DE DESARRO'!$J$2</c:f>
              <c:strCache>
                <c:ptCount val="1"/>
                <c:pt idx="0">
                  <c:v>AVANCE ACUMULADO  CORTE  MARZO 2026 RESPECTO AL CUATRIENIO</c:v>
                </c:pt>
              </c:strCache>
            </c:strRef>
          </c:tx>
          <c:spPr>
            <a:solidFill>
              <a:schemeClr val="accent6">
                <a:lumMod val="40000"/>
                <a:lumOff val="60000"/>
              </a:schemeClr>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3-93AC-454A-8F4B-57C3627DBB2B}"/>
              </c:ext>
            </c:extLst>
          </c:dPt>
          <c:dPt>
            <c:idx val="3"/>
            <c:invertIfNegative val="0"/>
            <c:bubble3D val="0"/>
            <c:spPr>
              <a:solidFill>
                <a:srgbClr val="FFFF00"/>
              </a:solidFill>
              <a:ln>
                <a:noFill/>
              </a:ln>
              <a:effectLst/>
            </c:spPr>
            <c:extLst>
              <c:ext xmlns:c16="http://schemas.microsoft.com/office/drawing/2014/chart" uri="{C3380CC4-5D6E-409C-BE32-E72D297353CC}">
                <c16:uniqueId val="{00000004-93AC-454A-8F4B-57C3627DBB2B}"/>
              </c:ext>
            </c:extLst>
          </c:dPt>
          <c:dPt>
            <c:idx val="4"/>
            <c:invertIfNegative val="0"/>
            <c:bubble3D val="0"/>
            <c:spPr>
              <a:solidFill>
                <a:srgbClr val="FFFF00"/>
              </a:solidFill>
              <a:ln>
                <a:noFill/>
              </a:ln>
              <a:effectLst/>
            </c:spPr>
            <c:extLst>
              <c:ext xmlns:c16="http://schemas.microsoft.com/office/drawing/2014/chart" uri="{C3380CC4-5D6E-409C-BE32-E72D297353CC}">
                <c16:uniqueId val="{00000005-93AC-454A-8F4B-57C3627DBB2B}"/>
              </c:ext>
            </c:extLst>
          </c:dPt>
          <c:dPt>
            <c:idx val="6"/>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E-93AC-454A-8F4B-57C3627DBB2B}"/>
              </c:ext>
            </c:extLst>
          </c:dPt>
          <c:dLbls>
            <c:spPr>
              <a:no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DESARRO'!$J$3:$J$9</c:f>
              <c:numCache>
                <c:formatCode>0.0%</c:formatCode>
                <c:ptCount val="7"/>
                <c:pt idx="0">
                  <c:v>0.52319293972307812</c:v>
                </c:pt>
                <c:pt idx="1">
                  <c:v>0.55531722153017071</c:v>
                </c:pt>
                <c:pt idx="2">
                  <c:v>0.56537558510342345</c:v>
                </c:pt>
                <c:pt idx="3">
                  <c:v>0.52346057293872739</c:v>
                </c:pt>
                <c:pt idx="4">
                  <c:v>0.53358917072877365</c:v>
                </c:pt>
                <c:pt idx="5">
                  <c:v>0.58485635336926378</c:v>
                </c:pt>
                <c:pt idx="6">
                  <c:v>0.37655873466810963</c:v>
                </c:pt>
              </c:numCache>
            </c:numRef>
          </c:val>
          <c:extLst>
            <c:ext xmlns:c16="http://schemas.microsoft.com/office/drawing/2014/chart" uri="{C3380CC4-5D6E-409C-BE32-E72D297353CC}">
              <c16:uniqueId val="{00000000-9099-497A-B757-335262F726FE}"/>
            </c:ext>
          </c:extLst>
        </c:ser>
        <c:dLbls>
          <c:showLegendKey val="0"/>
          <c:showVal val="0"/>
          <c:showCatName val="0"/>
          <c:showSerName val="0"/>
          <c:showPercent val="0"/>
          <c:showBubbleSize val="0"/>
        </c:dLbls>
        <c:gapWidth val="219"/>
        <c:overlap val="-27"/>
        <c:axId val="2128535151"/>
        <c:axId val="2128535983"/>
      </c:barChart>
      <c:catAx>
        <c:axId val="2128535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000" b="0" i="0" u="none" strike="noStrike" kern="1200" baseline="0">
                <a:solidFill>
                  <a:schemeClr val="tx1">
                    <a:lumMod val="65000"/>
                    <a:lumOff val="35000"/>
                  </a:schemeClr>
                </a:solidFill>
                <a:latin typeface="+mn-lt"/>
                <a:ea typeface="+mn-ea"/>
                <a:cs typeface="+mn-cs"/>
              </a:defRPr>
            </a:pPr>
            <a:endParaRPr lang="es-CO"/>
          </a:p>
        </c:txPr>
        <c:crossAx val="2128535983"/>
        <c:crosses val="autoZero"/>
        <c:auto val="1"/>
        <c:lblAlgn val="ctr"/>
        <c:lblOffset val="100"/>
        <c:noMultiLvlLbl val="0"/>
      </c:catAx>
      <c:valAx>
        <c:axId val="21285359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3000" b="0" i="0" u="none" strike="noStrike" kern="1200" baseline="0">
                <a:solidFill>
                  <a:schemeClr val="tx1">
                    <a:lumMod val="65000"/>
                    <a:lumOff val="35000"/>
                  </a:schemeClr>
                </a:solidFill>
                <a:latin typeface="+mn-lt"/>
                <a:ea typeface="+mn-ea"/>
                <a:cs typeface="+mn-cs"/>
              </a:defRPr>
            </a:pPr>
            <a:endParaRPr lang="es-CO"/>
          </a:p>
        </c:txPr>
        <c:crossAx val="21285351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3000"/>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VIDA DIGNA.</a:t>
            </a:r>
            <a:r>
              <a:rPr lang="es-CO" sz="1100" b="1" baseline="0"/>
              <a:t> </a:t>
            </a:r>
            <a:r>
              <a:rPr lang="es-CO" sz="1200" b="1" baseline="0"/>
              <a:t>30 DE MARZO DE 2026</a:t>
            </a:r>
            <a:endParaRPr lang="es-CO" sz="1200" b="1"/>
          </a:p>
        </c:rich>
      </c:tx>
      <c:layout>
        <c:manualLayout>
          <c:xMode val="edge"/>
          <c:yMode val="edge"/>
          <c:x val="0.20033963065166632"/>
          <c:y val="1.98825965105484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2675878368101459E-2"/>
          <c:y val="9.5447848998745546E-2"/>
          <c:w val="0.94883335534024071"/>
          <c:h val="0.71554426995643372"/>
        </c:manualLayout>
      </c:layout>
      <c:barChart>
        <c:barDir val="col"/>
        <c:grouping val="clustered"/>
        <c:varyColors val="0"/>
        <c:ser>
          <c:idx val="0"/>
          <c:order val="0"/>
          <c:tx>
            <c:strRef>
              <c:f>'GRAFICAS VIDA DIGNA '!$D$4</c:f>
              <c:strCache>
                <c:ptCount val="1"/>
                <c:pt idx="0">
                  <c:v>ESPERADO  AL CUATRIENIO CORTE DICIEMBRE 2026</c:v>
                </c:pt>
              </c:strCache>
            </c:strRef>
          </c:tx>
          <c:spPr>
            <a:solidFill>
              <a:schemeClr val="tx2">
                <a:lumMod val="65000"/>
                <a:lumOff val="35000"/>
              </a:schemeClr>
            </a:solidFill>
            <a:ln>
              <a:noFill/>
            </a:ln>
            <a:effectLst/>
          </c:spPr>
          <c:invertIfNegative val="0"/>
          <c:dPt>
            <c:idx val="0"/>
            <c:invertIfNegative val="0"/>
            <c:bubble3D val="0"/>
            <c:spPr>
              <a:solidFill>
                <a:schemeClr val="tx2">
                  <a:lumMod val="65000"/>
                  <a:lumOff val="35000"/>
                </a:schemeClr>
              </a:solidFill>
              <a:ln>
                <a:noFill/>
              </a:ln>
              <a:effectLst/>
            </c:spPr>
            <c:extLst>
              <c:ext xmlns:c16="http://schemas.microsoft.com/office/drawing/2014/chart" uri="{C3380CC4-5D6E-409C-BE32-E72D297353CC}">
                <c16:uniqueId val="{00000001-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0.82276088820641258</c:v>
                </c:pt>
                <c:pt idx="1">
                  <c:v>0.77414858915772211</c:v>
                </c:pt>
                <c:pt idx="2">
                  <c:v>0.8285663941096183</c:v>
                </c:pt>
                <c:pt idx="3">
                  <c:v>0.58509444444444447</c:v>
                </c:pt>
                <c:pt idx="4">
                  <c:v>0.9703589812832929</c:v>
                </c:pt>
                <c:pt idx="5">
                  <c:v>0.85953944293246254</c:v>
                </c:pt>
                <c:pt idx="6">
                  <c:v>0.91885747731093426</c:v>
                </c:pt>
              </c:numCache>
            </c:numRef>
          </c:val>
          <c:extLst>
            <c:ext xmlns:c16="http://schemas.microsoft.com/office/drawing/2014/chart" uri="{C3380CC4-5D6E-409C-BE32-E72D297353CC}">
              <c16:uniqueId val="{00000000-33E6-47EB-A365-58958BF7B656}"/>
            </c:ext>
          </c:extLst>
        </c:ser>
        <c:ser>
          <c:idx val="1"/>
          <c:order val="1"/>
          <c:tx>
            <c:strRef>
              <c:f>'GRAFICAS VIDA DIGNA '!$E$4</c:f>
              <c:strCache>
                <c:ptCount val="1"/>
                <c:pt idx="0">
                  <c:v>LOGRO  CORTE  30 DE MARZO DE 2026 RESPECTO AL CUATRIENIO</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17E4-4F84-9765-CD5E0AE80E52}"/>
              </c:ext>
            </c:extLst>
          </c:dPt>
          <c:dPt>
            <c:idx val="1"/>
            <c:invertIfNegative val="0"/>
            <c:bubble3D val="0"/>
            <c:spPr>
              <a:solidFill>
                <a:srgbClr val="FFFF00"/>
              </a:solidFill>
              <a:ln>
                <a:noFill/>
              </a:ln>
              <a:effectLst/>
            </c:spPr>
            <c:extLst>
              <c:ext xmlns:c16="http://schemas.microsoft.com/office/drawing/2014/chart" uri="{C3380CC4-5D6E-409C-BE32-E72D297353CC}">
                <c16:uniqueId val="{0000000C-532B-4FCA-9CB3-60C1949D9DBF}"/>
              </c:ext>
            </c:extLst>
          </c:dPt>
          <c:dPt>
            <c:idx val="2"/>
            <c:invertIfNegative val="0"/>
            <c:bubble3D val="0"/>
            <c:spPr>
              <a:solidFill>
                <a:srgbClr val="FFFF00"/>
              </a:solidFill>
              <a:ln>
                <a:noFill/>
              </a:ln>
              <a:effectLst/>
            </c:spPr>
            <c:extLst>
              <c:ext xmlns:c16="http://schemas.microsoft.com/office/drawing/2014/chart" uri="{C3380CC4-5D6E-409C-BE32-E72D297353CC}">
                <c16:uniqueId val="{0000000A-DBF4-4219-A2B6-01F51F733681}"/>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DBF4-4219-A2B6-01F51F733681}"/>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6B3B-4907-A15B-5224CC031147}"/>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6B3B-4907-A15B-5224CC031147}"/>
              </c:ext>
            </c:extLst>
          </c:dPt>
          <c:dPt>
            <c:idx val="6"/>
            <c:invertIfNegative val="0"/>
            <c:bubble3D val="0"/>
            <c:spPr>
              <a:solidFill>
                <a:srgbClr val="00B050"/>
              </a:solidFill>
              <a:ln>
                <a:noFill/>
              </a:ln>
              <a:effectLst/>
            </c:spPr>
            <c:extLst>
              <c:ext xmlns:c16="http://schemas.microsoft.com/office/drawing/2014/chart" uri="{C3380CC4-5D6E-409C-BE32-E72D297353CC}">
                <c16:uniqueId val="{00000006-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0.56537558510342345</c:v>
                </c:pt>
                <c:pt idx="1">
                  <c:v>0.54582005569608971</c:v>
                </c:pt>
                <c:pt idx="2">
                  <c:v>0.51462158645123768</c:v>
                </c:pt>
                <c:pt idx="3">
                  <c:v>0.25251470588235292</c:v>
                </c:pt>
                <c:pt idx="4">
                  <c:v>0.68989500147009652</c:v>
                </c:pt>
                <c:pt idx="5">
                  <c:v>0.6398917654659394</c:v>
                </c:pt>
                <c:pt idx="6">
                  <c:v>0.74951039565482447</c:v>
                </c:pt>
              </c:numCache>
            </c:numRef>
          </c:val>
          <c:extLst>
            <c:ext xmlns:c16="http://schemas.microsoft.com/office/drawing/2014/chart" uri="{C3380CC4-5D6E-409C-BE32-E72D297353CC}">
              <c16:uniqueId val="{00000001-33E6-47EB-A365-58958BF7B656}"/>
            </c:ext>
          </c:extLst>
        </c:ser>
        <c:dLbls>
          <c:showLegendKey val="0"/>
          <c:showVal val="0"/>
          <c:showCatName val="0"/>
          <c:showSerName val="0"/>
          <c:showPercent val="0"/>
          <c:showBubbleSize val="0"/>
        </c:dLbls>
        <c:gapWidth val="219"/>
        <c:overlap val="-27"/>
        <c:axId val="428226592"/>
        <c:axId val="426796472"/>
      </c:barChart>
      <c:catAx>
        <c:axId val="42822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6796472"/>
        <c:crosses val="autoZero"/>
        <c:auto val="1"/>
        <c:lblAlgn val="ctr"/>
        <c:lblOffset val="100"/>
        <c:noMultiLvlLbl val="0"/>
      </c:catAx>
      <c:valAx>
        <c:axId val="426796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6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r>
              <a:rPr lang="es-CO" sz="1100" b="1" i="0" baseline="0">
                <a:effectLst/>
              </a:rPr>
              <a:t>AVANCE RESPECTO AL CUATRIENIO DE LOS COMPONENTES </a:t>
            </a:r>
            <a:r>
              <a:rPr lang="es-CO" sz="1100" b="1" i="0" u="none" strike="noStrike" kern="1200" spc="0" baseline="0">
                <a:solidFill>
                  <a:srgbClr val="000000">
                    <a:lumMod val="65000"/>
                    <a:lumOff val="35000"/>
                  </a:srgbClr>
                </a:solidFill>
                <a:effectLst/>
                <a:latin typeface="+mn-lt"/>
                <a:ea typeface="+mn-ea"/>
                <a:cs typeface="+mn-cs"/>
              </a:rPr>
              <a:t>IMPULSORES LINEA ESTRATEGICA VIDA DIGNA. 30 DE MARZO DE 2026. PONDERADOR.</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'!$N$5</c:f>
              <c:strCache>
                <c:ptCount val="1"/>
                <c:pt idx="0">
                  <c:v>ESPERADO VIGENCIA  2026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'!$N$6:$N$12</c:f>
              <c:numCache>
                <c:formatCode>0.0%</c:formatCode>
                <c:ptCount val="7"/>
                <c:pt idx="0">
                  <c:v>0.46592771805295358</c:v>
                </c:pt>
                <c:pt idx="1">
                  <c:v>0.58697744868725876</c:v>
                </c:pt>
                <c:pt idx="2">
                  <c:v>0.33422682157751127</c:v>
                </c:pt>
                <c:pt idx="3">
                  <c:v>0.32045196078431371</c:v>
                </c:pt>
                <c:pt idx="4">
                  <c:v>0.66691442644710563</c:v>
                </c:pt>
                <c:pt idx="5">
                  <c:v>0.51072814095047869</c:v>
                </c:pt>
                <c:pt idx="6">
                  <c:v>0.46651797413887564</c:v>
                </c:pt>
              </c:numCache>
            </c:numRef>
          </c:val>
          <c:extLst>
            <c:ext xmlns:c16="http://schemas.microsoft.com/office/drawing/2014/chart" uri="{C3380CC4-5D6E-409C-BE32-E72D297353CC}">
              <c16:uniqueId val="{00000000-596F-4C78-9634-B52A345DD473}"/>
            </c:ext>
          </c:extLst>
        </c:ser>
        <c:ser>
          <c:idx val="1"/>
          <c:order val="1"/>
          <c:tx>
            <c:strRef>
              <c:f>'GRAFICAS VIDA DIGNA '!$O$5</c:f>
              <c:strCache>
                <c:ptCount val="1"/>
                <c:pt idx="0">
                  <c:v>LOGRO CORTE 30 DE MARZO DE 2026 RESPECTO AL CUATRIENIO</c:v>
                </c:pt>
              </c:strCache>
            </c:strRef>
          </c:tx>
          <c:spPr>
            <a:solidFill>
              <a:schemeClr val="accent2"/>
            </a:solidFill>
            <a:ln>
              <a:noFill/>
            </a:ln>
            <a:effectLst/>
          </c:spPr>
          <c:invertIfNegative val="0"/>
          <c:dLbls>
            <c:dLbl>
              <c:idx val="3"/>
              <c:layout>
                <c:manualLayout>
                  <c:x val="1.2437810945273632E-2"/>
                  <c:y val="1.1376564277588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6F-4C78-9634-B52A345DD4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'!$O$6:$O$12</c:f>
              <c:numCache>
                <c:formatCode>0.0%</c:formatCode>
                <c:ptCount val="7"/>
                <c:pt idx="0">
                  <c:v>0.53288230613882503</c:v>
                </c:pt>
                <c:pt idx="1">
                  <c:v>0.49742369396749242</c:v>
                </c:pt>
                <c:pt idx="2">
                  <c:v>0.50564363336259133</c:v>
                </c:pt>
                <c:pt idx="3">
                  <c:v>0.23122964705882354</c:v>
                </c:pt>
                <c:pt idx="4">
                  <c:v>0.54159010199257906</c:v>
                </c:pt>
                <c:pt idx="5">
                  <c:v>0.57005983057417897</c:v>
                </c:pt>
                <c:pt idx="6">
                  <c:v>0.7647825899514209</c:v>
                </c:pt>
              </c:numCache>
            </c:numRef>
          </c:val>
          <c:extLst>
            <c:ext xmlns:c16="http://schemas.microsoft.com/office/drawing/2014/chart" uri="{C3380CC4-5D6E-409C-BE32-E72D297353CC}">
              <c16:uniqueId val="{00000001-596F-4C78-9634-B52A345DD473}"/>
            </c:ext>
          </c:extLst>
        </c:ser>
        <c:dLbls>
          <c:showLegendKey val="0"/>
          <c:showVal val="0"/>
          <c:showCatName val="0"/>
          <c:showSerName val="0"/>
          <c:showPercent val="0"/>
          <c:showBubbleSize val="0"/>
        </c:dLbls>
        <c:gapWidth val="219"/>
        <c:overlap val="-27"/>
        <c:axId val="426798040"/>
        <c:axId val="426798432"/>
      </c:barChart>
      <c:catAx>
        <c:axId val="4267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8432"/>
        <c:crosses val="autoZero"/>
        <c:auto val="1"/>
        <c:lblAlgn val="ctr"/>
        <c:lblOffset val="100"/>
        <c:noMultiLvlLbl val="0"/>
      </c:catAx>
      <c:valAx>
        <c:axId val="426798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8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Acceso a Servicios Públicos Básicos Avance Ponderado </a:t>
            </a:r>
            <a:r>
              <a:rPr lang="en-US" sz="1400" b="0" i="0" u="none" strike="noStrike" baseline="0">
                <a:effectLst/>
              </a:rPr>
              <a:t>30 de marzo 2026</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806323069040229E-2"/>
          <c:y val="0.12172106387384812"/>
          <c:w val="0.94519367693095979"/>
          <c:h val="0.79189058004983648"/>
        </c:manualLayout>
      </c:layout>
      <c:barChart>
        <c:barDir val="col"/>
        <c:grouping val="clustered"/>
        <c:varyColors val="0"/>
        <c:ser>
          <c:idx val="0"/>
          <c:order val="0"/>
          <c:tx>
            <c:strRef>
              <c:f>'GRAFICAS VIDA DIGNA '!$D$56</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'!$D$57:$D$60</c:f>
              <c:numCache>
                <c:formatCode>0.0%</c:formatCode>
                <c:ptCount val="4"/>
                <c:pt idx="0">
                  <c:v>0.50564363336259133</c:v>
                </c:pt>
                <c:pt idx="1">
                  <c:v>0.47510073817883236</c:v>
                </c:pt>
                <c:pt idx="2">
                  <c:v>0.54849107142857145</c:v>
                </c:pt>
                <c:pt idx="3">
                  <c:v>0.49128833333333338</c:v>
                </c:pt>
              </c:numCache>
            </c:numRef>
          </c:val>
          <c:extLst>
            <c:ext xmlns:c16="http://schemas.microsoft.com/office/drawing/2014/chart" uri="{C3380CC4-5D6E-409C-BE32-E72D297353CC}">
              <c16:uniqueId val="{00000000-97FE-4DCB-A3BD-D280D7E1DCD4}"/>
            </c:ext>
          </c:extLst>
        </c:ser>
        <c:dLbls>
          <c:showLegendKey val="0"/>
          <c:showVal val="0"/>
          <c:showCatName val="0"/>
          <c:showSerName val="0"/>
          <c:showPercent val="0"/>
          <c:showBubbleSize val="0"/>
        </c:dLbls>
        <c:gapWidth val="219"/>
        <c:overlap val="-27"/>
        <c:axId val="426796864"/>
        <c:axId val="426798824"/>
      </c:barChart>
      <c:catAx>
        <c:axId val="42679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6798824"/>
        <c:crosses val="autoZero"/>
        <c:auto val="1"/>
        <c:lblAlgn val="ctr"/>
        <c:lblOffset val="100"/>
        <c:noMultiLvlLbl val="0"/>
      </c:catAx>
      <c:valAx>
        <c:axId val="426798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6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Vivienda Digna y Hábitat</a:t>
            </a:r>
            <a:r>
              <a:rPr lang="en-US" baseline="0"/>
              <a:t> Avance ponderado </a:t>
            </a:r>
            <a:r>
              <a:rPr lang="en-US" sz="1400" b="0" i="0" u="none" strike="noStrike" baseline="0">
                <a:effectLst/>
              </a:rPr>
              <a:t>30 de marzo 2026</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3667041619797521E-2"/>
          <c:y val="0.17171296296296296"/>
          <c:w val="0.90693260564651645"/>
          <c:h val="0.57996157611959942"/>
        </c:manualLayout>
      </c:layout>
      <c:barChart>
        <c:barDir val="col"/>
        <c:grouping val="clustered"/>
        <c:varyColors val="0"/>
        <c:ser>
          <c:idx val="0"/>
          <c:order val="0"/>
          <c:tx>
            <c:strRef>
              <c:f>'GRAFICAS VIDA DIGNA '!$D$71</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'!$D$72:$D$76</c:f>
              <c:numCache>
                <c:formatCode>0.0%</c:formatCode>
                <c:ptCount val="5"/>
                <c:pt idx="0">
                  <c:v>0.23122964705882354</c:v>
                </c:pt>
                <c:pt idx="1">
                  <c:v>8.6699999999999999E-2</c:v>
                </c:pt>
                <c:pt idx="2">
                  <c:v>0.28572549019607846</c:v>
                </c:pt>
                <c:pt idx="3">
                  <c:v>0.31440000000000001</c:v>
                </c:pt>
                <c:pt idx="4">
                  <c:v>0.28311000000000003</c:v>
                </c:pt>
              </c:numCache>
            </c:numRef>
          </c:val>
          <c:extLst>
            <c:ext xmlns:c16="http://schemas.microsoft.com/office/drawing/2014/chart" uri="{C3380CC4-5D6E-409C-BE32-E72D297353CC}">
              <c16:uniqueId val="{00000000-E341-4A3A-9E62-E1094E5DD3BF}"/>
            </c:ext>
          </c:extLst>
        </c:ser>
        <c:dLbls>
          <c:showLegendKey val="0"/>
          <c:showVal val="0"/>
          <c:showCatName val="0"/>
          <c:showSerName val="0"/>
          <c:showPercent val="0"/>
          <c:showBubbleSize val="0"/>
        </c:dLbls>
        <c:gapWidth val="219"/>
        <c:overlap val="-27"/>
        <c:axId val="426794512"/>
        <c:axId val="426797256"/>
      </c:barChart>
      <c:catAx>
        <c:axId val="42679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7256"/>
        <c:crosses val="autoZero"/>
        <c:auto val="1"/>
        <c:lblAlgn val="ctr"/>
        <c:lblOffset val="100"/>
        <c:noMultiLvlLbl val="0"/>
      </c:catAx>
      <c:valAx>
        <c:axId val="426797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Artes,</a:t>
            </a:r>
            <a:r>
              <a:rPr lang="en-US" baseline="0"/>
              <a:t> Cultura y Patrimonio </a:t>
            </a:r>
            <a:r>
              <a:rPr lang="en-US"/>
              <a:t>Avance</a:t>
            </a:r>
            <a:r>
              <a:rPr lang="en-US" baseline="0"/>
              <a:t> ponderado </a:t>
            </a:r>
            <a:r>
              <a:rPr lang="en-US" sz="1400" b="0" i="0" u="none" strike="noStrike" baseline="0">
                <a:effectLst/>
              </a:rPr>
              <a:t>30 de marzo de 2026</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'!$D$80</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'!$D$81:$D$86</c:f>
              <c:numCache>
                <c:formatCode>0.00%</c:formatCode>
                <c:ptCount val="6"/>
                <c:pt idx="0">
                  <c:v>0.54159010199257906</c:v>
                </c:pt>
                <c:pt idx="1">
                  <c:v>0.53086108071600402</c:v>
                </c:pt>
                <c:pt idx="2">
                  <c:v>0.99</c:v>
                </c:pt>
                <c:pt idx="3">
                  <c:v>0.59612777777777781</c:v>
                </c:pt>
                <c:pt idx="4">
                  <c:v>0.66539999999999999</c:v>
                </c:pt>
                <c:pt idx="5">
                  <c:v>0.63483000000000012</c:v>
                </c:pt>
              </c:numCache>
            </c:numRef>
          </c:val>
          <c:extLst>
            <c:ext xmlns:c16="http://schemas.microsoft.com/office/drawing/2014/chart" uri="{C3380CC4-5D6E-409C-BE32-E72D297353CC}">
              <c16:uniqueId val="{00000000-D4A7-40D5-96E4-8C19C95B0605}"/>
            </c:ext>
          </c:extLst>
        </c:ser>
        <c:dLbls>
          <c:showLegendKey val="0"/>
          <c:showVal val="0"/>
          <c:showCatName val="0"/>
          <c:showSerName val="0"/>
          <c:showPercent val="0"/>
          <c:showBubbleSize val="0"/>
        </c:dLbls>
        <c:gapWidth val="219"/>
        <c:overlap val="-27"/>
        <c:axId val="426797648"/>
        <c:axId val="426800000"/>
      </c:barChart>
      <c:catAx>
        <c:axId val="42679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6800000"/>
        <c:crosses val="autoZero"/>
        <c:auto val="1"/>
        <c:lblAlgn val="ctr"/>
        <c:lblOffset val="100"/>
        <c:noMultiLvlLbl val="0"/>
      </c:catAx>
      <c:valAx>
        <c:axId val="4268000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7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Deporte y Recreación Avance ponderado corte </a:t>
            </a:r>
            <a:r>
              <a:rPr lang="en-US" sz="1400" b="0" i="0" u="none" strike="noStrike" baseline="0">
                <a:effectLst/>
              </a:rPr>
              <a:t>30 de marzo de 2026</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'!$D$91</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'!$D$92:$D$99</c:f>
              <c:numCache>
                <c:formatCode>0.0%</c:formatCode>
                <c:ptCount val="8"/>
                <c:pt idx="0">
                  <c:v>0.57005983057417897</c:v>
                </c:pt>
                <c:pt idx="1">
                  <c:v>0.51874999999999993</c:v>
                </c:pt>
                <c:pt idx="2">
                  <c:v>0.37106007067137808</c:v>
                </c:pt>
                <c:pt idx="3">
                  <c:v>0.61000697674418602</c:v>
                </c:pt>
                <c:pt idx="4">
                  <c:v>0.76228598081023446</c:v>
                </c:pt>
                <c:pt idx="5">
                  <c:v>0.56947540983606559</c:v>
                </c:pt>
                <c:pt idx="6">
                  <c:v>0.77103736111111121</c:v>
                </c:pt>
                <c:pt idx="7">
                  <c:v>0.86009487179487176</c:v>
                </c:pt>
              </c:numCache>
            </c:numRef>
          </c:val>
          <c:extLst>
            <c:ext xmlns:c16="http://schemas.microsoft.com/office/drawing/2014/chart" uri="{C3380CC4-5D6E-409C-BE32-E72D297353CC}">
              <c16:uniqueId val="{00000000-ABBA-480B-A84C-F9FD1136DE88}"/>
            </c:ext>
          </c:extLst>
        </c:ser>
        <c:dLbls>
          <c:showLegendKey val="0"/>
          <c:showVal val="0"/>
          <c:showCatName val="0"/>
          <c:showSerName val="0"/>
          <c:showPercent val="0"/>
          <c:showBubbleSize val="0"/>
        </c:dLbls>
        <c:gapWidth val="219"/>
        <c:overlap val="-27"/>
        <c:axId val="426794904"/>
        <c:axId val="426795296"/>
      </c:barChart>
      <c:catAx>
        <c:axId val="42679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6795296"/>
        <c:crosses val="autoZero"/>
        <c:auto val="1"/>
        <c:lblAlgn val="ctr"/>
        <c:lblOffset val="100"/>
        <c:noMultiLvlLbl val="0"/>
      </c:catAx>
      <c:valAx>
        <c:axId val="426795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r>
              <a:rPr lang="en-US" sz="1100" b="1"/>
              <a:t>AVANCE   LINEA ESTRATEGICA </a:t>
            </a:r>
            <a:r>
              <a:rPr lang="en-US" sz="1100" b="1" i="0" u="none" strike="noStrike" baseline="0">
                <a:effectLst/>
              </a:rPr>
              <a:t>VIDA DIGNA. COMPONENTES IMPULSORES DE AVANCE. </a:t>
            </a:r>
            <a:r>
              <a:rPr lang="en-US" sz="1100" b="1"/>
              <a:t> VIGENCIA 2026.</a:t>
            </a:r>
            <a:r>
              <a:rPr lang="en-US" sz="1100" b="1" baseline="0"/>
              <a:t> </a:t>
            </a:r>
            <a:r>
              <a:rPr lang="en-US" sz="1100" b="1"/>
              <a:t> </a:t>
            </a:r>
            <a:r>
              <a:rPr lang="en-US" sz="1100" b="1" i="0" u="none" strike="noStrike" kern="1200" spc="0" baseline="0">
                <a:solidFill>
                  <a:srgbClr val="000000">
                    <a:lumMod val="65000"/>
                    <a:lumOff val="35000"/>
                  </a:srgbClr>
                </a:solidFill>
                <a:effectLst/>
                <a:latin typeface="+mn-lt"/>
                <a:ea typeface="+mn-ea"/>
                <a:cs typeface="+mn-cs"/>
              </a:rPr>
              <a:t>CORTE </a:t>
            </a:r>
            <a:r>
              <a:rPr lang="es-CO" sz="1100" b="1" i="0" u="none" strike="noStrike" kern="1200" spc="0" baseline="0">
                <a:solidFill>
                  <a:srgbClr val="000000">
                    <a:lumMod val="65000"/>
                    <a:lumOff val="35000"/>
                  </a:srgbClr>
                </a:solidFill>
                <a:effectLst/>
                <a:latin typeface="+mn-lt"/>
                <a:ea typeface="+mn-ea"/>
                <a:cs typeface="+mn-cs"/>
              </a:rPr>
              <a:t>30 DE MARZO </a:t>
            </a: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'!$D$113</c:f>
              <c:strCache>
                <c:ptCount val="1"/>
                <c:pt idx="0">
                  <c:v>AVANCE  PARCIAL VIGENCIA  CORTE 30 DE MARZO DE 2026</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9-1BF3-47DB-9239-A5F4E34A90A0}"/>
              </c:ext>
            </c:extLst>
          </c:dPt>
          <c:dPt>
            <c:idx val="1"/>
            <c:invertIfNegative val="0"/>
            <c:bubble3D val="0"/>
            <c:spPr>
              <a:solidFill>
                <a:srgbClr val="00B050"/>
              </a:solidFill>
              <a:ln>
                <a:noFill/>
              </a:ln>
              <a:effectLst/>
            </c:spPr>
            <c:extLst>
              <c:ext xmlns:c16="http://schemas.microsoft.com/office/drawing/2014/chart" uri="{C3380CC4-5D6E-409C-BE32-E72D297353CC}">
                <c16:uniqueId val="{00000006-1BF3-47DB-9239-A5F4E34A90A0}"/>
              </c:ext>
            </c:extLst>
          </c:dPt>
          <c:dPt>
            <c:idx val="2"/>
            <c:invertIfNegative val="0"/>
            <c:bubble3D val="0"/>
            <c:spPr>
              <a:solidFill>
                <a:srgbClr val="00B050"/>
              </a:solidFill>
              <a:ln>
                <a:noFill/>
              </a:ln>
              <a:effectLst/>
            </c:spPr>
            <c:extLst>
              <c:ext xmlns:c16="http://schemas.microsoft.com/office/drawing/2014/chart" uri="{C3380CC4-5D6E-409C-BE32-E72D297353CC}">
                <c16:uniqueId val="{00000003-1BF3-47DB-9239-A5F4E34A90A0}"/>
              </c:ext>
            </c:extLst>
          </c:dPt>
          <c:dPt>
            <c:idx val="3"/>
            <c:invertIfNegative val="0"/>
            <c:bubble3D val="0"/>
            <c:spPr>
              <a:solidFill>
                <a:srgbClr val="00B050"/>
              </a:solidFill>
              <a:ln>
                <a:noFill/>
              </a:ln>
              <a:effectLst/>
            </c:spPr>
            <c:extLst>
              <c:ext xmlns:c16="http://schemas.microsoft.com/office/drawing/2014/chart" uri="{C3380CC4-5D6E-409C-BE32-E72D297353CC}">
                <c16:uniqueId val="{0000000B-1BF3-47DB-9239-A5F4E34A90A0}"/>
              </c:ext>
            </c:extLst>
          </c:dPt>
          <c:dPt>
            <c:idx val="4"/>
            <c:invertIfNegative val="0"/>
            <c:bubble3D val="0"/>
            <c:spPr>
              <a:solidFill>
                <a:srgbClr val="FFFF00"/>
              </a:solidFill>
              <a:ln>
                <a:noFill/>
              </a:ln>
              <a:effectLst/>
            </c:spPr>
            <c:extLst>
              <c:ext xmlns:c16="http://schemas.microsoft.com/office/drawing/2014/chart" uri="{C3380CC4-5D6E-409C-BE32-E72D297353CC}">
                <c16:uniqueId val="{0000000D-1BF3-47DB-9239-A5F4E34A90A0}"/>
              </c:ext>
            </c:extLst>
          </c:dPt>
          <c:dPt>
            <c:idx val="5"/>
            <c:invertIfNegative val="0"/>
            <c:bubble3D val="0"/>
            <c:spPr>
              <a:solidFill>
                <a:srgbClr val="00B050"/>
              </a:solidFill>
              <a:ln>
                <a:noFill/>
              </a:ln>
              <a:effectLst/>
            </c:spPr>
            <c:extLst>
              <c:ext xmlns:c16="http://schemas.microsoft.com/office/drawing/2014/chart" uri="{C3380CC4-5D6E-409C-BE32-E72D297353CC}">
                <c16:uniqueId val="{0000000E-1BF3-47DB-9239-A5F4E34A90A0}"/>
              </c:ext>
            </c:extLst>
          </c:dPt>
          <c:dPt>
            <c:idx val="6"/>
            <c:invertIfNegative val="0"/>
            <c:bubble3D val="0"/>
            <c:spPr>
              <a:solidFill>
                <a:srgbClr val="00B050"/>
              </a:solidFill>
              <a:ln>
                <a:noFill/>
              </a:ln>
              <a:effectLst/>
            </c:spPr>
            <c:extLst>
              <c:ext xmlns:c16="http://schemas.microsoft.com/office/drawing/2014/chart" uri="{C3380CC4-5D6E-409C-BE32-E72D297353CC}">
                <c16:uniqueId val="{00000010-1BF3-47DB-9239-A5F4E34A90A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'GRAFICAS VIDA DIGNA '!$C$114:$C$120</c:f>
              <c:strCache>
                <c:ptCount val="7"/>
                <c:pt idx="0">
                  <c:v> VIDA DIGNA
</c:v>
                </c:pt>
                <c:pt idx="1">
                  <c:v> Educación
</c:v>
                </c:pt>
                <c:pt idx="2">
                  <c:v> Acceso a Servicios Básicos
</c:v>
                </c:pt>
                <c:pt idx="3">
                  <c:v> Vivienda Digna y Hábitat
</c:v>
                </c:pt>
                <c:pt idx="4">
                  <c:v>Artes, Cultura y Patrimonio
</c:v>
                </c:pt>
                <c:pt idx="5">
                  <c:v> Infancia, Adolescencia y Familia
</c:v>
                </c:pt>
                <c:pt idx="6">
                  <c:v>Deporte y Recreación
</c:v>
                </c:pt>
              </c:strCache>
            </c:strRef>
          </c:cat>
          <c:val>
            <c:numRef>
              <c:f>'GRAFICAS VIDA DIGNA '!$D$114:$D$120</c:f>
              <c:numCache>
                <c:formatCode>0.0%</c:formatCode>
                <c:ptCount val="7"/>
                <c:pt idx="0">
                  <c:v>0.27856668470614288</c:v>
                </c:pt>
                <c:pt idx="1">
                  <c:v>0.31459107233382766</c:v>
                </c:pt>
                <c:pt idx="2">
                  <c:v>0.36923564775930373</c:v>
                </c:pt>
                <c:pt idx="3">
                  <c:v>0.27728498276195812</c:v>
                </c:pt>
                <c:pt idx="4">
                  <c:v>0.18142593292338735</c:v>
                </c:pt>
                <c:pt idx="5">
                  <c:v>0.28487241054613938</c:v>
                </c:pt>
                <c:pt idx="6">
                  <c:v>0.24399006191224096</c:v>
                </c:pt>
              </c:numCache>
            </c:numRef>
          </c:val>
          <c:extLst>
            <c:ext xmlns:c16="http://schemas.microsoft.com/office/drawing/2014/chart" uri="{C3380CC4-5D6E-409C-BE32-E72D297353CC}">
              <c16:uniqueId val="{00000000-1BF3-47DB-9239-A5F4E34A90A0}"/>
            </c:ext>
          </c:extLst>
        </c:ser>
        <c:dLbls>
          <c:showLegendKey val="0"/>
          <c:showVal val="0"/>
          <c:showCatName val="0"/>
          <c:showSerName val="0"/>
          <c:showPercent val="0"/>
          <c:showBubbleSize val="0"/>
        </c:dLbls>
        <c:gapWidth val="219"/>
        <c:overlap val="-27"/>
        <c:axId val="426796080"/>
        <c:axId val="426801176"/>
      </c:barChart>
      <c:catAx>
        <c:axId val="42679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6801176"/>
        <c:crosses val="autoZero"/>
        <c:auto val="1"/>
        <c:lblAlgn val="ctr"/>
        <c:lblOffset val="100"/>
        <c:noMultiLvlLbl val="0"/>
      </c:catAx>
      <c:valAx>
        <c:axId val="426801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679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Componentes Impulsores del avance: Educación</a:t>
            </a:r>
            <a:r>
              <a:rPr lang="en-US" baseline="0"/>
              <a:t> avance ponderado corte 30 de marzo de 2026.</a:t>
            </a:r>
            <a:endParaRPr lang="en-US"/>
          </a:p>
        </c:rich>
      </c:tx>
      <c:layout>
        <c:manualLayout>
          <c:xMode val="edge"/>
          <c:yMode val="edge"/>
          <c:x val="0.22190596001284454"/>
          <c:y val="7.054080730158453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'!$D$36</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'!$D$37:$D$53</c:f>
              <c:numCache>
                <c:formatCode>0.0%</c:formatCode>
                <c:ptCount val="17"/>
                <c:pt idx="0">
                  <c:v>0.49742369396749242</c:v>
                </c:pt>
                <c:pt idx="1">
                  <c:v>0.38286666666666669</c:v>
                </c:pt>
                <c:pt idx="2">
                  <c:v>0.73452380952380958</c:v>
                </c:pt>
                <c:pt idx="3">
                  <c:v>0.53328957991303627</c:v>
                </c:pt>
                <c:pt idx="4">
                  <c:v>0.67562312072525499</c:v>
                </c:pt>
                <c:pt idx="5">
                  <c:v>0.90011682242990654</c:v>
                </c:pt>
                <c:pt idx="6">
                  <c:v>0.71393939393939398</c:v>
                </c:pt>
                <c:pt idx="7">
                  <c:v>0.57991048593350381</c:v>
                </c:pt>
                <c:pt idx="8">
                  <c:v>0.56065490510558669</c:v>
                </c:pt>
                <c:pt idx="9">
                  <c:v>0.33333333333333331</c:v>
                </c:pt>
                <c:pt idx="10">
                  <c:v>0.90074999999999994</c:v>
                </c:pt>
                <c:pt idx="11">
                  <c:v>0.45887850467289726</c:v>
                </c:pt>
                <c:pt idx="12">
                  <c:v>0.36099477124183005</c:v>
                </c:pt>
                <c:pt idx="13">
                  <c:v>0.50581578947368422</c:v>
                </c:pt>
                <c:pt idx="14">
                  <c:v>0.4882352941176471</c:v>
                </c:pt>
                <c:pt idx="15">
                  <c:v>9.6897940913160258E-2</c:v>
                </c:pt>
                <c:pt idx="16">
                  <c:v>0.74558333333333326</c:v>
                </c:pt>
              </c:numCache>
            </c:numRef>
          </c:val>
          <c:extLst>
            <c:ext xmlns:c16="http://schemas.microsoft.com/office/drawing/2014/chart" uri="{C3380CC4-5D6E-409C-BE32-E72D297353CC}">
              <c16:uniqueId val="{00000000-F18F-4278-B207-958F8E23F81E}"/>
            </c:ext>
          </c:extLst>
        </c:ser>
        <c:dLbls>
          <c:showLegendKey val="0"/>
          <c:showVal val="0"/>
          <c:showCatName val="0"/>
          <c:showSerName val="0"/>
          <c:showPercent val="0"/>
          <c:showBubbleSize val="0"/>
        </c:dLbls>
        <c:gapWidth val="219"/>
        <c:overlap val="-27"/>
        <c:axId val="429232488"/>
        <c:axId val="429229744"/>
      </c:barChart>
      <c:catAx>
        <c:axId val="429232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9229744"/>
        <c:crosses val="autoZero"/>
        <c:auto val="1"/>
        <c:lblAlgn val="ctr"/>
        <c:lblOffset val="100"/>
        <c:noMultiLvlLbl val="0"/>
      </c:catAx>
      <c:valAx>
        <c:axId val="429229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2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Infancia, Adolescencia y Familia Avance ponderado corte </a:t>
            </a:r>
            <a:r>
              <a:rPr lang="en-US" sz="1400" b="0" i="0" u="none" strike="noStrike" baseline="0">
                <a:effectLst/>
              </a:rPr>
              <a:t>30 de marzo 2026</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'!$D$102</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'!$D$103:$D$106</c:f>
              <c:numCache>
                <c:formatCode>0.0%</c:formatCode>
                <c:ptCount val="4"/>
                <c:pt idx="0">
                  <c:v>0.7647825899514209</c:v>
                </c:pt>
                <c:pt idx="1">
                  <c:v>0.78121367009638698</c:v>
                </c:pt>
                <c:pt idx="2">
                  <c:v>0.46282430555555554</c:v>
                </c:pt>
                <c:pt idx="3">
                  <c:v>0.87477984817115262</c:v>
                </c:pt>
              </c:numCache>
            </c:numRef>
          </c:val>
          <c:extLst>
            <c:ext xmlns:c16="http://schemas.microsoft.com/office/drawing/2014/chart" uri="{C3380CC4-5D6E-409C-BE32-E72D297353CC}">
              <c16:uniqueId val="{00000000-6023-41B7-ACCF-4F1A3D1E6B0B}"/>
            </c:ext>
          </c:extLst>
        </c:ser>
        <c:dLbls>
          <c:showLegendKey val="0"/>
          <c:showVal val="0"/>
          <c:showCatName val="0"/>
          <c:showSerName val="0"/>
          <c:showPercent val="0"/>
          <c:showBubbleSize val="0"/>
        </c:dLbls>
        <c:gapWidth val="219"/>
        <c:overlap val="-27"/>
        <c:axId val="429233272"/>
        <c:axId val="429227392"/>
      </c:barChart>
      <c:catAx>
        <c:axId val="4292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7392"/>
        <c:crosses val="autoZero"/>
        <c:auto val="1"/>
        <c:lblAlgn val="ctr"/>
        <c:lblOffset val="100"/>
        <c:noMultiLvlLbl val="0"/>
      </c:catAx>
      <c:valAx>
        <c:axId val="429227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3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r>
              <a:rPr lang="en-US" sz="1300" b="1"/>
              <a:t>AVANCE RESPECTO AL CUATRIENIO</a:t>
            </a:r>
            <a:r>
              <a:rPr lang="en-US" sz="1300" b="1" baseline="0"/>
              <a:t> COMPONENTE IMPULSOR EDUCACIÓN. </a:t>
            </a:r>
            <a:r>
              <a:rPr lang="en-US" sz="1300" b="1" i="0" u="none" strike="noStrike" kern="1200" spc="0" baseline="0">
                <a:solidFill>
                  <a:srgbClr val="000000">
                    <a:lumMod val="65000"/>
                    <a:lumOff val="35000"/>
                  </a:srgbClr>
                </a:solidFill>
                <a:latin typeface="+mn-lt"/>
                <a:ea typeface="+mn-ea"/>
                <a:cs typeface="+mn-cs"/>
              </a:rPr>
              <a:t>PROGRAMAS. </a:t>
            </a:r>
            <a:r>
              <a:rPr lang="es-CO" sz="1300" b="1" i="0" u="none" strike="noStrike" kern="1200" spc="0" baseline="0">
                <a:solidFill>
                  <a:srgbClr val="000000">
                    <a:lumMod val="65000"/>
                    <a:lumOff val="35000"/>
                  </a:srgbClr>
                </a:solidFill>
                <a:latin typeface="+mn-lt"/>
                <a:ea typeface="+mn-ea"/>
                <a:cs typeface="+mn-cs"/>
              </a:rPr>
              <a:t>30 DE MARZO DE 2026</a:t>
            </a:r>
          </a:p>
          <a:p>
            <a:pPr marL="0" marR="0" indent="0" algn="ctr" defTabSz="914400" rtl="0" eaLnBrk="1" fontAlgn="auto" latinLnBrk="0" hangingPunct="1">
              <a:lnSpc>
                <a:spcPct val="100000"/>
              </a:lnSpc>
              <a:spcBef>
                <a:spcPts val="0"/>
              </a:spcBef>
              <a:spcAft>
                <a:spcPts val="0"/>
              </a:spcAft>
              <a:buClrTx/>
              <a:buSzTx/>
              <a:buFontTx/>
              <a:buNone/>
              <a:tabLst/>
              <a:defRPr sz="1300" b="1">
                <a:solidFill>
                  <a:srgbClr val="000000">
                    <a:lumMod val="65000"/>
                    <a:lumOff val="35000"/>
                  </a:srgbClr>
                </a:solidFill>
              </a:defRPr>
            </a:pPr>
            <a:endParaRPr lang="es-CO" sz="1300">
              <a:effectLst/>
            </a:endParaRPr>
          </a:p>
        </c:rich>
      </c:tx>
      <c:layout>
        <c:manualLayout>
          <c:xMode val="edge"/>
          <c:yMode val="edge"/>
          <c:x val="0.14831192699256893"/>
          <c:y val="2.4835892440638794E-3"/>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bar"/>
        <c:grouping val="clustered"/>
        <c:varyColors val="0"/>
        <c:ser>
          <c:idx val="0"/>
          <c:order val="0"/>
          <c:tx>
            <c:strRef>
              <c:f>'GRAFICAS VIDA DIGNA '!$E$36</c:f>
              <c:strCache>
                <c:ptCount val="1"/>
                <c:pt idx="0">
                  <c:v>AVANCE CUATRIENIO COMPONENTE IMPULSOR EDUCACIÓN  CORTE 30 DE MARZO DE 2026</c:v>
                </c:pt>
              </c:strCache>
            </c:strRef>
          </c:tx>
          <c:spPr>
            <a:solidFill>
              <a:schemeClr val="accent6">
                <a:lumMod val="40000"/>
                <a:lumOff val="60000"/>
              </a:schemeClr>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1A-5450-4B98-A8BD-15B0B296A4E8}"/>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4-5450-4B98-A8BD-15B0B296A4E8}"/>
              </c:ext>
            </c:extLst>
          </c:dPt>
          <c:dPt>
            <c:idx val="3"/>
            <c:invertIfNegative val="0"/>
            <c:bubble3D val="0"/>
            <c:spPr>
              <a:solidFill>
                <a:srgbClr val="FFFF00"/>
              </a:solidFill>
              <a:ln>
                <a:noFill/>
              </a:ln>
              <a:effectLst/>
            </c:spPr>
            <c:extLst>
              <c:ext xmlns:c16="http://schemas.microsoft.com/office/drawing/2014/chart" uri="{C3380CC4-5D6E-409C-BE32-E72D297353CC}">
                <c16:uniqueId val="{00000016-818F-4544-A037-9FE4BA1EC89D}"/>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2-2582-495B-BC16-F46AC207DBD7}"/>
              </c:ext>
            </c:extLst>
          </c:dPt>
          <c:dPt>
            <c:idx val="5"/>
            <c:invertIfNegative val="0"/>
            <c:bubble3D val="0"/>
            <c:spPr>
              <a:solidFill>
                <a:srgbClr val="00B050"/>
              </a:solidFill>
              <a:ln>
                <a:noFill/>
              </a:ln>
              <a:effectLst/>
            </c:spPr>
            <c:extLst>
              <c:ext xmlns:c16="http://schemas.microsoft.com/office/drawing/2014/chart" uri="{C3380CC4-5D6E-409C-BE32-E72D297353CC}">
                <c16:uniqueId val="{0000000F-5450-4B98-A8BD-15B0B296A4E8}"/>
              </c:ext>
            </c:extLst>
          </c:dPt>
          <c:dPt>
            <c:idx val="6"/>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AA95-47A4-828A-A165B01C2F6B}"/>
              </c:ext>
            </c:extLst>
          </c:dPt>
          <c:dPt>
            <c:idx val="8"/>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5450-4B98-A8BD-15B0B296A4E8}"/>
              </c:ext>
            </c:extLst>
          </c:dPt>
          <c:dPt>
            <c:idx val="9"/>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A-9D69-49E1-9B47-D465550B4821}"/>
              </c:ext>
            </c:extLst>
          </c:dPt>
          <c:dPt>
            <c:idx val="10"/>
            <c:invertIfNegative val="0"/>
            <c:bubble3D val="0"/>
            <c:spPr>
              <a:solidFill>
                <a:srgbClr val="00B050"/>
              </a:solidFill>
              <a:ln>
                <a:noFill/>
              </a:ln>
              <a:effectLst/>
            </c:spPr>
            <c:extLst>
              <c:ext xmlns:c16="http://schemas.microsoft.com/office/drawing/2014/chart" uri="{C3380CC4-5D6E-409C-BE32-E72D297353CC}">
                <c16:uniqueId val="{00000009-5450-4B98-A8BD-15B0B296A4E8}"/>
              </c:ext>
            </c:extLst>
          </c:dPt>
          <c:dPt>
            <c:idx val="1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8-5450-4B98-A8BD-15B0B296A4E8}"/>
              </c:ext>
            </c:extLst>
          </c:dPt>
          <c:dPt>
            <c:idx val="1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5450-4B98-A8BD-15B0B296A4E8}"/>
              </c:ext>
            </c:extLst>
          </c:dPt>
          <c:dPt>
            <c:idx val="13"/>
            <c:invertIfNegative val="0"/>
            <c:bubble3D val="0"/>
            <c:spPr>
              <a:solidFill>
                <a:srgbClr val="FFFF00"/>
              </a:solidFill>
              <a:ln>
                <a:noFill/>
              </a:ln>
              <a:effectLst/>
            </c:spPr>
            <c:extLst>
              <c:ext xmlns:c16="http://schemas.microsoft.com/office/drawing/2014/chart" uri="{C3380CC4-5D6E-409C-BE32-E72D297353CC}">
                <c16:uniqueId val="{00000006-5450-4B98-A8BD-15B0B296A4E8}"/>
              </c:ext>
            </c:extLst>
          </c:dPt>
          <c:dPt>
            <c:idx val="14"/>
            <c:invertIfNegative val="0"/>
            <c:bubble3D val="0"/>
            <c:spPr>
              <a:solidFill>
                <a:srgbClr val="FFFF00"/>
              </a:solidFill>
              <a:ln>
                <a:noFill/>
              </a:ln>
              <a:effectLst/>
            </c:spPr>
            <c:extLst>
              <c:ext xmlns:c16="http://schemas.microsoft.com/office/drawing/2014/chart" uri="{C3380CC4-5D6E-409C-BE32-E72D297353CC}">
                <c16:uniqueId val="{00000013-2582-495B-BC16-F46AC207DBD7}"/>
              </c:ext>
            </c:extLst>
          </c:dPt>
          <c:dPt>
            <c:idx val="15"/>
            <c:invertIfNegative val="0"/>
            <c:bubble3D val="0"/>
            <c:spPr>
              <a:solidFill>
                <a:srgbClr val="FF0000"/>
              </a:solidFill>
              <a:ln>
                <a:noFill/>
              </a:ln>
              <a:effectLst/>
            </c:spPr>
            <c:extLst>
              <c:ext xmlns:c16="http://schemas.microsoft.com/office/drawing/2014/chart" uri="{C3380CC4-5D6E-409C-BE32-E72D297353CC}">
                <c16:uniqueId val="{00000018-9D69-49E1-9B47-D465550B4821}"/>
              </c:ext>
            </c:extLst>
          </c:dPt>
          <c:dPt>
            <c:idx val="16"/>
            <c:invertIfNegative val="0"/>
            <c:bubble3D val="0"/>
            <c:spPr>
              <a:solidFill>
                <a:srgbClr val="00B050"/>
              </a:solidFill>
              <a:ln>
                <a:noFill/>
              </a:ln>
              <a:effectLst/>
            </c:spPr>
            <c:extLst>
              <c:ext xmlns:c16="http://schemas.microsoft.com/office/drawing/2014/chart" uri="{C3380CC4-5D6E-409C-BE32-E72D297353CC}">
                <c16:uniqueId val="{0000001D-A325-4E17-A767-13E2A4ED8E2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'!$E$37:$E$53</c:f>
              <c:numCache>
                <c:formatCode>0.0%</c:formatCode>
                <c:ptCount val="17"/>
                <c:pt idx="0">
                  <c:v>0.54582005569608971</c:v>
                </c:pt>
                <c:pt idx="1">
                  <c:v>0.33427777777777773</c:v>
                </c:pt>
                <c:pt idx="2">
                  <c:v>0.69940476190476186</c:v>
                </c:pt>
                <c:pt idx="3">
                  <c:v>0.4717285462696495</c:v>
                </c:pt>
                <c:pt idx="4">
                  <c:v>0.66380860664048824</c:v>
                </c:pt>
                <c:pt idx="5">
                  <c:v>0.89077102803738317</c:v>
                </c:pt>
                <c:pt idx="6">
                  <c:v>0.64242424242424245</c:v>
                </c:pt>
                <c:pt idx="7">
                  <c:v>0.7199403239556692</c:v>
                </c:pt>
                <c:pt idx="8">
                  <c:v>0.58843090082865535</c:v>
                </c:pt>
                <c:pt idx="9">
                  <c:v>0.33333333333333331</c:v>
                </c:pt>
                <c:pt idx="10">
                  <c:v>0.81716666666666671</c:v>
                </c:pt>
                <c:pt idx="11">
                  <c:v>0.35591900311526481</c:v>
                </c:pt>
                <c:pt idx="12">
                  <c:v>0.34188258636788049</c:v>
                </c:pt>
                <c:pt idx="13">
                  <c:v>0.45382894736842105</c:v>
                </c:pt>
                <c:pt idx="14">
                  <c:v>0.51470588235294124</c:v>
                </c:pt>
                <c:pt idx="15">
                  <c:v>0.10991495076096687</c:v>
                </c:pt>
                <c:pt idx="16">
                  <c:v>0.79558333333333331</c:v>
                </c:pt>
              </c:numCache>
            </c:numRef>
          </c:val>
          <c:extLst>
            <c:ext xmlns:c16="http://schemas.microsoft.com/office/drawing/2014/chart" uri="{C3380CC4-5D6E-409C-BE32-E72D297353CC}">
              <c16:uniqueId val="{00000000-139D-4160-A9AC-B70E14B4C102}"/>
            </c:ext>
          </c:extLst>
        </c:ser>
        <c:dLbls>
          <c:showLegendKey val="0"/>
          <c:showVal val="0"/>
          <c:showCatName val="0"/>
          <c:showSerName val="0"/>
          <c:showPercent val="0"/>
          <c:showBubbleSize val="0"/>
        </c:dLbls>
        <c:gapWidth val="150"/>
        <c:axId val="429228568"/>
        <c:axId val="429232880"/>
      </c:barChart>
      <c:catAx>
        <c:axId val="429228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9232880"/>
        <c:crosses val="autoZero"/>
        <c:auto val="1"/>
        <c:lblAlgn val="ctr"/>
        <c:lblOffset val="100"/>
        <c:noMultiLvlLbl val="0"/>
      </c:catAx>
      <c:valAx>
        <c:axId val="4292328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600" b="1" i="0" u="none" strike="noStrike" kern="1200" spc="0" baseline="0">
                <a:solidFill>
                  <a:schemeClr val="tx1">
                    <a:lumMod val="65000"/>
                    <a:lumOff val="35000"/>
                  </a:schemeClr>
                </a:solidFill>
                <a:latin typeface="+mn-lt"/>
                <a:ea typeface="+mn-ea"/>
                <a:cs typeface="+mn-cs"/>
              </a:defRPr>
            </a:pPr>
            <a:r>
              <a:rPr lang="en-US" b="1"/>
              <a:t>LOGRO (%) RESPECTO AL PROGRAMADO PARA LA VIGENCIA 2026. CORTE  MARZO.</a:t>
            </a:r>
          </a:p>
        </c:rich>
      </c:tx>
      <c:overlay val="0"/>
      <c:spPr>
        <a:noFill/>
        <a:ln>
          <a:noFill/>
        </a:ln>
        <a:effectLst/>
      </c:spPr>
      <c:txPr>
        <a:bodyPr rot="0" spcFirstLastPara="1" vertOverflow="ellipsis" vert="horz" wrap="square" anchor="ctr" anchorCtr="1"/>
        <a:lstStyle/>
        <a:p>
          <a:pPr>
            <a:defRPr sz="3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0128868506821264E-2"/>
          <c:y val="0.1196566712837599"/>
          <c:w val="0.95584182746387469"/>
          <c:h val="0.69859623727699649"/>
        </c:manualLayout>
      </c:layout>
      <c:bar3DChart>
        <c:barDir val="col"/>
        <c:grouping val="clustered"/>
        <c:varyColors val="0"/>
        <c:ser>
          <c:idx val="0"/>
          <c:order val="0"/>
          <c:tx>
            <c:strRef>
              <c:f>'SEGUIMIENTO DEL PLAN DE DESARRO'!$M$2</c:f>
              <c:strCache>
                <c:ptCount val="1"/>
                <c:pt idx="0">
                  <c:v>LOGRO (%) RESPECTO AL PROGRAMADO PARA LA VIGENCIA 2025 CORTE  MARZO</c:v>
                </c:pt>
              </c:strCache>
            </c:strRef>
          </c:tx>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F5D7-4F18-863A-DDDCE2CDA06F}"/>
              </c:ext>
            </c:extLst>
          </c:dPt>
          <c:dPt>
            <c:idx val="1"/>
            <c:invertIfNegative val="0"/>
            <c:bubble3D val="0"/>
            <c:spPr>
              <a:solidFill>
                <a:srgbClr val="FFFF00"/>
              </a:solidFill>
              <a:ln>
                <a:noFill/>
              </a:ln>
              <a:effectLst/>
              <a:sp3d/>
            </c:spPr>
            <c:extLst>
              <c:ext xmlns:c16="http://schemas.microsoft.com/office/drawing/2014/chart" uri="{C3380CC4-5D6E-409C-BE32-E72D297353CC}">
                <c16:uniqueId val="{00000002-F5D7-4F18-863A-DDDCE2CDA06F}"/>
              </c:ext>
            </c:extLst>
          </c:dPt>
          <c:dPt>
            <c:idx val="2"/>
            <c:invertIfNegative val="0"/>
            <c:bubble3D val="0"/>
            <c:spPr>
              <a:solidFill>
                <a:srgbClr val="00B050"/>
              </a:solidFill>
              <a:ln>
                <a:noFill/>
              </a:ln>
              <a:effectLst/>
              <a:sp3d/>
            </c:spPr>
            <c:extLst>
              <c:ext xmlns:c16="http://schemas.microsoft.com/office/drawing/2014/chart" uri="{C3380CC4-5D6E-409C-BE32-E72D297353CC}">
                <c16:uniqueId val="{00000003-F5D7-4F18-863A-DDDCE2CDA06F}"/>
              </c:ext>
            </c:extLst>
          </c:dPt>
          <c:dPt>
            <c:idx val="3"/>
            <c:invertIfNegative val="0"/>
            <c:bubble3D val="0"/>
            <c:spPr>
              <a:solidFill>
                <a:srgbClr val="FFFF00"/>
              </a:solidFill>
              <a:ln>
                <a:noFill/>
              </a:ln>
              <a:effectLst/>
              <a:sp3d/>
            </c:spPr>
            <c:extLst>
              <c:ext xmlns:c16="http://schemas.microsoft.com/office/drawing/2014/chart" uri="{C3380CC4-5D6E-409C-BE32-E72D297353CC}">
                <c16:uniqueId val="{00000004-F5D7-4F18-863A-DDDCE2CDA06F}"/>
              </c:ext>
            </c:extLst>
          </c:dPt>
          <c:dPt>
            <c:idx val="4"/>
            <c:invertIfNegative val="0"/>
            <c:bubble3D val="0"/>
            <c:spPr>
              <a:solidFill>
                <a:schemeClr val="accent6">
                  <a:lumMod val="40000"/>
                  <a:lumOff val="60000"/>
                </a:schemeClr>
              </a:solidFill>
              <a:ln>
                <a:noFill/>
              </a:ln>
              <a:effectLst/>
              <a:sp3d/>
            </c:spPr>
            <c:extLst>
              <c:ext xmlns:c16="http://schemas.microsoft.com/office/drawing/2014/chart" uri="{C3380CC4-5D6E-409C-BE32-E72D297353CC}">
                <c16:uniqueId val="{00000005-F5D7-4F18-863A-DDDCE2CDA06F}"/>
              </c:ext>
            </c:extLst>
          </c:dPt>
          <c:dPt>
            <c:idx val="5"/>
            <c:invertIfNegative val="0"/>
            <c:bubble3D val="0"/>
            <c:spPr>
              <a:solidFill>
                <a:srgbClr val="00B050"/>
              </a:solidFill>
              <a:ln>
                <a:noFill/>
              </a:ln>
              <a:effectLst/>
              <a:sp3d/>
            </c:spPr>
            <c:extLst>
              <c:ext xmlns:c16="http://schemas.microsoft.com/office/drawing/2014/chart" uri="{C3380CC4-5D6E-409C-BE32-E72D297353CC}">
                <c16:uniqueId val="{00000006-F5D7-4F18-863A-DDDCE2CDA06F}"/>
              </c:ext>
            </c:extLst>
          </c:dPt>
          <c:dPt>
            <c:idx val="6"/>
            <c:invertIfNegative val="0"/>
            <c:bubble3D val="0"/>
            <c:spPr>
              <a:solidFill>
                <a:srgbClr val="FF0000"/>
              </a:solidFill>
              <a:ln>
                <a:noFill/>
              </a:ln>
              <a:effectLst/>
              <a:sp3d/>
            </c:spPr>
            <c:extLst>
              <c:ext xmlns:c16="http://schemas.microsoft.com/office/drawing/2014/chart" uri="{C3380CC4-5D6E-409C-BE32-E72D297353CC}">
                <c16:uniqueId val="{00000007-F5D7-4F18-863A-DDDCE2CDA06F}"/>
              </c:ext>
            </c:extLst>
          </c:dPt>
          <c:dLbls>
            <c:dLbl>
              <c:idx val="0"/>
              <c:layout>
                <c:manualLayout>
                  <c:x val="7.6923076923076927E-3"/>
                  <c:y val="-2.7662517289073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7-4F18-863A-DDDCE2CDA06F}"/>
                </c:ext>
              </c:extLst>
            </c:dLbl>
            <c:dLbl>
              <c:idx val="1"/>
              <c:layout>
                <c:manualLayout>
                  <c:x val="4.3956043956043956E-3"/>
                  <c:y val="-3.0428769017980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D7-4F18-863A-DDDCE2CDA06F}"/>
                </c:ext>
              </c:extLst>
            </c:dLbl>
            <c:dLbl>
              <c:idx val="2"/>
              <c:layout>
                <c:manualLayout>
                  <c:x val="2.0514534159197274E-2"/>
                  <c:y val="-2.0413463942007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7-4F18-863A-DDDCE2CDA06F}"/>
                </c:ext>
              </c:extLst>
            </c:dLbl>
            <c:dLbl>
              <c:idx val="3"/>
              <c:layout>
                <c:manualLayout>
                  <c:x val="8.7912087912087912E-3"/>
                  <c:y val="-3.5961272475795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D7-4F18-863A-DDDCE2CDA06F}"/>
                </c:ext>
              </c:extLst>
            </c:dLbl>
            <c:dLbl>
              <c:idx val="4"/>
              <c:layout>
                <c:manualLayout>
                  <c:x val="8.7912087912087912E-3"/>
                  <c:y val="-2.2130013831258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D7-4F18-863A-DDDCE2CDA06F}"/>
                </c:ext>
              </c:extLst>
            </c:dLbl>
            <c:dLbl>
              <c:idx val="5"/>
              <c:layout>
                <c:manualLayout>
                  <c:x val="9.8901098901098897E-3"/>
                  <c:y val="-2.2130013831258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D7-4F18-863A-DDDCE2CDA06F}"/>
                </c:ext>
              </c:extLst>
            </c:dLbl>
            <c:dLbl>
              <c:idx val="6"/>
              <c:layout>
                <c:manualLayout>
                  <c:x val="1.3186813186813187E-2"/>
                  <c:y val="-2.4896265560165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D7-4F18-863A-DDDCE2CDA06F}"/>
                </c:ext>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DESARRO'!$M$3:$M$9</c:f>
              <c:numCache>
                <c:formatCode>0.0%</c:formatCode>
                <c:ptCount val="7"/>
                <c:pt idx="0">
                  <c:v>0.18501820403177074</c:v>
                </c:pt>
                <c:pt idx="1">
                  <c:v>0.19121125187168028</c:v>
                </c:pt>
                <c:pt idx="2">
                  <c:v>0.27856668470614288</c:v>
                </c:pt>
                <c:pt idx="3">
                  <c:v>0.13599855463539826</c:v>
                </c:pt>
                <c:pt idx="4">
                  <c:v>0.20790903394659535</c:v>
                </c:pt>
                <c:pt idx="5">
                  <c:v>0.25770144245140841</c:v>
                </c:pt>
                <c:pt idx="6">
                  <c:v>3.8722256579399435E-2</c:v>
                </c:pt>
              </c:numCache>
            </c:numRef>
          </c:val>
          <c:extLst>
            <c:ext xmlns:c16="http://schemas.microsoft.com/office/drawing/2014/chart" uri="{C3380CC4-5D6E-409C-BE32-E72D297353CC}">
              <c16:uniqueId val="{00000000-F5D7-4F18-863A-DDDCE2CDA06F}"/>
            </c:ext>
          </c:extLst>
        </c:ser>
        <c:dLbls>
          <c:showLegendKey val="0"/>
          <c:showVal val="0"/>
          <c:showCatName val="0"/>
          <c:showSerName val="0"/>
          <c:showPercent val="0"/>
          <c:showBubbleSize val="0"/>
        </c:dLbls>
        <c:gapWidth val="150"/>
        <c:shape val="box"/>
        <c:axId val="2128533487"/>
        <c:axId val="2128533903"/>
        <c:axId val="0"/>
      </c:bar3DChart>
      <c:catAx>
        <c:axId val="21285334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1" i="0" u="none" strike="noStrike" kern="1200" baseline="0">
                <a:solidFill>
                  <a:schemeClr val="tx1">
                    <a:lumMod val="65000"/>
                    <a:lumOff val="35000"/>
                  </a:schemeClr>
                </a:solidFill>
                <a:latin typeface="+mn-lt"/>
                <a:ea typeface="+mn-ea"/>
                <a:cs typeface="+mn-cs"/>
              </a:defRPr>
            </a:pPr>
            <a:endParaRPr lang="es-CO"/>
          </a:p>
        </c:txPr>
        <c:crossAx val="2128533903"/>
        <c:crosses val="autoZero"/>
        <c:auto val="1"/>
        <c:lblAlgn val="ctr"/>
        <c:lblOffset val="100"/>
        <c:noMultiLvlLbl val="0"/>
      </c:catAx>
      <c:valAx>
        <c:axId val="21285339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3000" b="1" i="0" u="none" strike="noStrike" kern="1200" baseline="0">
                <a:solidFill>
                  <a:schemeClr val="tx1">
                    <a:lumMod val="65000"/>
                    <a:lumOff val="35000"/>
                  </a:schemeClr>
                </a:solidFill>
                <a:latin typeface="+mn-lt"/>
                <a:ea typeface="+mn-ea"/>
                <a:cs typeface="+mn-cs"/>
              </a:defRPr>
            </a:pPr>
            <a:endParaRPr lang="es-CO"/>
          </a:p>
        </c:txPr>
        <c:crossAx val="21285334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3000"/>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AVANCE</a:t>
            </a:r>
            <a:r>
              <a:rPr lang="en-US" sz="1300" b="1" baseline="0"/>
              <a:t>  CUATRIENIO COMPONENTE IMPULSOR  ACCESO A </a:t>
            </a:r>
            <a:r>
              <a:rPr lang="en-US" sz="1300" b="1" i="0" u="none" strike="noStrike" kern="1200" spc="0" baseline="0">
                <a:solidFill>
                  <a:srgbClr val="000000">
                    <a:lumMod val="65000"/>
                    <a:lumOff val="35000"/>
                  </a:srgbClr>
                </a:solidFill>
                <a:latin typeface="+mn-lt"/>
                <a:ea typeface="+mn-ea"/>
                <a:cs typeface="+mn-cs"/>
              </a:rPr>
              <a:t>SERVICIOS PUBLICOS. PROGRAMAS.  </a:t>
            </a:r>
            <a:r>
              <a:rPr lang="es-ES" sz="1300" b="1" i="0" u="none" strike="noStrike" kern="1200" spc="0" baseline="0">
                <a:solidFill>
                  <a:srgbClr val="000000">
                    <a:lumMod val="65000"/>
                    <a:lumOff val="35000"/>
                  </a:srgbClr>
                </a:solidFill>
                <a:latin typeface="+mn-lt"/>
                <a:ea typeface="+mn-ea"/>
                <a:cs typeface="+mn-cs"/>
              </a:rPr>
              <a:t>CORTE </a:t>
            </a:r>
            <a:r>
              <a:rPr lang="es-CO" sz="1300" b="1" i="0" u="none" strike="noStrike" kern="1200" spc="0" baseline="0">
                <a:solidFill>
                  <a:srgbClr val="000000">
                    <a:lumMod val="65000"/>
                    <a:lumOff val="35000"/>
                  </a:srgbClr>
                </a:solidFill>
                <a:latin typeface="+mn-lt"/>
                <a:ea typeface="+mn-ea"/>
                <a:cs typeface="+mn-cs"/>
              </a:rPr>
              <a:t>30 DE MARZO 2026</a:t>
            </a:r>
          </a:p>
        </c:rich>
      </c:tx>
      <c:layout>
        <c:manualLayout>
          <c:xMode val="edge"/>
          <c:yMode val="edge"/>
          <c:x val="0.13047067755385466"/>
          <c:y val="2.4769992922859165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'!$E$56</c:f>
              <c:strCache>
                <c:ptCount val="1"/>
                <c:pt idx="0">
                  <c:v>AVANCE CUATRIENIO COMPONENTE IMPULSOR ACCESO A SERVICIOS BÁSICOS CORTE 30 DE MARZO DE 2026</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6-13D1-4FF5-AF58-A27ADD590D3C}"/>
              </c:ext>
            </c:extLst>
          </c:dPt>
          <c:dPt>
            <c:idx val="1"/>
            <c:invertIfNegative val="0"/>
            <c:bubble3D val="0"/>
            <c:spPr>
              <a:solidFill>
                <a:srgbClr val="FFFF00"/>
              </a:solidFill>
              <a:ln>
                <a:noFill/>
              </a:ln>
              <a:effectLst/>
            </c:spPr>
            <c:extLst>
              <c:ext xmlns:c16="http://schemas.microsoft.com/office/drawing/2014/chart" uri="{C3380CC4-5D6E-409C-BE32-E72D297353CC}">
                <c16:uniqueId val="{00000007-30C4-4C3A-BC19-7EEEB7224114}"/>
              </c:ext>
            </c:extLst>
          </c:dPt>
          <c:dPt>
            <c:idx val="2"/>
            <c:invertIfNegative val="0"/>
            <c:bubble3D val="0"/>
            <c:spPr>
              <a:solidFill>
                <a:srgbClr val="FFFF00"/>
              </a:solidFill>
              <a:ln>
                <a:noFill/>
              </a:ln>
              <a:effectLst/>
            </c:spPr>
            <c:extLst>
              <c:ext xmlns:c16="http://schemas.microsoft.com/office/drawing/2014/chart" uri="{C3380CC4-5D6E-409C-BE32-E72D297353CC}">
                <c16:uniqueId val="{00000000-30C4-4C3A-BC19-7EEEB7224114}"/>
              </c:ext>
            </c:extLst>
          </c:dPt>
          <c:dPt>
            <c:idx val="3"/>
            <c:invertIfNegative val="0"/>
            <c:bubble3D val="0"/>
            <c:spPr>
              <a:solidFill>
                <a:srgbClr val="FFFF00"/>
              </a:solidFill>
              <a:ln>
                <a:noFill/>
              </a:ln>
              <a:effectLst/>
            </c:spPr>
            <c:extLst>
              <c:ext xmlns:c16="http://schemas.microsoft.com/office/drawing/2014/chart" uri="{C3380CC4-5D6E-409C-BE32-E72D297353CC}">
                <c16:uniqueId val="{00000001-30C4-4C3A-BC19-7EEEB722411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'!$E$57:$E$60</c:f>
              <c:numCache>
                <c:formatCode>0.0%</c:formatCode>
                <c:ptCount val="4"/>
                <c:pt idx="0">
                  <c:v>0.51462158645123768</c:v>
                </c:pt>
                <c:pt idx="1">
                  <c:v>0.55263341014736389</c:v>
                </c:pt>
                <c:pt idx="2">
                  <c:v>0.54849107142857145</c:v>
                </c:pt>
                <c:pt idx="3">
                  <c:v>0.44274027777777775</c:v>
                </c:pt>
              </c:numCache>
            </c:numRef>
          </c:val>
          <c:extLst>
            <c:ext xmlns:c16="http://schemas.microsoft.com/office/drawing/2014/chart" uri="{C3380CC4-5D6E-409C-BE32-E72D297353CC}">
              <c16:uniqueId val="{00000000-6A34-4525-A784-9F1816FBD9AF}"/>
            </c:ext>
          </c:extLst>
        </c:ser>
        <c:dLbls>
          <c:showLegendKey val="0"/>
          <c:showVal val="0"/>
          <c:showCatName val="0"/>
          <c:showSerName val="0"/>
          <c:showPercent val="0"/>
          <c:showBubbleSize val="0"/>
        </c:dLbls>
        <c:gapWidth val="219"/>
        <c:overlap val="-27"/>
        <c:axId val="429225824"/>
        <c:axId val="429226608"/>
      </c:barChart>
      <c:catAx>
        <c:axId val="42922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29226608"/>
        <c:crosses val="autoZero"/>
        <c:auto val="1"/>
        <c:lblAlgn val="ctr"/>
        <c:lblOffset val="100"/>
        <c:noMultiLvlLbl val="0"/>
      </c:catAx>
      <c:valAx>
        <c:axId val="42922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5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rgbClr val="000000">
                    <a:lumMod val="65000"/>
                    <a:lumOff val="35000"/>
                  </a:srgbClr>
                </a:solidFill>
                <a:latin typeface="+mn-lt"/>
                <a:ea typeface="+mn-ea"/>
                <a:cs typeface="+mn-cs"/>
              </a:defRPr>
            </a:pPr>
            <a:r>
              <a:rPr lang="en-US" sz="1300" b="1" i="0" u="none" strike="noStrike" baseline="0">
                <a:effectLst/>
              </a:rPr>
              <a:t>AVANCE CUATRIENIO COMPONENTE </a:t>
            </a:r>
            <a:r>
              <a:rPr lang="en-US" sz="1300" b="1" i="0" baseline="0">
                <a:effectLst/>
              </a:rPr>
              <a:t>ARTE, CULTURA Y </a:t>
            </a:r>
            <a:r>
              <a:rPr lang="en-US" sz="1300" b="1" i="0" u="none" strike="noStrike" kern="1200" spc="0" baseline="0">
                <a:solidFill>
                  <a:srgbClr val="000000">
                    <a:lumMod val="65000"/>
                    <a:lumOff val="35000"/>
                  </a:srgbClr>
                </a:solidFill>
                <a:effectLst/>
                <a:latin typeface="+mn-lt"/>
                <a:ea typeface="+mn-ea"/>
                <a:cs typeface="+mn-cs"/>
              </a:rPr>
              <a:t>PATRIMONIO. PROGRAMAS  CORTE </a:t>
            </a:r>
            <a:r>
              <a:rPr lang="es-CO" sz="1300" b="1" i="0" u="none" strike="noStrike" kern="1200" spc="0" baseline="0">
                <a:solidFill>
                  <a:srgbClr val="000000">
                    <a:lumMod val="65000"/>
                    <a:lumOff val="35000"/>
                  </a:srgbClr>
                </a:solidFill>
                <a:effectLst/>
                <a:latin typeface="+mn-lt"/>
                <a:ea typeface="+mn-ea"/>
                <a:cs typeface="+mn-cs"/>
              </a:rPr>
              <a:t>30 DE MARZO DE 2026</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'!$E$80</c:f>
              <c:strCache>
                <c:ptCount val="1"/>
                <c:pt idx="0">
                  <c:v>AVANCE CUATRIENIO COMPONENTE IMPULSOR ARTES, CULTURA Y PATRIMONIO CORTE 30 DE MARZO DE 2026</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20FB-4BEC-94A6-5CFA2E6DBC77}"/>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0-85B9-4B87-B847-6BBD71B203E8}"/>
              </c:ext>
            </c:extLst>
          </c:dPt>
          <c:dPt>
            <c:idx val="2"/>
            <c:invertIfNegative val="0"/>
            <c:bubble3D val="0"/>
            <c:spPr>
              <a:solidFill>
                <a:srgbClr val="00B050"/>
              </a:solidFill>
              <a:ln>
                <a:noFill/>
              </a:ln>
              <a:effectLst/>
            </c:spPr>
            <c:extLst>
              <c:ext xmlns:c16="http://schemas.microsoft.com/office/drawing/2014/chart" uri="{C3380CC4-5D6E-409C-BE32-E72D297353CC}">
                <c16:uniqueId val="{00000001-85B9-4B87-B847-6BBD71B203E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85B9-4B87-B847-6BBD71B203E8}"/>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9D28-4586-8F55-3EE5A4543604}"/>
              </c:ext>
            </c:extLst>
          </c:dPt>
          <c:dPt>
            <c:idx val="5"/>
            <c:invertIfNegative val="0"/>
            <c:bubble3D val="0"/>
            <c:spPr>
              <a:solidFill>
                <a:srgbClr val="FFFF00"/>
              </a:solidFill>
              <a:ln>
                <a:noFill/>
              </a:ln>
              <a:effectLst/>
            </c:spPr>
            <c:extLst>
              <c:ext xmlns:c16="http://schemas.microsoft.com/office/drawing/2014/chart" uri="{C3380CC4-5D6E-409C-BE32-E72D297353CC}">
                <c16:uniqueId val="{00000004-85B9-4B87-B847-6BBD71B203E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'!$E$81:$E$86</c:f>
              <c:numCache>
                <c:formatCode>0.0%</c:formatCode>
                <c:ptCount val="6"/>
                <c:pt idx="0">
                  <c:v>0.68989500147009652</c:v>
                </c:pt>
                <c:pt idx="1">
                  <c:v>0.60702611846159371</c:v>
                </c:pt>
                <c:pt idx="2">
                  <c:v>0.99</c:v>
                </c:pt>
                <c:pt idx="3">
                  <c:v>0.67138888888888892</c:v>
                </c:pt>
                <c:pt idx="4">
                  <c:v>0.6654000000000001</c:v>
                </c:pt>
                <c:pt idx="5">
                  <c:v>0.51566000000000001</c:v>
                </c:pt>
              </c:numCache>
            </c:numRef>
          </c:val>
          <c:extLst>
            <c:ext xmlns:c16="http://schemas.microsoft.com/office/drawing/2014/chart" uri="{C3380CC4-5D6E-409C-BE32-E72D297353CC}">
              <c16:uniqueId val="{00000000-D08C-4FA2-9CE3-FA0B74F401AC}"/>
            </c:ext>
          </c:extLst>
        </c:ser>
        <c:dLbls>
          <c:showLegendKey val="0"/>
          <c:showVal val="0"/>
          <c:showCatName val="0"/>
          <c:showSerName val="0"/>
          <c:showPercent val="0"/>
          <c:showBubbleSize val="0"/>
        </c:dLbls>
        <c:gapWidth val="219"/>
        <c:overlap val="-27"/>
        <c:axId val="429228960"/>
        <c:axId val="429228176"/>
      </c:barChart>
      <c:catAx>
        <c:axId val="42922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176"/>
        <c:crosses val="autoZero"/>
        <c:auto val="1"/>
        <c:lblAlgn val="ctr"/>
        <c:lblOffset val="100"/>
        <c:noMultiLvlLbl val="0"/>
      </c:catAx>
      <c:valAx>
        <c:axId val="429228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300" b="1" i="0" baseline="0">
                <a:effectLst/>
              </a:rPr>
              <a:t>AVANCE CUATRIENIO COMPONENTE DEPORTE Y RECREACIÓN. </a:t>
            </a:r>
            <a:r>
              <a:rPr lang="en-US" sz="1300" b="1" i="0" u="none" strike="noStrike" kern="1200" spc="0" baseline="0">
                <a:solidFill>
                  <a:srgbClr val="000000">
                    <a:lumMod val="65000"/>
                    <a:lumOff val="35000"/>
                  </a:srgbClr>
                </a:solidFill>
                <a:effectLst/>
                <a:latin typeface="+mn-lt"/>
                <a:ea typeface="+mn-ea"/>
                <a:cs typeface="+mn-cs"/>
              </a:rPr>
              <a:t>PROGRAMAS  CORTE </a:t>
            </a:r>
            <a:r>
              <a:rPr lang="es-CO" sz="1300" b="1" i="0" u="none" strike="noStrike" kern="1200" spc="0" baseline="0">
                <a:solidFill>
                  <a:srgbClr val="000000">
                    <a:lumMod val="65000"/>
                    <a:lumOff val="35000"/>
                  </a:srgbClr>
                </a:solidFill>
                <a:effectLst/>
                <a:latin typeface="+mn-lt"/>
                <a:ea typeface="+mn-ea"/>
                <a:cs typeface="+mn-cs"/>
              </a:rPr>
              <a:t>30 DE MARZO DE 2026</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300" b="1" i="0" u="none" strike="noStrike" kern="1200" spc="0" baseline="0">
              <a:solidFill>
                <a:srgbClr val="000000">
                  <a:lumMod val="65000"/>
                  <a:lumOff val="35000"/>
                </a:srgb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'!$E$91</c:f>
              <c:strCache>
                <c:ptCount val="1"/>
                <c:pt idx="0">
                  <c:v>AVANCE CUATRIENIO COMPONENTE IMPULSOR DEPORTES Y RECREACIÓN  CORTE 30 DE MARZO DE 2026</c:v>
                </c:pt>
              </c:strCache>
            </c:strRef>
          </c:tx>
          <c:spPr>
            <a:solidFill>
              <a:srgbClr val="92D05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98C-4D3B-B41A-331DB9A42BAB}"/>
              </c:ext>
            </c:extLst>
          </c:dPt>
          <c:dPt>
            <c:idx val="1"/>
            <c:invertIfNegative val="0"/>
            <c:bubble3D val="0"/>
            <c:spPr>
              <a:solidFill>
                <a:srgbClr val="FFFF00"/>
              </a:solidFill>
              <a:ln>
                <a:noFill/>
              </a:ln>
              <a:effectLst/>
            </c:spPr>
            <c:extLst>
              <c:ext xmlns:c16="http://schemas.microsoft.com/office/drawing/2014/chart" uri="{C3380CC4-5D6E-409C-BE32-E72D297353CC}">
                <c16:uniqueId val="{00000000-9D77-4304-A26A-D422752F9572}"/>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9D77-4304-A26A-D422752F957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C190-469F-9EDD-EDDC46617875}"/>
              </c:ext>
            </c:extLst>
          </c:dPt>
          <c:dPt>
            <c:idx val="4"/>
            <c:invertIfNegative val="0"/>
            <c:bubble3D val="0"/>
            <c:spPr>
              <a:solidFill>
                <a:srgbClr val="00B050"/>
              </a:solidFill>
              <a:ln>
                <a:noFill/>
              </a:ln>
              <a:effectLst/>
            </c:spPr>
            <c:extLst>
              <c:ext xmlns:c16="http://schemas.microsoft.com/office/drawing/2014/chart" uri="{C3380CC4-5D6E-409C-BE32-E72D297353CC}">
                <c16:uniqueId val="{0000000B-D6B6-4AC1-AC7B-C2F8F77AFFA9}"/>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9D77-4304-A26A-D422752F9572}"/>
              </c:ext>
            </c:extLst>
          </c:dPt>
          <c:dPt>
            <c:idx val="6"/>
            <c:invertIfNegative val="0"/>
            <c:bubble3D val="0"/>
            <c:spPr>
              <a:solidFill>
                <a:srgbClr val="00B050"/>
              </a:solidFill>
              <a:ln>
                <a:noFill/>
              </a:ln>
              <a:effectLst/>
            </c:spPr>
            <c:extLst>
              <c:ext xmlns:c16="http://schemas.microsoft.com/office/drawing/2014/chart" uri="{C3380CC4-5D6E-409C-BE32-E72D297353CC}">
                <c16:uniqueId val="{0000000C-D6B6-4AC1-AC7B-C2F8F77AFFA9}"/>
              </c:ext>
            </c:extLst>
          </c:dPt>
          <c:dPt>
            <c:idx val="7"/>
            <c:invertIfNegative val="0"/>
            <c:bubble3D val="0"/>
            <c:spPr>
              <a:solidFill>
                <a:srgbClr val="00B050"/>
              </a:solidFill>
              <a:ln>
                <a:noFill/>
              </a:ln>
              <a:effectLst/>
            </c:spPr>
            <c:extLst>
              <c:ext xmlns:c16="http://schemas.microsoft.com/office/drawing/2014/chart" uri="{C3380CC4-5D6E-409C-BE32-E72D297353CC}">
                <c16:uniqueId val="{00000008-498C-4D3B-B41A-331DB9A42BA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'!$E$92:$E$99</c:f>
              <c:numCache>
                <c:formatCode>0.0%</c:formatCode>
                <c:ptCount val="8"/>
                <c:pt idx="0">
                  <c:v>0.6398917654659394</c:v>
                </c:pt>
                <c:pt idx="1">
                  <c:v>0.51874999999999993</c:v>
                </c:pt>
                <c:pt idx="2">
                  <c:v>0.37932862190812722</c:v>
                </c:pt>
                <c:pt idx="3">
                  <c:v>0.61429069767441868</c:v>
                </c:pt>
                <c:pt idx="4">
                  <c:v>0.79285970149253737</c:v>
                </c:pt>
                <c:pt idx="5">
                  <c:v>0.56947540983606559</c:v>
                </c:pt>
                <c:pt idx="6">
                  <c:v>0.77898472222222215</c:v>
                </c:pt>
                <c:pt idx="7">
                  <c:v>0.82555320512820507</c:v>
                </c:pt>
              </c:numCache>
            </c:numRef>
          </c:val>
          <c:extLst>
            <c:ext xmlns:c16="http://schemas.microsoft.com/office/drawing/2014/chart" uri="{C3380CC4-5D6E-409C-BE32-E72D297353CC}">
              <c16:uniqueId val="{00000000-415B-405C-8F3C-BDCFA20D334C}"/>
            </c:ext>
          </c:extLst>
        </c:ser>
        <c:dLbls>
          <c:showLegendKey val="0"/>
          <c:showVal val="0"/>
          <c:showCatName val="0"/>
          <c:showSerName val="0"/>
          <c:showPercent val="0"/>
          <c:showBubbleSize val="0"/>
        </c:dLbls>
        <c:gapWidth val="219"/>
        <c:overlap val="-27"/>
        <c:axId val="429230136"/>
        <c:axId val="429231704"/>
      </c:barChart>
      <c:catAx>
        <c:axId val="42923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es-CO"/>
          </a:p>
        </c:txPr>
        <c:crossAx val="429231704"/>
        <c:crosses val="autoZero"/>
        <c:auto val="1"/>
        <c:lblAlgn val="ctr"/>
        <c:lblOffset val="100"/>
        <c:noMultiLvlLbl val="0"/>
      </c:catAx>
      <c:valAx>
        <c:axId val="429231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300" b="1" i="0" baseline="0">
                <a:effectLst/>
              </a:rPr>
              <a:t>AVANCE CUATRIENIO COMPONENTE INFANCIA, </a:t>
            </a:r>
            <a:r>
              <a:rPr lang="en-US" sz="1300" b="1" i="0" u="none" strike="noStrike" kern="1200" spc="0" baseline="0">
                <a:solidFill>
                  <a:srgbClr val="000000">
                    <a:lumMod val="65000"/>
                    <a:lumOff val="35000"/>
                  </a:srgbClr>
                </a:solidFill>
                <a:effectLst/>
                <a:latin typeface="+mn-lt"/>
                <a:ea typeface="+mn-ea"/>
                <a:cs typeface="+mn-cs"/>
              </a:rPr>
              <a:t>ADOLESCENCIA Y FAMILIA. PROGRAMAS  CORTE </a:t>
            </a:r>
            <a:r>
              <a:rPr lang="es-CO" sz="1300" b="1" i="0" u="none" strike="noStrike" kern="1200" spc="0" baseline="0">
                <a:solidFill>
                  <a:srgbClr val="000000">
                    <a:lumMod val="65000"/>
                    <a:lumOff val="35000"/>
                  </a:srgbClr>
                </a:solidFill>
                <a:effectLst/>
                <a:latin typeface="+mn-lt"/>
                <a:ea typeface="+mn-ea"/>
                <a:cs typeface="+mn-cs"/>
              </a:rPr>
              <a:t>30 DE MARZO DE 2026</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300" b="1" i="0" u="none" strike="noStrike" kern="1200" spc="0" baseline="0">
              <a:solidFill>
                <a:srgbClr val="000000">
                  <a:lumMod val="65000"/>
                  <a:lumOff val="35000"/>
                </a:srgb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'!$E$102</c:f>
              <c:strCache>
                <c:ptCount val="1"/>
                <c:pt idx="0">
                  <c:v>AVANCE CUATRIENIO COMPONENTE IMPULSOR INFANCIA, ADOLESCENCIA Y FAMILIA CORTE 30 DE MARZO DE 2026</c:v>
                </c:pt>
              </c:strCache>
            </c:strRef>
          </c:tx>
          <c:spPr>
            <a:solidFill>
              <a:srgbClr val="92D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6-9E53-47C8-98AF-0D9B9361684E}"/>
              </c:ext>
            </c:extLst>
          </c:dPt>
          <c:dPt>
            <c:idx val="1"/>
            <c:invertIfNegative val="0"/>
            <c:bubble3D val="0"/>
            <c:spPr>
              <a:solidFill>
                <a:srgbClr val="00B050"/>
              </a:solidFill>
              <a:ln>
                <a:noFill/>
              </a:ln>
              <a:effectLst/>
            </c:spPr>
            <c:extLst>
              <c:ext xmlns:c16="http://schemas.microsoft.com/office/drawing/2014/chart" uri="{C3380CC4-5D6E-409C-BE32-E72D297353CC}">
                <c16:uniqueId val="{00000001-9FAB-42EB-8BFD-5CF982300727}"/>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9FAB-42EB-8BFD-5CF982300727}"/>
              </c:ext>
            </c:extLst>
          </c:dPt>
          <c:dPt>
            <c:idx val="3"/>
            <c:invertIfNegative val="0"/>
            <c:bubble3D val="0"/>
            <c:spPr>
              <a:solidFill>
                <a:srgbClr val="00B050"/>
              </a:solidFill>
              <a:ln>
                <a:noFill/>
              </a:ln>
              <a:effectLst/>
            </c:spPr>
            <c:extLst>
              <c:ext xmlns:c16="http://schemas.microsoft.com/office/drawing/2014/chart" uri="{C3380CC4-5D6E-409C-BE32-E72D297353CC}">
                <c16:uniqueId val="{00000005-76E5-4F25-B535-82B6F7F5AD5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'!$E$103:$E$106</c:f>
              <c:numCache>
                <c:formatCode>0.0%</c:formatCode>
                <c:ptCount val="4"/>
                <c:pt idx="0">
                  <c:v>0.74951039565482447</c:v>
                </c:pt>
                <c:pt idx="1">
                  <c:v>0.74748415021499104</c:v>
                </c:pt>
                <c:pt idx="2">
                  <c:v>0.60396180555555556</c:v>
                </c:pt>
                <c:pt idx="3">
                  <c:v>0.8970852311939268</c:v>
                </c:pt>
              </c:numCache>
            </c:numRef>
          </c:val>
          <c:extLst>
            <c:ext xmlns:c16="http://schemas.microsoft.com/office/drawing/2014/chart" uri="{C3380CC4-5D6E-409C-BE32-E72D297353CC}">
              <c16:uniqueId val="{00000000-70B6-4803-9D07-7841283B20C7}"/>
            </c:ext>
          </c:extLst>
        </c:ser>
        <c:dLbls>
          <c:showLegendKey val="0"/>
          <c:showVal val="0"/>
          <c:showCatName val="0"/>
          <c:showSerName val="0"/>
          <c:showPercent val="0"/>
          <c:showBubbleSize val="0"/>
        </c:dLbls>
        <c:gapWidth val="219"/>
        <c:overlap val="-27"/>
        <c:axId val="429230528"/>
        <c:axId val="429232096"/>
      </c:barChart>
      <c:catAx>
        <c:axId val="42923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232096"/>
        <c:crosses val="autoZero"/>
        <c:auto val="1"/>
        <c:lblAlgn val="ctr"/>
        <c:lblOffset val="100"/>
        <c:noMultiLvlLbl val="0"/>
      </c:catAx>
      <c:valAx>
        <c:axId val="429232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9230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s-CO" b="1"/>
              <a:t>AVANCE RESPECTO AL CUATRIENIO DE LOS COMPONENTES </a:t>
            </a:r>
            <a:r>
              <a:rPr lang="es-CO" sz="1400" b="1" i="0" u="none" strike="noStrike" kern="1200" spc="0" baseline="0">
                <a:solidFill>
                  <a:srgbClr val="000000">
                    <a:lumMod val="65000"/>
                    <a:lumOff val="35000"/>
                  </a:srgbClr>
                </a:solidFill>
                <a:latin typeface="+mn-lt"/>
                <a:ea typeface="+mn-ea"/>
                <a:cs typeface="+mn-cs"/>
              </a:rPr>
              <a:t>IMPULSORES LINEA ESTRATEGICA VIDA DIGNA. COMPARATIVO 30 DE MARZO DE 2026</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r>
              <a:rPr lang="es-CO" sz="1400" b="1" i="0" u="none" strike="noStrike" kern="1200" spc="0" baseline="0">
                <a:solidFill>
                  <a:srgbClr val="000000">
                    <a:lumMod val="65000"/>
                    <a:lumOff val="35000"/>
                  </a:srgbClr>
                </a:solidFill>
                <a:latin typeface="+mn-lt"/>
                <a:ea typeface="+mn-ea"/>
                <a:cs typeface="+mn-cs"/>
              </a:rPr>
              <a:t>- 31 DE DICIEMBRE DE 2025</a:t>
            </a:r>
          </a:p>
        </c:rich>
      </c:tx>
      <c:layout>
        <c:manualLayout>
          <c:xMode val="edge"/>
          <c:yMode val="edge"/>
          <c:x val="9.8713785319989339E-2"/>
          <c:y val="1.0575296108291032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'!$D$4</c:f>
              <c:strCache>
                <c:ptCount val="1"/>
                <c:pt idx="0">
                  <c:v>ESPERADO  AL CUATRIENIO CORTE DICIEMBRE 2026</c:v>
                </c:pt>
              </c:strCache>
            </c:strRef>
          </c:tx>
          <c:spPr>
            <a:solidFill>
              <a:schemeClr val="tx2">
                <a:lumMod val="75000"/>
                <a:lumOff val="25000"/>
              </a:schemeClr>
            </a:solidFill>
            <a:ln>
              <a:noFill/>
            </a:ln>
            <a:effectLst/>
          </c:spPr>
          <c:invertIfNegative val="0"/>
          <c:dLbls>
            <c:dLbl>
              <c:idx val="1"/>
              <c:layout>
                <c:manualLayout>
                  <c:x val="-1.5862944162436547E-2"/>
                  <c:y val="-4.095004095004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EB-408F-B65D-64A732EFFC6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0.82276088820641258</c:v>
                </c:pt>
                <c:pt idx="1">
                  <c:v>0.77414858915772211</c:v>
                </c:pt>
                <c:pt idx="2">
                  <c:v>0.8285663941096183</c:v>
                </c:pt>
                <c:pt idx="3">
                  <c:v>0.58509444444444447</c:v>
                </c:pt>
                <c:pt idx="4">
                  <c:v>0.9703589812832929</c:v>
                </c:pt>
                <c:pt idx="5">
                  <c:v>0.85953944293246254</c:v>
                </c:pt>
                <c:pt idx="6">
                  <c:v>0.91885747731093426</c:v>
                </c:pt>
              </c:numCache>
            </c:numRef>
          </c:val>
          <c:extLst>
            <c:ext xmlns:c16="http://schemas.microsoft.com/office/drawing/2014/chart" uri="{C3380CC4-5D6E-409C-BE32-E72D297353CC}">
              <c16:uniqueId val="{00000000-E1C8-46AE-9522-305429A00121}"/>
            </c:ext>
          </c:extLst>
        </c:ser>
        <c:ser>
          <c:idx val="1"/>
          <c:order val="1"/>
          <c:tx>
            <c:strRef>
              <c:f>'GRAFICAS VIDA DIGNA '!$E$4</c:f>
              <c:strCache>
                <c:ptCount val="1"/>
                <c:pt idx="0">
                  <c:v>LOGRO  CORTE  30 DE MARZO DE 2026 RESPECTO AL CUATRIENIO</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F2A2-4F55-9B3F-7BACD1D7EA70}"/>
              </c:ext>
            </c:extLst>
          </c:dPt>
          <c:dPt>
            <c:idx val="1"/>
            <c:invertIfNegative val="0"/>
            <c:bubble3D val="0"/>
            <c:spPr>
              <a:solidFill>
                <a:srgbClr val="FFFF00"/>
              </a:solidFill>
              <a:ln>
                <a:noFill/>
              </a:ln>
              <a:effectLst/>
            </c:spPr>
            <c:extLst>
              <c:ext xmlns:c16="http://schemas.microsoft.com/office/drawing/2014/chart" uri="{C3380CC4-5D6E-409C-BE32-E72D297353CC}">
                <c16:uniqueId val="{0000000A-D607-43EB-9721-B7584D8D838B}"/>
              </c:ext>
            </c:extLst>
          </c:dPt>
          <c:dPt>
            <c:idx val="2"/>
            <c:invertIfNegative val="0"/>
            <c:bubble3D val="0"/>
            <c:spPr>
              <a:solidFill>
                <a:srgbClr val="FFFF00"/>
              </a:solidFill>
              <a:ln>
                <a:noFill/>
              </a:ln>
              <a:effectLst/>
            </c:spPr>
            <c:extLst>
              <c:ext xmlns:c16="http://schemas.microsoft.com/office/drawing/2014/chart" uri="{C3380CC4-5D6E-409C-BE32-E72D297353CC}">
                <c16:uniqueId val="{00000004-99AF-4A51-BCA7-77ADA8723155}"/>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99AF-4A51-BCA7-77ADA8723155}"/>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99AF-4A51-BCA7-77ADA8723155}"/>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99AF-4A51-BCA7-77ADA8723155}"/>
              </c:ext>
            </c:extLst>
          </c:dPt>
          <c:dPt>
            <c:idx val="6"/>
            <c:invertIfNegative val="0"/>
            <c:bubble3D val="0"/>
            <c:spPr>
              <a:solidFill>
                <a:srgbClr val="00B050"/>
              </a:solidFill>
              <a:ln>
                <a:noFill/>
              </a:ln>
              <a:effectLst/>
            </c:spPr>
            <c:extLst>
              <c:ext xmlns:c16="http://schemas.microsoft.com/office/drawing/2014/chart" uri="{C3380CC4-5D6E-409C-BE32-E72D297353CC}">
                <c16:uniqueId val="{00000009-99AF-4A51-BCA7-77ADA872315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0.56537558510342345</c:v>
                </c:pt>
                <c:pt idx="1">
                  <c:v>0.54582005569608971</c:v>
                </c:pt>
                <c:pt idx="2">
                  <c:v>0.51462158645123768</c:v>
                </c:pt>
                <c:pt idx="3">
                  <c:v>0.25251470588235292</c:v>
                </c:pt>
                <c:pt idx="4">
                  <c:v>0.68989500147009652</c:v>
                </c:pt>
                <c:pt idx="5">
                  <c:v>0.6398917654659394</c:v>
                </c:pt>
                <c:pt idx="6">
                  <c:v>0.74951039565482447</c:v>
                </c:pt>
              </c:numCache>
            </c:numRef>
          </c:val>
          <c:extLst>
            <c:ext xmlns:c16="http://schemas.microsoft.com/office/drawing/2014/chart" uri="{C3380CC4-5D6E-409C-BE32-E72D297353CC}">
              <c16:uniqueId val="{00000001-E1C8-46AE-9522-305429A00121}"/>
            </c:ext>
          </c:extLst>
        </c:ser>
        <c:ser>
          <c:idx val="2"/>
          <c:order val="2"/>
          <c:tx>
            <c:strRef>
              <c:f>'GRAFICAS VIDA DIGNA '!$F$4</c:f>
              <c:strCache>
                <c:ptCount val="1"/>
                <c:pt idx="0">
                  <c:v>LOGRO   CORTE DICIEMBRE 31 DE 2025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'!$F$5:$F$11</c:f>
              <c:numCache>
                <c:formatCode>0.0%</c:formatCode>
                <c:ptCount val="7"/>
                <c:pt idx="0">
                  <c:v>0.5127485650474547</c:v>
                </c:pt>
                <c:pt idx="1">
                  <c:v>0.50550379134463475</c:v>
                </c:pt>
                <c:pt idx="2">
                  <c:v>0.36954161861032914</c:v>
                </c:pt>
                <c:pt idx="3">
                  <c:v>0.2397588235294118</c:v>
                </c:pt>
                <c:pt idx="4">
                  <c:v>0.67944991280412703</c:v>
                </c:pt>
                <c:pt idx="5">
                  <c:v>0.58130025930285478</c:v>
                </c:pt>
                <c:pt idx="6">
                  <c:v>0.70093698469337029</c:v>
                </c:pt>
              </c:numCache>
            </c:numRef>
          </c:val>
          <c:extLst>
            <c:ext xmlns:c16="http://schemas.microsoft.com/office/drawing/2014/chart" uri="{C3380CC4-5D6E-409C-BE32-E72D297353CC}">
              <c16:uniqueId val="{00000002-E1C8-46AE-9522-305429A00121}"/>
            </c:ext>
          </c:extLst>
        </c:ser>
        <c:dLbls>
          <c:showLegendKey val="0"/>
          <c:showVal val="0"/>
          <c:showCatName val="0"/>
          <c:showSerName val="0"/>
          <c:showPercent val="0"/>
          <c:showBubbleSize val="0"/>
        </c:dLbls>
        <c:gapWidth val="219"/>
        <c:overlap val="-27"/>
        <c:axId val="429905488"/>
        <c:axId val="429902744"/>
      </c:barChart>
      <c:catAx>
        <c:axId val="42990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429902744"/>
        <c:crosses val="autoZero"/>
        <c:auto val="1"/>
        <c:lblAlgn val="ctr"/>
        <c:lblOffset val="100"/>
        <c:noMultiLvlLbl val="0"/>
      </c:catAx>
      <c:valAx>
        <c:axId val="429902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29905488"/>
        <c:crosses val="autoZero"/>
        <c:crossBetween val="between"/>
      </c:valAx>
      <c:spPr>
        <a:noFill/>
        <a:ln>
          <a:noFill/>
        </a:ln>
        <a:effectLst/>
      </c:spPr>
    </c:plotArea>
    <c:legend>
      <c:legendPos val="b"/>
      <c:layout>
        <c:manualLayout>
          <c:xMode val="edge"/>
          <c:yMode val="edge"/>
          <c:x val="5.000000000000001E-2"/>
          <c:y val="0.88952436688657166"/>
          <c:w val="0.9"/>
          <c:h val="5.9288104070431502E-2"/>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AVANCE CUATRIENIO COMPONENTE </a:t>
            </a:r>
            <a:r>
              <a:rPr lang="en-US" sz="1200" b="1" i="0" u="none" strike="noStrike" kern="1200" spc="0" baseline="0">
                <a:solidFill>
                  <a:srgbClr val="000000">
                    <a:lumMod val="65000"/>
                    <a:lumOff val="35000"/>
                  </a:srgbClr>
                </a:solidFill>
                <a:effectLst/>
                <a:latin typeface="+mn-lt"/>
                <a:ea typeface="+mn-ea"/>
                <a:cs typeface="+mn-cs"/>
              </a:rPr>
              <a:t>IMPULSOR VIVIENDA DIGNA Y HÁBITAT. PROGRAMAS  CORTE </a:t>
            </a:r>
            <a:r>
              <a:rPr lang="es-CO" sz="1200" b="1" i="0" u="none" strike="noStrike" kern="1200" spc="0" baseline="0">
                <a:solidFill>
                  <a:srgbClr val="000000">
                    <a:lumMod val="65000"/>
                    <a:lumOff val="35000"/>
                  </a:srgbClr>
                </a:solidFill>
                <a:effectLst/>
                <a:latin typeface="+mn-lt"/>
                <a:ea typeface="+mn-ea"/>
                <a:cs typeface="+mn-cs"/>
              </a:rPr>
              <a:t>30 DE MARZO DE 2026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9579737206571053E-2"/>
          <c:y val="0.17444041601263571"/>
          <c:w val="0.91449433923024759"/>
          <c:h val="0.70461046949904216"/>
        </c:manualLayout>
      </c:layout>
      <c:barChart>
        <c:barDir val="col"/>
        <c:grouping val="clustered"/>
        <c:varyColors val="0"/>
        <c:ser>
          <c:idx val="0"/>
          <c:order val="0"/>
          <c:tx>
            <c:strRef>
              <c:f>'GRAFICAS VIDA DIGNA '!$E$71</c:f>
              <c:strCache>
                <c:ptCount val="1"/>
                <c:pt idx="0">
                  <c:v>AVANCE CUATRIENIO COMPONENTE IMPULSOR VIVIENDA DIGNA Y HÁBITATCORTE 30 DE MARZO DE 2026</c:v>
                </c:pt>
              </c:strCache>
            </c:strRef>
          </c:tx>
          <c:spPr>
            <a:solidFill>
              <a:schemeClr val="accent2">
                <a:lumMod val="40000"/>
                <a:lumOff val="60000"/>
              </a:schemeClr>
            </a:solidFill>
            <a:ln>
              <a:noFill/>
            </a:ln>
            <a:effectLst/>
          </c:spPr>
          <c:invertIfNegative val="0"/>
          <c:dPt>
            <c:idx val="0"/>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E2D5-4432-8BAF-BCDB06264E74}"/>
              </c:ext>
            </c:extLst>
          </c:dPt>
          <c:dPt>
            <c:idx val="1"/>
            <c:invertIfNegative val="0"/>
            <c:bubble3D val="0"/>
            <c:spPr>
              <a:solidFill>
                <a:srgbClr val="FF0000"/>
              </a:solidFill>
              <a:ln>
                <a:noFill/>
              </a:ln>
              <a:effectLst/>
            </c:spPr>
            <c:extLst>
              <c:ext xmlns:c16="http://schemas.microsoft.com/office/drawing/2014/chart" uri="{C3380CC4-5D6E-409C-BE32-E72D297353CC}">
                <c16:uniqueId val="{00000003-E2D5-4432-8BAF-BCDB06264E74}"/>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E2D5-4432-8BAF-BCDB06264E74}"/>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E2D5-4432-8BAF-BCDB06264E7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8-6EA3-458D-80DD-B5A9E08CC99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'!$E$72:$E$76</c:f>
              <c:numCache>
                <c:formatCode>0.0%</c:formatCode>
                <c:ptCount val="5"/>
                <c:pt idx="0">
                  <c:v>0.25251470588235292</c:v>
                </c:pt>
                <c:pt idx="1">
                  <c:v>8.6699999999999999E-2</c:v>
                </c:pt>
                <c:pt idx="2">
                  <c:v>0.28572549019607846</c:v>
                </c:pt>
                <c:pt idx="3">
                  <c:v>0.31440000000000001</c:v>
                </c:pt>
                <c:pt idx="4">
                  <c:v>0.32323333333333332</c:v>
                </c:pt>
              </c:numCache>
            </c:numRef>
          </c:val>
          <c:extLst>
            <c:ext xmlns:c16="http://schemas.microsoft.com/office/drawing/2014/chart" uri="{C3380CC4-5D6E-409C-BE32-E72D297353CC}">
              <c16:uniqueId val="{00000008-E2D5-4432-8BAF-BCDB06264E74}"/>
            </c:ext>
          </c:extLst>
        </c:ser>
        <c:dLbls>
          <c:showLegendKey val="0"/>
          <c:showVal val="0"/>
          <c:showCatName val="0"/>
          <c:showSerName val="0"/>
          <c:showPercent val="0"/>
          <c:showBubbleSize val="0"/>
        </c:dLbls>
        <c:gapWidth val="219"/>
        <c:overlap val="-27"/>
        <c:axId val="429907840"/>
        <c:axId val="429906272"/>
      </c:barChart>
      <c:catAx>
        <c:axId val="42990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9906272"/>
        <c:crosses val="autoZero"/>
        <c:auto val="1"/>
        <c:lblAlgn val="ctr"/>
        <c:lblOffset val="100"/>
        <c:noMultiLvlLbl val="0"/>
      </c:catAx>
      <c:valAx>
        <c:axId val="429906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AVANCE RESPECTO AL CUATRIENIO DE LOS COMPONENTES IMPULSORES LINEA ESTRATEGICA VIDA DIGNA  30 DE MARZO DE 2026. PONDERADO.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'!$O$5</c:f>
              <c:strCache>
                <c:ptCount val="1"/>
                <c:pt idx="0">
                  <c:v>LOGRO CORTE 30 DE MARZO DE 2026 RESPECTO AL CUATRIENIO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'!$O$6:$O$12</c:f>
              <c:numCache>
                <c:formatCode>0.0%</c:formatCode>
                <c:ptCount val="7"/>
                <c:pt idx="0">
                  <c:v>0.53288230613882503</c:v>
                </c:pt>
                <c:pt idx="1">
                  <c:v>0.49742369396749242</c:v>
                </c:pt>
                <c:pt idx="2">
                  <c:v>0.50564363336259133</c:v>
                </c:pt>
                <c:pt idx="3">
                  <c:v>0.23122964705882354</c:v>
                </c:pt>
                <c:pt idx="4">
                  <c:v>0.54159010199257906</c:v>
                </c:pt>
                <c:pt idx="5">
                  <c:v>0.57005983057417897</c:v>
                </c:pt>
                <c:pt idx="6">
                  <c:v>0.7647825899514209</c:v>
                </c:pt>
              </c:numCache>
            </c:numRef>
          </c:val>
          <c:extLst>
            <c:ext xmlns:c16="http://schemas.microsoft.com/office/drawing/2014/chart" uri="{C3380CC4-5D6E-409C-BE32-E72D297353CC}">
              <c16:uniqueId val="{00000000-E724-4ED9-8FDF-358F14538334}"/>
            </c:ext>
          </c:extLst>
        </c:ser>
        <c:dLbls>
          <c:dLblPos val="inEnd"/>
          <c:showLegendKey val="0"/>
          <c:showVal val="1"/>
          <c:showCatName val="0"/>
          <c:showSerName val="0"/>
          <c:showPercent val="0"/>
          <c:showBubbleSize val="0"/>
        </c:dLbls>
        <c:gapWidth val="65"/>
        <c:axId val="2032366895"/>
        <c:axId val="2032371471"/>
      </c:barChart>
      <c:catAx>
        <c:axId val="2032366895"/>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500" b="1" i="0" u="none" strike="noStrike" kern="1200" cap="all" baseline="0">
                <a:solidFill>
                  <a:schemeClr val="dk1">
                    <a:lumMod val="75000"/>
                    <a:lumOff val="25000"/>
                  </a:schemeClr>
                </a:solidFill>
                <a:latin typeface="+mn-lt"/>
                <a:ea typeface="+mn-ea"/>
                <a:cs typeface="+mn-cs"/>
              </a:defRPr>
            </a:pPr>
            <a:endParaRPr lang="es-CO"/>
          </a:p>
        </c:txPr>
        <c:crossAx val="2032371471"/>
        <c:crosses val="autoZero"/>
        <c:auto val="1"/>
        <c:lblAlgn val="ctr"/>
        <c:lblOffset val="100"/>
        <c:noMultiLvlLbl val="0"/>
      </c:catAx>
      <c:valAx>
        <c:axId val="2032371471"/>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203236689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DESARROLLO </a:t>
            </a:r>
            <a:r>
              <a:rPr lang="es-ES" b="1"/>
              <a:t>ECONÓMICO</a:t>
            </a:r>
            <a:r>
              <a:rPr lang="es-CO" b="1"/>
              <a:t> </a:t>
            </a:r>
            <a:r>
              <a:rPr lang="es-CO" sz="1560" b="1" i="0" u="none" strike="noStrike" baseline="0">
                <a:effectLst/>
              </a:rPr>
              <a:t>30 DE MARZO 2026.</a:t>
            </a:r>
            <a:endParaRPr lang="es-CO" b="1"/>
          </a:p>
        </c:rich>
      </c:tx>
      <c:overlay val="0"/>
      <c:spPr>
        <a:noFill/>
        <a:ln>
          <a:noFill/>
        </a:ln>
        <a:effectLst/>
      </c:spPr>
      <c:txPr>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2566811110331592E-2"/>
          <c:y val="8.7784564131038315E-2"/>
          <c:w val="0.9578056021390472"/>
          <c:h val="0.72291315659778344"/>
        </c:manualLayout>
      </c:layout>
      <c:barChart>
        <c:barDir val="col"/>
        <c:grouping val="clustered"/>
        <c:varyColors val="0"/>
        <c:ser>
          <c:idx val="0"/>
          <c:order val="0"/>
          <c:tx>
            <c:strRef>
              <c:f>'GRAFICAS DESARROLLO ECONOMICO'!$D$4</c:f>
              <c:strCache>
                <c:ptCount val="1"/>
                <c:pt idx="0">
                  <c:v>ESPERADO  AL CUATRIENIO CORTE DICIEMBRE 2026</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0.82209331785503881</c:v>
                </c:pt>
                <c:pt idx="1">
                  <c:v>0.8939583333333333</c:v>
                </c:pt>
                <c:pt idx="2">
                  <c:v>0.96903299936386766</c:v>
                </c:pt>
                <c:pt idx="3">
                  <c:v>0.73340925925925926</c:v>
                </c:pt>
                <c:pt idx="4">
                  <c:v>0.76544494047619049</c:v>
                </c:pt>
                <c:pt idx="5">
                  <c:v>0.83863768610593192</c:v>
                </c:pt>
                <c:pt idx="6">
                  <c:v>0.7731538901055337</c:v>
                </c:pt>
                <c:pt idx="7">
                  <c:v>0.78101611634115498</c:v>
                </c:pt>
              </c:numCache>
            </c:numRef>
          </c:val>
          <c:extLst>
            <c:ext xmlns:c16="http://schemas.microsoft.com/office/drawing/2014/chart" uri="{C3380CC4-5D6E-409C-BE32-E72D297353CC}">
              <c16:uniqueId val="{00000000-9F4A-43C0-81A8-3A12DFD2CA5C}"/>
            </c:ext>
          </c:extLst>
        </c:ser>
        <c:ser>
          <c:idx val="1"/>
          <c:order val="1"/>
          <c:tx>
            <c:strRef>
              <c:f>'GRAFICAS DESARROLLO ECONOMICO'!$E$4</c:f>
              <c:strCache>
                <c:ptCount val="1"/>
                <c:pt idx="0">
                  <c:v>LOGRO  CORTE  30 DE MARZO DE 2026 RESPECTO AL CUATRIENIO</c:v>
                </c:pt>
              </c:strCache>
            </c:strRef>
          </c:tx>
          <c:spPr>
            <a:solidFill>
              <a:schemeClr val="accent6">
                <a:lumMod val="40000"/>
                <a:lumOff val="60000"/>
              </a:schemeClr>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E-295E-44D5-ACDF-919A6E23AF15}"/>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2-50B9-4CDE-92FB-8E749D41557A}"/>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FCE7-4BAD-B81B-67B8F3A8E91E}"/>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3-D0EE-4035-AAC7-39A3DEBE509F}"/>
              </c:ext>
            </c:extLst>
          </c:dPt>
          <c:dPt>
            <c:idx val="4"/>
            <c:invertIfNegative val="0"/>
            <c:bubble3D val="0"/>
            <c:spPr>
              <a:solidFill>
                <a:srgbClr val="FFFF00"/>
              </a:solidFill>
              <a:ln>
                <a:noFill/>
              </a:ln>
              <a:effectLst/>
            </c:spPr>
            <c:extLst>
              <c:ext xmlns:c16="http://schemas.microsoft.com/office/drawing/2014/chart" uri="{C3380CC4-5D6E-409C-BE32-E72D297353CC}">
                <c16:uniqueId val="{0000000C-A4D3-4361-8422-2D96EF7DC0DC}"/>
              </c:ext>
            </c:extLst>
          </c:dPt>
          <c:dPt>
            <c:idx val="5"/>
            <c:invertIfNegative val="0"/>
            <c:bubble3D val="0"/>
            <c:spPr>
              <a:solidFill>
                <a:srgbClr val="FFFF00"/>
              </a:solidFill>
              <a:ln>
                <a:noFill/>
              </a:ln>
              <a:effectLst/>
            </c:spPr>
            <c:extLst>
              <c:ext xmlns:c16="http://schemas.microsoft.com/office/drawing/2014/chart" uri="{C3380CC4-5D6E-409C-BE32-E72D297353CC}">
                <c16:uniqueId val="{00000006-3BE6-4FCE-9BA0-443BD2138E88}"/>
              </c:ext>
            </c:extLst>
          </c:dPt>
          <c:dPt>
            <c:idx val="6"/>
            <c:invertIfNegative val="0"/>
            <c:bubble3D val="0"/>
            <c:spPr>
              <a:solidFill>
                <a:srgbClr val="FFFF00"/>
              </a:solidFill>
              <a:ln>
                <a:noFill/>
              </a:ln>
              <a:effectLst/>
            </c:spPr>
            <c:extLst>
              <c:ext xmlns:c16="http://schemas.microsoft.com/office/drawing/2014/chart" uri="{C3380CC4-5D6E-409C-BE32-E72D297353CC}">
                <c16:uniqueId val="{00000004-3BE6-4FCE-9BA0-443BD2138E88}"/>
              </c:ext>
            </c:extLst>
          </c:dPt>
          <c:dPt>
            <c:idx val="7"/>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50B9-4CDE-92FB-8E749D41557A}"/>
              </c:ext>
            </c:extLst>
          </c:dPt>
          <c:dLbls>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0.52346057293872739</c:v>
                </c:pt>
                <c:pt idx="1">
                  <c:v>0.57433333333333336</c:v>
                </c:pt>
                <c:pt idx="2">
                  <c:v>0.62353363549618313</c:v>
                </c:pt>
                <c:pt idx="3">
                  <c:v>0.65313860398860402</c:v>
                </c:pt>
                <c:pt idx="4">
                  <c:v>0.45648363095238093</c:v>
                </c:pt>
                <c:pt idx="5">
                  <c:v>0.54328163110282435</c:v>
                </c:pt>
                <c:pt idx="6">
                  <c:v>0.43724206458665521</c:v>
                </c:pt>
                <c:pt idx="7">
                  <c:v>0.37621111111111111</c:v>
                </c:pt>
              </c:numCache>
            </c:numRef>
          </c:val>
          <c:extLst>
            <c:ext xmlns:c16="http://schemas.microsoft.com/office/drawing/2014/chart" uri="{C3380CC4-5D6E-409C-BE32-E72D297353CC}">
              <c16:uniqueId val="{00000001-9F4A-43C0-81A8-3A12DFD2CA5C}"/>
            </c:ext>
          </c:extLst>
        </c:ser>
        <c:dLbls>
          <c:showLegendKey val="0"/>
          <c:showVal val="0"/>
          <c:showCatName val="0"/>
          <c:showSerName val="0"/>
          <c:showPercent val="0"/>
          <c:showBubbleSize val="0"/>
        </c:dLbls>
        <c:gapWidth val="219"/>
        <c:overlap val="-27"/>
        <c:axId val="429909016"/>
        <c:axId val="429902352"/>
      </c:barChart>
      <c:catAx>
        <c:axId val="42990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29902352"/>
        <c:crosses val="autoZero"/>
        <c:auto val="1"/>
        <c:lblAlgn val="ctr"/>
        <c:lblOffset val="100"/>
        <c:noMultiLvlLbl val="0"/>
      </c:catAx>
      <c:valAx>
        <c:axId val="429902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29909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r>
              <a:rPr lang="es-CO" sz="1100" b="1"/>
              <a:t>AVANCE COMPONENTES IMPULSORES LINEA ESTRATEGICA DESARROLLO </a:t>
            </a:r>
            <a:r>
              <a:rPr lang="es-CO" sz="1100" b="1" i="0" u="none" strike="noStrike" kern="1200" spc="0" baseline="0">
                <a:solidFill>
                  <a:srgbClr val="000000">
                    <a:lumMod val="65000"/>
                    <a:lumOff val="35000"/>
                  </a:srgbClr>
                </a:solidFill>
                <a:latin typeface="+mn-lt"/>
                <a:ea typeface="+mn-ea"/>
                <a:cs typeface="+mn-cs"/>
              </a:rPr>
              <a:t>ECONOMICO.  </a:t>
            </a:r>
            <a:r>
              <a:rPr lang="es-CO" sz="1100" b="1" i="0" u="none" strike="noStrike" baseline="0">
                <a:effectLst/>
              </a:rPr>
              <a:t>30 DE MARZO 2026.</a:t>
            </a:r>
            <a:endParaRPr lang="es-CO" sz="1100" b="1" i="0" u="none" strike="noStrike" kern="1200" spc="0" baseline="0">
              <a:solidFill>
                <a:srgbClr val="000000">
                  <a:lumMod val="65000"/>
                  <a:lumOff val="35000"/>
                </a:srgbClr>
              </a:solidFill>
              <a:latin typeface="+mn-lt"/>
              <a:ea typeface="+mn-ea"/>
              <a:cs typeface="+mn-cs"/>
            </a:endParaRPr>
          </a:p>
        </c:rich>
      </c:tx>
      <c:layout>
        <c:manualLayout>
          <c:xMode val="edge"/>
          <c:yMode val="edge"/>
          <c:x val="0.12584148355501365"/>
          <c:y val="2.2575180557005123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ECONOMICO'!$N$4</c:f>
              <c:strCache>
                <c:ptCount val="1"/>
                <c:pt idx="0">
                  <c:v>ESPERADO VIGENCIA  2026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ECONOMICO'!$N$5:$N$12</c:f>
              <c:numCache>
                <c:formatCode>0.0%</c:formatCode>
                <c:ptCount val="8"/>
                <c:pt idx="0">
                  <c:v>0.47108151070091941</c:v>
                </c:pt>
                <c:pt idx="1">
                  <c:v>0.50685000000000002</c:v>
                </c:pt>
                <c:pt idx="2">
                  <c:v>0.53725000000000001</c:v>
                </c:pt>
                <c:pt idx="3">
                  <c:v>0.42369658119658121</c:v>
                </c:pt>
                <c:pt idx="4">
                  <c:v>0.45204166666666673</c:v>
                </c:pt>
                <c:pt idx="5">
                  <c:v>0.68279743197983567</c:v>
                </c:pt>
                <c:pt idx="6">
                  <c:v>0.41627864506335271</c:v>
                </c:pt>
                <c:pt idx="7">
                  <c:v>0.39166666666666661</c:v>
                </c:pt>
              </c:numCache>
            </c:numRef>
          </c:val>
          <c:extLst>
            <c:ext xmlns:c16="http://schemas.microsoft.com/office/drawing/2014/chart" uri="{C3380CC4-5D6E-409C-BE32-E72D297353CC}">
              <c16:uniqueId val="{00000000-12F7-4069-8ED8-06F05995E246}"/>
            </c:ext>
          </c:extLst>
        </c:ser>
        <c:ser>
          <c:idx val="1"/>
          <c:order val="1"/>
          <c:tx>
            <c:strRef>
              <c:f>'GRAFICAS DESARROLLO ECONOMICO'!$O$4</c:f>
              <c:strCache>
                <c:ptCount val="1"/>
                <c:pt idx="0">
                  <c:v>LOGRO CORTE 30 DE MARZO DE 2026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ECONOMICO'!$O$5:$O$12</c:f>
              <c:numCache>
                <c:formatCode>0.0%</c:formatCode>
                <c:ptCount val="8"/>
                <c:pt idx="0">
                  <c:v>0.50250755082733933</c:v>
                </c:pt>
                <c:pt idx="1">
                  <c:v>0.52434999999999998</c:v>
                </c:pt>
                <c:pt idx="2">
                  <c:v>0.68558826335877854</c:v>
                </c:pt>
                <c:pt idx="3">
                  <c:v>0.5194825641025641</c:v>
                </c:pt>
                <c:pt idx="4">
                  <c:v>0.53543083333333341</c:v>
                </c:pt>
                <c:pt idx="5">
                  <c:v>0.48340781843450037</c:v>
                </c:pt>
                <c:pt idx="6">
                  <c:v>0.46112478198021289</c:v>
                </c:pt>
                <c:pt idx="7">
                  <c:v>0.33886249999999996</c:v>
                </c:pt>
              </c:numCache>
            </c:numRef>
          </c:val>
          <c:extLst>
            <c:ext xmlns:c16="http://schemas.microsoft.com/office/drawing/2014/chart" uri="{C3380CC4-5D6E-409C-BE32-E72D297353CC}">
              <c16:uniqueId val="{00000001-12F7-4069-8ED8-06F05995E246}"/>
            </c:ext>
          </c:extLst>
        </c:ser>
        <c:dLbls>
          <c:showLegendKey val="0"/>
          <c:showVal val="0"/>
          <c:showCatName val="0"/>
          <c:showSerName val="0"/>
          <c:showPercent val="0"/>
          <c:showBubbleSize val="0"/>
        </c:dLbls>
        <c:gapWidth val="219"/>
        <c:overlap val="-27"/>
        <c:axId val="429904312"/>
        <c:axId val="429901568"/>
      </c:barChart>
      <c:catAx>
        <c:axId val="42990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1568"/>
        <c:crosses val="autoZero"/>
        <c:auto val="1"/>
        <c:lblAlgn val="ctr"/>
        <c:lblOffset val="100"/>
        <c:noMultiLvlLbl val="0"/>
      </c:catAx>
      <c:valAx>
        <c:axId val="429901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Componente Impulsor de avance: Diversificación Económica. Avance</a:t>
            </a:r>
            <a:r>
              <a:rPr lang="en-US" b="1" baseline="0"/>
              <a:t> ponderado </a:t>
            </a:r>
            <a:r>
              <a:rPr lang="es-CO" sz="1400" b="1" i="0" u="none" strike="noStrike" baseline="0">
                <a:effectLst/>
              </a:rPr>
              <a:t> </a:t>
            </a:r>
            <a:r>
              <a:rPr lang="en-US" sz="1400" b="1" i="0" u="none" strike="noStrike" baseline="0">
                <a:effectLst/>
              </a:rPr>
              <a:t>30 de marzo 2026</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ECONOMICO'!$D$37</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ECONOMICO'!$D$38:$D$42</c:f>
              <c:numCache>
                <c:formatCode>0.00%</c:formatCode>
                <c:ptCount val="5"/>
                <c:pt idx="0">
                  <c:v>0.68558826335877854</c:v>
                </c:pt>
                <c:pt idx="1">
                  <c:v>0.88874999999999993</c:v>
                </c:pt>
                <c:pt idx="2">
                  <c:v>0.67900763358778615</c:v>
                </c:pt>
                <c:pt idx="3">
                  <c:v>0.42</c:v>
                </c:pt>
                <c:pt idx="4">
                  <c:v>0.77</c:v>
                </c:pt>
              </c:numCache>
            </c:numRef>
          </c:val>
          <c:extLst>
            <c:ext xmlns:c16="http://schemas.microsoft.com/office/drawing/2014/chart" uri="{C3380CC4-5D6E-409C-BE32-E72D297353CC}">
              <c16:uniqueId val="{00000000-C317-43F3-B058-E582ACE1CECF}"/>
            </c:ext>
          </c:extLst>
        </c:ser>
        <c:dLbls>
          <c:showLegendKey val="0"/>
          <c:showVal val="0"/>
          <c:showCatName val="0"/>
          <c:showSerName val="0"/>
          <c:showPercent val="0"/>
          <c:showBubbleSize val="0"/>
        </c:dLbls>
        <c:gapWidth val="219"/>
        <c:overlap val="-27"/>
        <c:axId val="429906664"/>
        <c:axId val="429908624"/>
      </c:barChart>
      <c:catAx>
        <c:axId val="42990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8624"/>
        <c:crosses val="autoZero"/>
        <c:auto val="1"/>
        <c:lblAlgn val="ctr"/>
        <c:lblOffset val="100"/>
        <c:noMultiLvlLbl val="0"/>
      </c:catAx>
      <c:valAx>
        <c:axId val="429908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6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600" b="1" i="0" u="none" strike="noStrike" kern="1200" spc="0" baseline="0">
                <a:solidFill>
                  <a:schemeClr val="tx1">
                    <a:lumMod val="65000"/>
                    <a:lumOff val="35000"/>
                  </a:schemeClr>
                </a:solidFill>
                <a:latin typeface="+mn-lt"/>
                <a:ea typeface="+mn-ea"/>
                <a:cs typeface="+mn-cs"/>
              </a:defRPr>
            </a:pPr>
            <a:r>
              <a:rPr lang="es-CO" b="1"/>
              <a:t>COMPARATIVO ENTRE EL ACUMUALDO CUATRIENIO Y SU</a:t>
            </a:r>
            <a:r>
              <a:rPr lang="es-CO" b="1" baseline="0"/>
              <a:t> VALOR PONDERADO A CORTE MARZO 2026</a:t>
            </a:r>
            <a:endParaRPr lang="es-CO" b="1"/>
          </a:p>
        </c:rich>
      </c:tx>
      <c:layout/>
      <c:overlay val="0"/>
      <c:spPr>
        <a:noFill/>
        <a:ln>
          <a:noFill/>
        </a:ln>
        <a:effectLst/>
      </c:spPr>
      <c:txPr>
        <a:bodyPr rot="0" spcFirstLastPara="1" vertOverflow="ellipsis" vert="horz" wrap="square" anchor="ctr" anchorCtr="1"/>
        <a:lstStyle/>
        <a:p>
          <a:pPr>
            <a:defRPr sz="3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13877668876063E-2"/>
          <c:y val="9.4463385139684761E-2"/>
          <c:w val="0.9503288788530605"/>
          <c:h val="0.64158167401849642"/>
        </c:manualLayout>
      </c:layout>
      <c:bar3DChart>
        <c:barDir val="col"/>
        <c:grouping val="clustered"/>
        <c:varyColors val="0"/>
        <c:ser>
          <c:idx val="0"/>
          <c:order val="0"/>
          <c:tx>
            <c:strRef>
              <c:f>'SEGUIMIENTO DEL PLAN DE DESARRO'!$J$2</c:f>
              <c:strCache>
                <c:ptCount val="1"/>
                <c:pt idx="0">
                  <c:v>AVANCE ACUMULADO  CORTE  MARZO 2026 RESPECTO AL CUATRIENIO</c:v>
                </c:pt>
              </c:strCache>
            </c:strRef>
          </c:tx>
          <c:spPr>
            <a:solidFill>
              <a:schemeClr val="accent1"/>
            </a:solidFill>
            <a:ln>
              <a:noFill/>
            </a:ln>
            <a:effectLst/>
            <a:sp3d/>
          </c:spPr>
          <c:invertIfNegative val="0"/>
          <c:dLbls>
            <c:dLbl>
              <c:idx val="0"/>
              <c:layout>
                <c:manualLayout>
                  <c:x val="4.9443757725586993E-3"/>
                  <c:y val="-1.57068062827225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01A-41AB-A686-7D45F18A7905}"/>
                </c:ext>
              </c:extLst>
            </c:dLbl>
            <c:dLbl>
              <c:idx val="1"/>
              <c:layout>
                <c:manualLayout>
                  <c:x val="-2.4721878862793874E-3"/>
                  <c:y val="-1.5706806282722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01A-41AB-A686-7D45F18A7905}"/>
                </c:ext>
              </c:extLst>
            </c:dLbl>
            <c:dLbl>
              <c:idx val="2"/>
              <c:layout>
                <c:manualLayout>
                  <c:x val="7.4165636588380719E-3"/>
                  <c:y val="-1.30890052356020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01A-41AB-A686-7D45F18A7905}"/>
                </c:ext>
              </c:extLst>
            </c:dLbl>
            <c:dLbl>
              <c:idx val="3"/>
              <c:layout>
                <c:manualLayout>
                  <c:x val="7.4165636588380719E-3"/>
                  <c:y val="-1.83246073298429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01A-41AB-A686-7D45F18A7905}"/>
                </c:ext>
              </c:extLst>
            </c:dLbl>
            <c:dLbl>
              <c:idx val="4"/>
              <c:layout>
                <c:manualLayout>
                  <c:x val="4.944375772558714E-3"/>
                  <c:y val="-1.57068062827225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01A-41AB-A686-7D45F18A7905}"/>
                </c:ext>
              </c:extLst>
            </c:dLbl>
            <c:dLbl>
              <c:idx val="5"/>
              <c:layout>
                <c:manualLayout>
                  <c:x val="9.8887515451173084E-3"/>
                  <c:y val="-1.8324607329842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01A-41AB-A686-7D45F18A7905}"/>
                </c:ext>
              </c:extLst>
            </c:dLbl>
            <c:dLbl>
              <c:idx val="6"/>
              <c:layout>
                <c:manualLayout>
                  <c:x val="1.2360939431396785E-3"/>
                  <c:y val="-2.35602094240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01A-41AB-A686-7D45F18A7905}"/>
                </c:ext>
              </c:extLst>
            </c:dLbl>
            <c:spPr>
              <a:noFill/>
              <a:ln>
                <a:noFill/>
              </a:ln>
              <a:effectLst/>
            </c:spPr>
            <c:txPr>
              <a:bodyPr rot="0" spcFirstLastPara="1" vertOverflow="ellipsis" vert="horz" wrap="square" lIns="38100" tIns="19050" rIns="38100" bIns="19050" anchor="ctr" anchorCtr="1">
                <a:spAutoFit/>
              </a:bodyPr>
              <a:lstStyle/>
              <a:p>
                <a:pPr>
                  <a:defRPr sz="3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DESARRO'!$J$3:$J$9</c:f>
              <c:numCache>
                <c:formatCode>0.0%</c:formatCode>
                <c:ptCount val="7"/>
                <c:pt idx="0">
                  <c:v>0.52319293972307812</c:v>
                </c:pt>
                <c:pt idx="1">
                  <c:v>0.55531722153017071</c:v>
                </c:pt>
                <c:pt idx="2">
                  <c:v>0.56537558510342345</c:v>
                </c:pt>
                <c:pt idx="3">
                  <c:v>0.52346057293872739</c:v>
                </c:pt>
                <c:pt idx="4">
                  <c:v>0.53358917072877365</c:v>
                </c:pt>
                <c:pt idx="5">
                  <c:v>0.58485635336926378</c:v>
                </c:pt>
                <c:pt idx="6">
                  <c:v>0.37655873466810963</c:v>
                </c:pt>
              </c:numCache>
            </c:numRef>
          </c:val>
          <c:extLst>
            <c:ext xmlns:c16="http://schemas.microsoft.com/office/drawing/2014/chart" uri="{C3380CC4-5D6E-409C-BE32-E72D297353CC}">
              <c16:uniqueId val="{00000000-F01A-41AB-A686-7D45F18A7905}"/>
            </c:ext>
          </c:extLst>
        </c:ser>
        <c:ser>
          <c:idx val="1"/>
          <c:order val="1"/>
          <c:tx>
            <c:strRef>
              <c:f>'SEGUIMIENTO DEL PLAN DE DESARRO'!$T$2</c:f>
              <c:strCache>
                <c:ptCount val="1"/>
                <c:pt idx="0">
                  <c:v>AVANCE ACUMULADO  CORTE  MARZO 2026 RESPECTO AL CUATRIENIO (PONDERADOR)</c:v>
                </c:pt>
              </c:strCache>
            </c:strRef>
          </c:tx>
          <c:spPr>
            <a:solidFill>
              <a:schemeClr val="accent2"/>
            </a:solidFill>
            <a:ln>
              <a:noFill/>
            </a:ln>
            <a:effectLst/>
            <a:sp3d/>
          </c:spPr>
          <c:invertIfNegative val="0"/>
          <c:dLbls>
            <c:dLbl>
              <c:idx val="0"/>
              <c:layout>
                <c:manualLayout>
                  <c:x val="2.2249690976514216E-2"/>
                  <c:y val="-1.04712041884817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01A-41AB-A686-7D45F18A7905}"/>
                </c:ext>
              </c:extLst>
            </c:dLbl>
            <c:dLbl>
              <c:idx val="1"/>
              <c:layout>
                <c:manualLayout>
                  <c:x val="1.73053152039555E-2"/>
                  <c:y val="-1.30890052356020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01A-41AB-A686-7D45F18A7905}"/>
                </c:ext>
              </c:extLst>
            </c:dLbl>
            <c:dLbl>
              <c:idx val="2"/>
              <c:layout>
                <c:manualLayout>
                  <c:x val="1.73053152039555E-2"/>
                  <c:y val="-1.30890052356020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01A-41AB-A686-7D45F18A7905}"/>
                </c:ext>
              </c:extLst>
            </c:dLbl>
            <c:dLbl>
              <c:idx val="3"/>
              <c:layout>
                <c:manualLayout>
                  <c:x val="1.6069221260815822E-2"/>
                  <c:y val="-1.30890052356020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01A-41AB-A686-7D45F18A7905}"/>
                </c:ext>
              </c:extLst>
            </c:dLbl>
            <c:dLbl>
              <c:idx val="4"/>
              <c:layout>
                <c:manualLayout>
                  <c:x val="1.73053152039555E-2"/>
                  <c:y val="-2.617801047120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01A-41AB-A686-7D45F18A7905}"/>
                </c:ext>
              </c:extLst>
            </c:dLbl>
            <c:dLbl>
              <c:idx val="5"/>
              <c:layout>
                <c:manualLayout>
                  <c:x val="1.6069221260815822E-2"/>
                  <c:y val="-1.30890052356020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01A-41AB-A686-7D45F18A7905}"/>
                </c:ext>
              </c:extLst>
            </c:dLbl>
            <c:dLbl>
              <c:idx val="6"/>
              <c:layout>
                <c:manualLayout>
                  <c:x val="1.4833127317676144E-2"/>
                  <c:y val="-1.04712041884816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01A-41AB-A686-7D45F18A7905}"/>
                </c:ext>
              </c:extLst>
            </c:dLbl>
            <c:spPr>
              <a:noFill/>
              <a:ln>
                <a:noFill/>
              </a:ln>
              <a:effectLst/>
            </c:spPr>
            <c:txPr>
              <a:bodyPr rot="0" spcFirstLastPara="1" vertOverflow="ellipsis" vert="horz" wrap="square" lIns="38100" tIns="19050" rIns="38100" bIns="19050" anchor="ctr" anchorCtr="1">
                <a:spAutoFit/>
              </a:bodyPr>
              <a:lstStyle/>
              <a:p>
                <a:pPr>
                  <a:defRPr sz="3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DESARRO'!$T$3:$T$9</c:f>
              <c:numCache>
                <c:formatCode>0.0%</c:formatCode>
                <c:ptCount val="7"/>
                <c:pt idx="0">
                  <c:v>0.49708320477254825</c:v>
                </c:pt>
                <c:pt idx="1">
                  <c:v>0.52120742165003209</c:v>
                </c:pt>
                <c:pt idx="2">
                  <c:v>0.53288230613882503</c:v>
                </c:pt>
                <c:pt idx="3">
                  <c:v>0.50250755082733933</c:v>
                </c:pt>
                <c:pt idx="4">
                  <c:v>0.43051012846917308</c:v>
                </c:pt>
                <c:pt idx="5">
                  <c:v>0.54894144575815218</c:v>
                </c:pt>
                <c:pt idx="6">
                  <c:v>0.36127683238636366</c:v>
                </c:pt>
              </c:numCache>
            </c:numRef>
          </c:val>
          <c:extLst>
            <c:ext xmlns:c16="http://schemas.microsoft.com/office/drawing/2014/chart" uri="{C3380CC4-5D6E-409C-BE32-E72D297353CC}">
              <c16:uniqueId val="{00000001-F01A-41AB-A686-7D45F18A7905}"/>
            </c:ext>
          </c:extLst>
        </c:ser>
        <c:dLbls>
          <c:showLegendKey val="0"/>
          <c:showVal val="0"/>
          <c:showCatName val="0"/>
          <c:showSerName val="0"/>
          <c:showPercent val="0"/>
          <c:showBubbleSize val="0"/>
        </c:dLbls>
        <c:gapWidth val="150"/>
        <c:shape val="box"/>
        <c:axId val="1913729583"/>
        <c:axId val="1913738735"/>
        <c:axId val="0"/>
      </c:bar3DChart>
      <c:catAx>
        <c:axId val="191372958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0" b="1" i="0" u="none" strike="noStrike" kern="1200" baseline="0">
                <a:solidFill>
                  <a:schemeClr val="tx1">
                    <a:lumMod val="65000"/>
                    <a:lumOff val="35000"/>
                  </a:schemeClr>
                </a:solidFill>
                <a:latin typeface="+mn-lt"/>
                <a:ea typeface="+mn-ea"/>
                <a:cs typeface="+mn-cs"/>
              </a:defRPr>
            </a:pPr>
            <a:endParaRPr lang="es-CO"/>
          </a:p>
        </c:txPr>
        <c:crossAx val="1913738735"/>
        <c:crosses val="autoZero"/>
        <c:auto val="1"/>
        <c:lblAlgn val="ctr"/>
        <c:lblOffset val="100"/>
        <c:noMultiLvlLbl val="0"/>
      </c:catAx>
      <c:valAx>
        <c:axId val="191373873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3500" b="1" i="0" u="none" strike="noStrike" kern="1200" baseline="0">
                <a:solidFill>
                  <a:schemeClr val="tx1">
                    <a:lumMod val="65000"/>
                    <a:lumOff val="35000"/>
                  </a:schemeClr>
                </a:solidFill>
                <a:latin typeface="+mn-lt"/>
                <a:ea typeface="+mn-ea"/>
                <a:cs typeface="+mn-cs"/>
              </a:defRPr>
            </a:pPr>
            <a:endParaRPr lang="es-CO"/>
          </a:p>
        </c:txPr>
        <c:crossAx val="1913729583"/>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3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3000"/>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CO" sz="1200" b="1" i="0" u="none" strike="noStrike" baseline="0">
                <a:effectLst/>
              </a:rPr>
              <a:t>Componente Impulsor de avance: Trabajo Decente y Cierre de Brechas Laborales. Avance ponderado  </a:t>
            </a:r>
            <a:r>
              <a:rPr lang="en-US" sz="1200" b="1" i="0" u="none" strike="noStrike" baseline="0">
                <a:effectLst/>
              </a:rPr>
              <a:t>30 de marzo de 2026</a:t>
            </a:r>
            <a:endParaRPr lang="en-US" sz="1200" b="1"/>
          </a:p>
        </c:rich>
      </c:tx>
      <c:layout>
        <c:manualLayout>
          <c:xMode val="edge"/>
          <c:yMode val="edge"/>
          <c:x val="0.122098374066878"/>
          <c:y val="1.700230889157447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7100769102426792E-2"/>
          <c:y val="0.13884323172296581"/>
          <c:w val="0.92786163691261081"/>
          <c:h val="0.76745250713420943"/>
        </c:manualLayout>
      </c:layout>
      <c:barChart>
        <c:barDir val="col"/>
        <c:grouping val="clustered"/>
        <c:varyColors val="0"/>
        <c:ser>
          <c:idx val="0"/>
          <c:order val="0"/>
          <c:tx>
            <c:strRef>
              <c:f>'GRAFICAS DESARROLLO ECONOMICO'!$D$44</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ECONOMICO'!$D$45:$D$48</c:f>
              <c:numCache>
                <c:formatCode>0.00%</c:formatCode>
                <c:ptCount val="4"/>
                <c:pt idx="0">
                  <c:v>0.5194825641025641</c:v>
                </c:pt>
                <c:pt idx="1">
                  <c:v>0.21805166666666664</c:v>
                </c:pt>
                <c:pt idx="2">
                  <c:v>0.77875000000000005</c:v>
                </c:pt>
                <c:pt idx="3">
                  <c:v>0.86307692307692307</c:v>
                </c:pt>
              </c:numCache>
            </c:numRef>
          </c:val>
          <c:extLst>
            <c:ext xmlns:c16="http://schemas.microsoft.com/office/drawing/2014/chart" uri="{C3380CC4-5D6E-409C-BE32-E72D297353CC}">
              <c16:uniqueId val="{00000000-F9DC-42B5-8F04-833A79781D14}"/>
            </c:ext>
          </c:extLst>
        </c:ser>
        <c:dLbls>
          <c:showLegendKey val="0"/>
          <c:showVal val="0"/>
          <c:showCatName val="0"/>
          <c:showSerName val="0"/>
          <c:showPercent val="0"/>
          <c:showBubbleSize val="0"/>
        </c:dLbls>
        <c:gapWidth val="219"/>
        <c:overlap val="-27"/>
        <c:axId val="429903528"/>
        <c:axId val="429903920"/>
      </c:barChart>
      <c:catAx>
        <c:axId val="4299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3920"/>
        <c:crosses val="autoZero"/>
        <c:auto val="1"/>
        <c:lblAlgn val="ctr"/>
        <c:lblOffset val="100"/>
        <c:noMultiLvlLbl val="0"/>
      </c:catAx>
      <c:valAx>
        <c:axId val="429903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3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s-CO" sz="1300" b="1" i="0" u="none" strike="noStrike" baseline="0">
                <a:effectLst/>
              </a:rPr>
              <a:t>Componente Impulsor de avance: Economía Popular y Emprendimiento. </a:t>
            </a:r>
            <a:r>
              <a:rPr lang="es-CO" sz="1300" b="1" i="0" u="none" strike="noStrike" kern="1200" spc="0" baseline="0">
                <a:solidFill>
                  <a:srgbClr val="000000">
                    <a:lumMod val="65000"/>
                    <a:lumOff val="35000"/>
                  </a:srgbClr>
                </a:solidFill>
                <a:effectLst/>
                <a:latin typeface="+mn-lt"/>
                <a:ea typeface="+mn-ea"/>
                <a:cs typeface="+mn-cs"/>
              </a:rPr>
              <a:t>Avance ponderado corte </a:t>
            </a:r>
            <a:r>
              <a:rPr lang="en-US" sz="1300" b="1" i="0" u="none" strike="noStrike" kern="1200" spc="0" baseline="0">
                <a:solidFill>
                  <a:srgbClr val="000000">
                    <a:lumMod val="65000"/>
                    <a:lumOff val="35000"/>
                  </a:srgbClr>
                </a:solidFill>
                <a:effectLst/>
                <a:latin typeface="+mn-lt"/>
                <a:ea typeface="+mn-ea"/>
                <a:cs typeface="+mn-cs"/>
              </a:rPr>
              <a:t>30 de marzo 2026</a:t>
            </a:r>
          </a:p>
        </c:rich>
      </c:tx>
      <c:layout>
        <c:manualLayout>
          <c:xMode val="edge"/>
          <c:yMode val="edge"/>
          <c:x val="0.1369972102942997"/>
          <c:y val="1.0666666666666666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342543487989029E-2"/>
          <c:y val="0.22495999999999999"/>
          <c:w val="0.91492267215086631"/>
          <c:h val="0.52721048376539437"/>
        </c:manualLayout>
      </c:layout>
      <c:barChart>
        <c:barDir val="col"/>
        <c:grouping val="clustered"/>
        <c:varyColors val="0"/>
        <c:ser>
          <c:idx val="0"/>
          <c:order val="0"/>
          <c:tx>
            <c:strRef>
              <c:f>'GRAFICAS DESARROLLO ECONOMICO'!$D$52</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ECONOMICO'!$D$53:$D$57</c:f>
              <c:numCache>
                <c:formatCode>0.00%</c:formatCode>
                <c:ptCount val="5"/>
                <c:pt idx="0">
                  <c:v>0.53543083333333341</c:v>
                </c:pt>
                <c:pt idx="1">
                  <c:v>0.35300000000000004</c:v>
                </c:pt>
                <c:pt idx="2">
                  <c:v>0.67300000000000004</c:v>
                </c:pt>
                <c:pt idx="3">
                  <c:v>0.30083333333333329</c:v>
                </c:pt>
                <c:pt idx="4">
                  <c:v>0.60515833333333335</c:v>
                </c:pt>
              </c:numCache>
            </c:numRef>
          </c:val>
          <c:extLst>
            <c:ext xmlns:c16="http://schemas.microsoft.com/office/drawing/2014/chart" uri="{C3380CC4-5D6E-409C-BE32-E72D297353CC}">
              <c16:uniqueId val="{00000000-B765-4E89-AD88-6F0841C209D3}"/>
            </c:ext>
          </c:extLst>
        </c:ser>
        <c:dLbls>
          <c:showLegendKey val="0"/>
          <c:showVal val="0"/>
          <c:showCatName val="0"/>
          <c:showSerName val="0"/>
          <c:showPercent val="0"/>
          <c:showBubbleSize val="0"/>
        </c:dLbls>
        <c:gapWidth val="219"/>
        <c:overlap val="-27"/>
        <c:axId val="429905096"/>
        <c:axId val="430641032"/>
      </c:barChart>
      <c:catAx>
        <c:axId val="429905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1032"/>
        <c:crosses val="autoZero"/>
        <c:auto val="1"/>
        <c:lblAlgn val="ctr"/>
        <c:lblOffset val="100"/>
        <c:noMultiLvlLbl val="0"/>
      </c:catAx>
      <c:valAx>
        <c:axId val="4306410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5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a:t>
            </a:r>
            <a:r>
              <a:rPr lang="es-CO" sz="1400" b="1" i="0" u="none" strike="noStrike" kern="1200" spc="0" baseline="0">
                <a:solidFill>
                  <a:srgbClr val="000000">
                    <a:lumMod val="65000"/>
                    <a:lumOff val="35000"/>
                  </a:srgbClr>
                </a:solidFill>
                <a:effectLst/>
                <a:latin typeface="+mn-lt"/>
                <a:ea typeface="+mn-ea"/>
                <a:cs typeface="+mn-cs"/>
              </a:rPr>
              <a:t>Desarrollo Agropecuario. Avance ponderado corte  </a:t>
            </a:r>
            <a:r>
              <a:rPr lang="en-US" sz="1400" b="1" i="0" u="none" strike="noStrike" kern="1200" spc="0" baseline="0">
                <a:solidFill>
                  <a:srgbClr val="000000">
                    <a:lumMod val="65000"/>
                    <a:lumOff val="35000"/>
                  </a:srgbClr>
                </a:solidFill>
                <a:effectLst/>
                <a:latin typeface="+mn-lt"/>
                <a:ea typeface="+mn-ea"/>
                <a:cs typeface="+mn-cs"/>
              </a:rPr>
              <a:t>30 de marzo de 2026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ECONOMICO'!$D$68</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ECONOMICO'!$D$69:$D$72</c:f>
              <c:numCache>
                <c:formatCode>0.00%</c:formatCode>
                <c:ptCount val="4"/>
                <c:pt idx="0">
                  <c:v>0.46112478198021289</c:v>
                </c:pt>
                <c:pt idx="1">
                  <c:v>0.53474250141482749</c:v>
                </c:pt>
                <c:pt idx="2">
                  <c:v>0.45597590361445789</c:v>
                </c:pt>
                <c:pt idx="3">
                  <c:v>0.40749999999999997</c:v>
                </c:pt>
              </c:numCache>
            </c:numRef>
          </c:val>
          <c:extLst>
            <c:ext xmlns:c16="http://schemas.microsoft.com/office/drawing/2014/chart" uri="{C3380CC4-5D6E-409C-BE32-E72D297353CC}">
              <c16:uniqueId val="{00000000-15C6-4C28-B56D-9CBF78667EA5}"/>
            </c:ext>
          </c:extLst>
        </c:ser>
        <c:dLbls>
          <c:showLegendKey val="0"/>
          <c:showVal val="0"/>
          <c:showCatName val="0"/>
          <c:showSerName val="0"/>
          <c:showPercent val="0"/>
          <c:showBubbleSize val="0"/>
        </c:dLbls>
        <c:gapWidth val="219"/>
        <c:overlap val="-27"/>
        <c:axId val="430640640"/>
        <c:axId val="430641424"/>
      </c:barChart>
      <c:catAx>
        <c:axId val="43064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1424"/>
        <c:crosses val="autoZero"/>
        <c:auto val="1"/>
        <c:lblAlgn val="ctr"/>
        <c:lblOffset val="100"/>
        <c:noMultiLvlLbl val="0"/>
      </c:catAx>
      <c:valAx>
        <c:axId val="430641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Sistema Integral de Abastecimiento del Distrito. Avance </a:t>
            </a:r>
            <a:r>
              <a:rPr lang="es-CO" sz="1400" b="1" i="0" u="none" strike="noStrike" kern="1200" spc="0" baseline="0">
                <a:solidFill>
                  <a:srgbClr val="000000">
                    <a:lumMod val="65000"/>
                    <a:lumOff val="35000"/>
                  </a:srgbClr>
                </a:solidFill>
                <a:effectLst/>
                <a:latin typeface="+mn-lt"/>
                <a:ea typeface="+mn-ea"/>
                <a:cs typeface="+mn-cs"/>
              </a:rPr>
              <a:t>ponderado corte  </a:t>
            </a:r>
            <a:r>
              <a:rPr lang="en-US" sz="1400" b="1" i="0" u="none" strike="noStrike" kern="1200" spc="0" baseline="0">
                <a:solidFill>
                  <a:srgbClr val="000000">
                    <a:lumMod val="65000"/>
                    <a:lumOff val="35000"/>
                  </a:srgbClr>
                </a:solidFill>
                <a:effectLst/>
                <a:latin typeface="+mn-lt"/>
                <a:ea typeface="+mn-ea"/>
                <a:cs typeface="+mn-cs"/>
              </a:rPr>
              <a:t>30 de marzo de 2026</a:t>
            </a:r>
          </a:p>
        </c:rich>
      </c:tx>
      <c:layout>
        <c:manualLayout>
          <c:xMode val="edge"/>
          <c:yMode val="edge"/>
          <c:x val="0.17179564038910056"/>
          <c:y val="2.75355667737494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ECONOMICO'!$D$77</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ECONOMICO'!$D$78:$D$80</c:f>
              <c:numCache>
                <c:formatCode>0.00%</c:formatCode>
                <c:ptCount val="3"/>
                <c:pt idx="0">
                  <c:v>0.33886249999999996</c:v>
                </c:pt>
                <c:pt idx="1">
                  <c:v>0.23833333333333331</c:v>
                </c:pt>
                <c:pt idx="2">
                  <c:v>0.64044999999999996</c:v>
                </c:pt>
              </c:numCache>
            </c:numRef>
          </c:val>
          <c:extLst>
            <c:ext xmlns:c16="http://schemas.microsoft.com/office/drawing/2014/chart" uri="{C3380CC4-5D6E-409C-BE32-E72D297353CC}">
              <c16:uniqueId val="{00000000-3C54-4F61-9031-245665C3076B}"/>
            </c:ext>
          </c:extLst>
        </c:ser>
        <c:dLbls>
          <c:showLegendKey val="0"/>
          <c:showVal val="0"/>
          <c:showCatName val="0"/>
          <c:showSerName val="0"/>
          <c:showPercent val="0"/>
          <c:showBubbleSize val="0"/>
        </c:dLbls>
        <c:gapWidth val="219"/>
        <c:overlap val="-27"/>
        <c:axId val="430635936"/>
        <c:axId val="430639856"/>
      </c:barChart>
      <c:catAx>
        <c:axId val="43063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9856"/>
        <c:crosses val="autoZero"/>
        <c:auto val="1"/>
        <c:lblAlgn val="ctr"/>
        <c:lblOffset val="100"/>
        <c:noMultiLvlLbl val="0"/>
      </c:catAx>
      <c:valAx>
        <c:axId val="430639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a:t>AVANCE   LINEA ESTRATEGICA DESARROLLO </a:t>
            </a:r>
            <a:r>
              <a:rPr lang="en-US" sz="1440" b="1" i="0" u="none" strike="noStrike" kern="1200" spc="0" baseline="0">
                <a:solidFill>
                  <a:srgbClr val="000000">
                    <a:lumMod val="65000"/>
                    <a:lumOff val="35000"/>
                  </a:srgbClr>
                </a:solidFill>
                <a:latin typeface="+mn-lt"/>
                <a:ea typeface="+mn-ea"/>
                <a:cs typeface="+mn-cs"/>
              </a:rPr>
              <a:t>ECONOMICO. COMPONENTES IMPULSORES DE AVANCE.  VIGENCIA 2025  CORTE </a:t>
            </a:r>
            <a:r>
              <a:rPr lang="es-CO" sz="1440" b="1" i="0" u="none" strike="noStrike" kern="1200" spc="0" baseline="0">
                <a:solidFill>
                  <a:srgbClr val="000000">
                    <a:lumMod val="65000"/>
                    <a:lumOff val="35000"/>
                  </a:srgbClr>
                </a:solidFill>
                <a:latin typeface="+mn-lt"/>
                <a:ea typeface="+mn-ea"/>
                <a:cs typeface="+mn-cs"/>
              </a:rPr>
              <a:t> </a:t>
            </a:r>
            <a:r>
              <a:rPr lang="es-CO" sz="1440" b="1" i="0" u="none" strike="noStrike" baseline="0">
                <a:effectLst/>
              </a:rPr>
              <a:t>30 DE MARZO 2026.</a:t>
            </a:r>
            <a:endParaRPr lang="es-CO" sz="144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ECONOMICO'!$D$87</c:f>
              <c:strCache>
                <c:ptCount val="1"/>
                <c:pt idx="0">
                  <c:v>AVANCE  PARCIAL VIGENCIA  CORTE 30 DE MARZO DE 2026</c:v>
                </c:pt>
              </c:strCache>
            </c:strRef>
          </c:tx>
          <c:spPr>
            <a:solidFill>
              <a:schemeClr val="accent6">
                <a:lumMod val="60000"/>
                <a:lumOff val="40000"/>
              </a:schemeClr>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4-1BD3-498C-BC59-DB211E7E96E8}"/>
              </c:ext>
            </c:extLst>
          </c:dPt>
          <c:dPt>
            <c:idx val="1"/>
            <c:invertIfNegative val="0"/>
            <c:bubble3D val="0"/>
            <c:spPr>
              <a:solidFill>
                <a:srgbClr val="FFFF00"/>
              </a:solidFill>
              <a:ln>
                <a:noFill/>
              </a:ln>
              <a:effectLst/>
            </c:spPr>
            <c:extLst>
              <c:ext xmlns:c16="http://schemas.microsoft.com/office/drawing/2014/chart" uri="{C3380CC4-5D6E-409C-BE32-E72D297353CC}">
                <c16:uniqueId val="{00000001-1BD3-498C-BC59-DB211E7E96E8}"/>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2-1BD3-498C-BC59-DB211E7E96E8}"/>
              </c:ext>
            </c:extLst>
          </c:dPt>
          <c:dPt>
            <c:idx val="3"/>
            <c:invertIfNegative val="0"/>
            <c:bubble3D val="0"/>
            <c:spPr>
              <a:solidFill>
                <a:srgbClr val="00B050"/>
              </a:solidFill>
              <a:ln>
                <a:noFill/>
              </a:ln>
              <a:effectLst/>
            </c:spPr>
            <c:extLst>
              <c:ext xmlns:c16="http://schemas.microsoft.com/office/drawing/2014/chart" uri="{C3380CC4-5D6E-409C-BE32-E72D297353CC}">
                <c16:uniqueId val="{00000006-1BD3-498C-BC59-DB211E7E96E8}"/>
              </c:ext>
            </c:extLst>
          </c:dPt>
          <c:dPt>
            <c:idx val="4"/>
            <c:invertIfNegative val="0"/>
            <c:bubble3D val="0"/>
            <c:spPr>
              <a:solidFill>
                <a:srgbClr val="00B050"/>
              </a:solidFill>
              <a:ln>
                <a:noFill/>
              </a:ln>
              <a:effectLst/>
            </c:spPr>
            <c:extLst>
              <c:ext xmlns:c16="http://schemas.microsoft.com/office/drawing/2014/chart" uri="{C3380CC4-5D6E-409C-BE32-E72D297353CC}">
                <c16:uniqueId val="{00000008-1BD3-498C-BC59-DB211E7E96E8}"/>
              </c:ext>
            </c:extLst>
          </c:dPt>
          <c:dPt>
            <c:idx val="5"/>
            <c:invertIfNegative val="0"/>
            <c:bubble3D val="0"/>
            <c:spPr>
              <a:solidFill>
                <a:srgbClr val="FF0000"/>
              </a:solidFill>
              <a:ln>
                <a:noFill/>
              </a:ln>
              <a:effectLst/>
            </c:spPr>
            <c:extLst>
              <c:ext xmlns:c16="http://schemas.microsoft.com/office/drawing/2014/chart" uri="{C3380CC4-5D6E-409C-BE32-E72D297353CC}">
                <c16:uniqueId val="{00000009-1BD3-498C-BC59-DB211E7E96E8}"/>
              </c:ext>
            </c:extLst>
          </c:dPt>
          <c:dPt>
            <c:idx val="6"/>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1BD3-498C-BC59-DB211E7E96E8}"/>
              </c:ext>
            </c:extLst>
          </c:dPt>
          <c:dPt>
            <c:idx val="7"/>
            <c:invertIfNegative val="0"/>
            <c:bubble3D val="0"/>
            <c:spPr>
              <a:solidFill>
                <a:srgbClr val="FF0000"/>
              </a:solidFill>
              <a:ln>
                <a:noFill/>
              </a:ln>
              <a:effectLst/>
            </c:spPr>
            <c:extLst>
              <c:ext xmlns:c16="http://schemas.microsoft.com/office/drawing/2014/chart" uri="{C3380CC4-5D6E-409C-BE32-E72D297353CC}">
                <c16:uniqueId val="{00000003-1BD3-498C-BC59-DB211E7E96E8}"/>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ECONOMICO'!$C$88:$C$95</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ECONOMICO'!$D$88:$D$95</c:f>
              <c:numCache>
                <c:formatCode>0.0%</c:formatCode>
                <c:ptCount val="8"/>
                <c:pt idx="0">
                  <c:v>0.13599855463539826</c:v>
                </c:pt>
                <c:pt idx="1">
                  <c:v>0</c:v>
                </c:pt>
                <c:pt idx="2">
                  <c:v>0.19053030303030299</c:v>
                </c:pt>
                <c:pt idx="3">
                  <c:v>0.33333333333333331</c:v>
                </c:pt>
                <c:pt idx="4">
                  <c:v>0.23845833333333333</c:v>
                </c:pt>
                <c:pt idx="5">
                  <c:v>6.3350452433357782E-2</c:v>
                </c:pt>
                <c:pt idx="6">
                  <c:v>9.2984126984126989E-2</c:v>
                </c:pt>
                <c:pt idx="7">
                  <c:v>3.3333333333333333E-2</c:v>
                </c:pt>
              </c:numCache>
            </c:numRef>
          </c:val>
          <c:extLst>
            <c:ext xmlns:c16="http://schemas.microsoft.com/office/drawing/2014/chart" uri="{C3380CC4-5D6E-409C-BE32-E72D297353CC}">
              <c16:uniqueId val="{00000000-1BD3-498C-BC59-DB211E7E96E8}"/>
            </c:ext>
          </c:extLst>
        </c:ser>
        <c:dLbls>
          <c:showLegendKey val="0"/>
          <c:showVal val="0"/>
          <c:showCatName val="0"/>
          <c:showSerName val="0"/>
          <c:showPercent val="0"/>
          <c:showBubbleSize val="0"/>
        </c:dLbls>
        <c:gapWidth val="219"/>
        <c:overlap val="-27"/>
        <c:axId val="430636720"/>
        <c:axId val="430637112"/>
      </c:barChart>
      <c:catAx>
        <c:axId val="43063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637112"/>
        <c:crosses val="autoZero"/>
        <c:auto val="1"/>
        <c:lblAlgn val="ctr"/>
        <c:lblOffset val="100"/>
        <c:noMultiLvlLbl val="0"/>
      </c:catAx>
      <c:valAx>
        <c:axId val="430637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636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DIVERSIFICACIÓN ECONOMICA.  </a:t>
            </a:r>
            <a:r>
              <a:rPr lang="en-US" sz="1200" b="1" i="0" u="none" strike="noStrike" kern="1200" spc="0" baseline="0">
                <a:solidFill>
                  <a:srgbClr val="000000">
                    <a:lumMod val="65000"/>
                    <a:lumOff val="35000"/>
                  </a:srgbClr>
                </a:solidFill>
                <a:latin typeface="+mn-lt"/>
                <a:ea typeface="+mn-ea"/>
                <a:cs typeface="+mn-cs"/>
              </a:rPr>
              <a:t>PROGRAMAS. CORTE </a:t>
            </a:r>
            <a:r>
              <a:rPr lang="es-CO" sz="1200" b="1" i="0" u="none" strike="noStrike" kern="1200" spc="0" baseline="0">
                <a:solidFill>
                  <a:srgbClr val="000000">
                    <a:lumMod val="65000"/>
                    <a:lumOff val="35000"/>
                  </a:srgbClr>
                </a:solidFill>
                <a:latin typeface="+mn-lt"/>
                <a:ea typeface="+mn-ea"/>
                <a:cs typeface="+mn-cs"/>
              </a:rPr>
              <a:t> </a:t>
            </a:r>
            <a:r>
              <a:rPr lang="es-CO" sz="1200" b="1" i="0" u="none" strike="noStrike" baseline="0">
                <a:effectLst/>
              </a:rPr>
              <a:t>30 DE MARZO 2026.</a:t>
            </a:r>
            <a:endParaRPr lang="es-CO" sz="1200" b="1" i="0" u="none" strike="noStrike" kern="1200" spc="0" baseline="0">
              <a:solidFill>
                <a:srgbClr val="000000">
                  <a:lumMod val="65000"/>
                  <a:lumOff val="35000"/>
                </a:srgbClr>
              </a:solidFill>
              <a:latin typeface="+mn-lt"/>
              <a:ea typeface="+mn-ea"/>
              <a:cs typeface="+mn-cs"/>
            </a:endParaRPr>
          </a:p>
        </c:rich>
      </c:tx>
      <c:layout>
        <c:manualLayout>
          <c:xMode val="edge"/>
          <c:yMode val="edge"/>
          <c:x val="0.21659499582609482"/>
          <c:y val="1.787310098302055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ECONOMICO'!$E$37</c:f>
              <c:strCache>
                <c:ptCount val="1"/>
                <c:pt idx="0">
                  <c:v>AVANCE CUATRIENIO IMPULSOR DE AVANCE: DIVERSIFICACIÓN ECONOMICA. CORTE 30 DE MARZO DE 2026</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D05E-4BEF-A25E-CC21F9DACC82}"/>
              </c:ext>
            </c:extLst>
          </c:dPt>
          <c:dPt>
            <c:idx val="1"/>
            <c:invertIfNegative val="0"/>
            <c:bubble3D val="0"/>
            <c:spPr>
              <a:solidFill>
                <a:srgbClr val="00B050"/>
              </a:solidFill>
              <a:ln>
                <a:noFill/>
              </a:ln>
              <a:effectLst/>
            </c:spPr>
            <c:extLst>
              <c:ext xmlns:c16="http://schemas.microsoft.com/office/drawing/2014/chart" uri="{C3380CC4-5D6E-409C-BE32-E72D297353CC}">
                <c16:uniqueId val="{0000000F-3E80-4F78-A36E-8508237D49F1}"/>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FEC8-41A9-8BD4-30B4BCFFDE2C}"/>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026F-44DF-8144-F1FBD74FC99A}"/>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026F-44DF-8144-F1FBD74FC99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ECONOMICO'!$E$38:$E$42</c:f>
              <c:numCache>
                <c:formatCode>0.0%</c:formatCode>
                <c:ptCount val="5"/>
                <c:pt idx="0">
                  <c:v>0.62353363549618313</c:v>
                </c:pt>
                <c:pt idx="1">
                  <c:v>0.72187500000000004</c:v>
                </c:pt>
                <c:pt idx="2">
                  <c:v>0.6612595419847328</c:v>
                </c:pt>
                <c:pt idx="3">
                  <c:v>0.56099999999999994</c:v>
                </c:pt>
                <c:pt idx="4">
                  <c:v>0.55000000000000004</c:v>
                </c:pt>
              </c:numCache>
            </c:numRef>
          </c:val>
          <c:extLst>
            <c:ext xmlns:c16="http://schemas.microsoft.com/office/drawing/2014/chart" uri="{C3380CC4-5D6E-409C-BE32-E72D297353CC}">
              <c16:uniqueId val="{00000000-D05E-4BEF-A25E-CC21F9DACC82}"/>
            </c:ext>
          </c:extLst>
        </c:ser>
        <c:dLbls>
          <c:showLegendKey val="0"/>
          <c:showVal val="0"/>
          <c:showCatName val="0"/>
          <c:showSerName val="0"/>
          <c:showPercent val="0"/>
          <c:showBubbleSize val="0"/>
        </c:dLbls>
        <c:gapWidth val="219"/>
        <c:overlap val="-27"/>
        <c:axId val="430641816"/>
        <c:axId val="430637504"/>
      </c:barChart>
      <c:catAx>
        <c:axId val="43064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7504"/>
        <c:crosses val="autoZero"/>
        <c:auto val="1"/>
        <c:lblAlgn val="ctr"/>
        <c:lblOffset val="100"/>
        <c:noMultiLvlLbl val="0"/>
      </c:catAx>
      <c:valAx>
        <c:axId val="430637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41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TRABAJO DECENTE Y CIERRE DE BRECHAS. PROGRAMAS.</a:t>
            </a:r>
            <a:r>
              <a:rPr lang="en-US" baseline="0"/>
              <a:t> </a:t>
            </a:r>
            <a:r>
              <a:rPr lang="en-US"/>
              <a:t> </a:t>
            </a:r>
            <a:r>
              <a:rPr lang="es-CO" sz="1400" b="1" i="0" u="none" strike="noStrike" baseline="0">
                <a:effectLst/>
              </a:rPr>
              <a:t>30 DE MARZO 2026.</a:t>
            </a:r>
            <a:endParaRPr lang="es-CO" sz="1400" b="1" i="0" u="none" strike="noStrike" kern="1200" spc="0" baseline="0">
              <a:solidFill>
                <a:srgbClr val="000000">
                  <a:lumMod val="65000"/>
                  <a:lumOff val="35000"/>
                </a:srgbClr>
              </a:solidFill>
              <a:latin typeface="+mn-lt"/>
              <a:ea typeface="+mn-ea"/>
              <a:cs typeface="+mn-cs"/>
            </a:endParaRPr>
          </a:p>
        </c:rich>
      </c:tx>
      <c:layout>
        <c:manualLayout>
          <c:xMode val="edge"/>
          <c:yMode val="edge"/>
          <c:x val="0.1547841762539478"/>
          <c:y val="4.29184549356223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ECONOMICO'!$E$44</c:f>
              <c:strCache>
                <c:ptCount val="1"/>
                <c:pt idx="0">
                  <c:v>AVANCE CUATRIENIO IMPULSOR DE AVANCE: TRABAJO DECENTE Y CIERRE DE BRECHAS. CORTE 30 DE MARZO DE 2026</c:v>
                </c:pt>
              </c:strCache>
            </c:strRef>
          </c:tx>
          <c:spPr>
            <a:solidFill>
              <a:srgbClr val="FFFF0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F01B-46CA-973F-721BE79685A6}"/>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7DB3-4CD1-8BD6-E5B2D96DCAB5}"/>
              </c:ext>
            </c:extLst>
          </c:dPt>
          <c:dPt>
            <c:idx val="2"/>
            <c:invertIfNegative val="0"/>
            <c:bubble3D val="0"/>
            <c:spPr>
              <a:solidFill>
                <a:srgbClr val="00B050"/>
              </a:solidFill>
              <a:ln>
                <a:noFill/>
              </a:ln>
              <a:effectLst/>
            </c:spPr>
            <c:extLst>
              <c:ext xmlns:c16="http://schemas.microsoft.com/office/drawing/2014/chart" uri="{C3380CC4-5D6E-409C-BE32-E72D297353CC}">
                <c16:uniqueId val="{00000009-DC91-48A1-A33E-B229E7DD1EAB}"/>
              </c:ext>
            </c:extLst>
          </c:dPt>
          <c:dPt>
            <c:idx val="3"/>
            <c:invertIfNegative val="0"/>
            <c:bubble3D val="0"/>
            <c:spPr>
              <a:solidFill>
                <a:srgbClr val="00B050"/>
              </a:solidFill>
              <a:ln>
                <a:noFill/>
              </a:ln>
              <a:effectLst/>
            </c:spPr>
            <c:extLst>
              <c:ext xmlns:c16="http://schemas.microsoft.com/office/drawing/2014/chart" uri="{C3380CC4-5D6E-409C-BE32-E72D297353CC}">
                <c16:uniqueId val="{0000000D-DC91-48A1-A33E-B229E7DD1EA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ECONOMICO'!$E$45:$E$48</c:f>
              <c:numCache>
                <c:formatCode>0.0%</c:formatCode>
                <c:ptCount val="4"/>
                <c:pt idx="0">
                  <c:v>0.65313860398860402</c:v>
                </c:pt>
                <c:pt idx="1">
                  <c:v>0.31758888888888887</c:v>
                </c:pt>
                <c:pt idx="2">
                  <c:v>0.77875000000000005</c:v>
                </c:pt>
                <c:pt idx="3">
                  <c:v>0.86307692307692307</c:v>
                </c:pt>
              </c:numCache>
            </c:numRef>
          </c:val>
          <c:extLst>
            <c:ext xmlns:c16="http://schemas.microsoft.com/office/drawing/2014/chart" uri="{C3380CC4-5D6E-409C-BE32-E72D297353CC}">
              <c16:uniqueId val="{00000000-F01B-46CA-973F-721BE79685A6}"/>
            </c:ext>
          </c:extLst>
        </c:ser>
        <c:dLbls>
          <c:showLegendKey val="0"/>
          <c:showVal val="0"/>
          <c:showCatName val="0"/>
          <c:showSerName val="0"/>
          <c:showPercent val="0"/>
          <c:showBubbleSize val="0"/>
        </c:dLbls>
        <c:gapWidth val="219"/>
        <c:overlap val="-27"/>
        <c:axId val="430638288"/>
        <c:axId val="430634368"/>
      </c:barChart>
      <c:catAx>
        <c:axId val="4306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634368"/>
        <c:crosses val="autoZero"/>
        <c:auto val="1"/>
        <c:lblAlgn val="ctr"/>
        <c:lblOffset val="100"/>
        <c:noMultiLvlLbl val="0"/>
      </c:catAx>
      <c:valAx>
        <c:axId val="430634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r>
              <a:rPr lang="en-US"/>
              <a:t>AVANCE CUATRIENIO IMPULSOR DE AVANCE: ECONOMÍA </a:t>
            </a:r>
            <a:r>
              <a:rPr lang="en-US" sz="1400" b="1" i="0" u="none" strike="noStrike" kern="1200" spc="0" baseline="0">
                <a:solidFill>
                  <a:srgbClr val="000000">
                    <a:lumMod val="65000"/>
                    <a:lumOff val="35000"/>
                  </a:srgbClr>
                </a:solidFill>
                <a:latin typeface="+mn-lt"/>
                <a:ea typeface="+mn-ea"/>
                <a:cs typeface="+mn-cs"/>
              </a:rPr>
              <a:t>POPULAR Y EMPRENDIMIENTO. PROGRAMAS. CORTE </a:t>
            </a:r>
            <a:r>
              <a:rPr lang="es-CO" sz="1400" b="1" i="0" u="none" strike="noStrike" kern="1200" spc="0" baseline="0">
                <a:solidFill>
                  <a:srgbClr val="000000">
                    <a:lumMod val="65000"/>
                    <a:lumOff val="35000"/>
                  </a:srgbClr>
                </a:solidFill>
                <a:latin typeface="+mn-lt"/>
                <a:ea typeface="+mn-ea"/>
                <a:cs typeface="+mn-cs"/>
              </a:rPr>
              <a:t> </a:t>
            </a:r>
            <a:r>
              <a:rPr lang="es-CO" sz="1400" b="1" i="0" u="none" strike="noStrike" baseline="0">
                <a:effectLst/>
              </a:rPr>
              <a:t>30 DE MARZO 2026.</a:t>
            </a:r>
            <a:endParaRPr lang="en-US"/>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ECONOMICO'!$E$52</c:f>
              <c:strCache>
                <c:ptCount val="1"/>
                <c:pt idx="0">
                  <c:v>AVANCE CUATRIENIO IMPULSOR DE AVANCE: ECONOMÍA POPULAR Y EMPRENDIMIENTO. CORTE 30 DE MARZO DE 2026</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E083-4793-AB7A-0936F2F81E39}"/>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5FE9-42B2-B92F-723C0149AF76}"/>
              </c:ext>
            </c:extLst>
          </c:dPt>
          <c:dPt>
            <c:idx val="2"/>
            <c:invertIfNegative val="0"/>
            <c:bubble3D val="0"/>
            <c:spPr>
              <a:solidFill>
                <a:srgbClr val="FFFF00"/>
              </a:solidFill>
              <a:ln>
                <a:noFill/>
              </a:ln>
              <a:effectLst/>
            </c:spPr>
            <c:extLst>
              <c:ext xmlns:c16="http://schemas.microsoft.com/office/drawing/2014/chart" uri="{C3380CC4-5D6E-409C-BE32-E72D297353CC}">
                <c16:uniqueId val="{00000005-2B42-4E23-A6F8-027ECDF074C7}"/>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D558-4CAC-9C24-97D6640660BB}"/>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6566-4409-92D8-A5C0C4337B3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ECONOMICO'!$E$53:$E$57</c:f>
              <c:numCache>
                <c:formatCode>0.0%</c:formatCode>
                <c:ptCount val="5"/>
                <c:pt idx="0">
                  <c:v>0.45648363095238093</c:v>
                </c:pt>
                <c:pt idx="1">
                  <c:v>0.33614285714285713</c:v>
                </c:pt>
                <c:pt idx="2">
                  <c:v>0.52024999999999999</c:v>
                </c:pt>
                <c:pt idx="3">
                  <c:v>0.30083333333333329</c:v>
                </c:pt>
                <c:pt idx="4">
                  <c:v>0.66870833333333324</c:v>
                </c:pt>
              </c:numCache>
            </c:numRef>
          </c:val>
          <c:extLst>
            <c:ext xmlns:c16="http://schemas.microsoft.com/office/drawing/2014/chart" uri="{C3380CC4-5D6E-409C-BE32-E72D297353CC}">
              <c16:uniqueId val="{00000000-E083-4793-AB7A-0936F2F81E39}"/>
            </c:ext>
          </c:extLst>
        </c:ser>
        <c:dLbls>
          <c:showLegendKey val="0"/>
          <c:showVal val="0"/>
          <c:showCatName val="0"/>
          <c:showSerName val="0"/>
          <c:showPercent val="0"/>
          <c:showBubbleSize val="0"/>
        </c:dLbls>
        <c:gapWidth val="219"/>
        <c:overlap val="-27"/>
        <c:axId val="430638680"/>
        <c:axId val="430639072"/>
      </c:barChart>
      <c:catAx>
        <c:axId val="430638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639072"/>
        <c:crosses val="autoZero"/>
        <c:auto val="1"/>
        <c:lblAlgn val="ctr"/>
        <c:lblOffset val="100"/>
        <c:noMultiLvlLbl val="0"/>
      </c:catAx>
      <c:valAx>
        <c:axId val="430639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8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DESARROLLO AGROPECUARIO. PROGRAMAS. </a:t>
            </a:r>
            <a:r>
              <a:rPr lang="en-US" sz="1400" b="1" i="0" u="none" strike="noStrike" kern="1200" spc="0" baseline="0">
                <a:solidFill>
                  <a:srgbClr val="000000">
                    <a:lumMod val="65000"/>
                    <a:lumOff val="35000"/>
                  </a:srgbClr>
                </a:solidFill>
                <a:latin typeface="+mn-lt"/>
                <a:ea typeface="+mn-ea"/>
                <a:cs typeface="+mn-cs"/>
              </a:rPr>
              <a:t>CORTE </a:t>
            </a:r>
            <a:r>
              <a:rPr lang="es-CO" sz="1400" b="1" i="0" u="none" strike="noStrike" kern="1200" spc="0" baseline="0">
                <a:solidFill>
                  <a:srgbClr val="000000">
                    <a:lumMod val="65000"/>
                    <a:lumOff val="35000"/>
                  </a:srgbClr>
                </a:solidFill>
                <a:latin typeface="+mn-lt"/>
                <a:ea typeface="+mn-ea"/>
                <a:cs typeface="+mn-cs"/>
              </a:rPr>
              <a:t> </a:t>
            </a:r>
            <a:r>
              <a:rPr lang="es-CO" sz="1400" b="1" i="0" u="none" strike="noStrike" baseline="0">
                <a:effectLst/>
              </a:rPr>
              <a:t>30 DE MARZO 2026.</a:t>
            </a:r>
            <a:endParaRPr lang="es-CO" sz="14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ECONOMICO'!$E$68</c:f>
              <c:strCache>
                <c:ptCount val="1"/>
                <c:pt idx="0">
                  <c:v>AVANCE CUATRIENIO IMPULSOR DE AVANCE: DESARROLLO AGROPECUARIO. CORTE 30 DE MARZO DE 2026</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4E2F-4CDE-AE4A-1582419D4603}"/>
              </c:ext>
            </c:extLst>
          </c:dPt>
          <c:dPt>
            <c:idx val="1"/>
            <c:invertIfNegative val="0"/>
            <c:bubble3D val="0"/>
            <c:spPr>
              <a:solidFill>
                <a:srgbClr val="FFFF00"/>
              </a:solidFill>
              <a:ln>
                <a:noFill/>
              </a:ln>
              <a:effectLst/>
            </c:spPr>
            <c:extLst>
              <c:ext xmlns:c16="http://schemas.microsoft.com/office/drawing/2014/chart" uri="{C3380CC4-5D6E-409C-BE32-E72D297353CC}">
                <c16:uniqueId val="{00000007-EE3C-41D1-9CE8-34500446DA29}"/>
              </c:ext>
            </c:extLst>
          </c:dPt>
          <c:dPt>
            <c:idx val="2"/>
            <c:invertIfNegative val="0"/>
            <c:bubble3D val="0"/>
            <c:spPr>
              <a:solidFill>
                <a:srgbClr val="FFFF00"/>
              </a:solidFill>
              <a:ln>
                <a:noFill/>
              </a:ln>
              <a:effectLst/>
            </c:spPr>
            <c:extLst>
              <c:ext xmlns:c16="http://schemas.microsoft.com/office/drawing/2014/chart" uri="{C3380CC4-5D6E-409C-BE32-E72D297353CC}">
                <c16:uniqueId val="{00000004-EE3C-41D1-9CE8-34500446DA29}"/>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6-EE3C-41D1-9CE8-34500446DA2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ECONOMICO'!$E$69:$E$72</c:f>
              <c:numCache>
                <c:formatCode>0.0%</c:formatCode>
                <c:ptCount val="4"/>
                <c:pt idx="0">
                  <c:v>0.43724206458665521</c:v>
                </c:pt>
                <c:pt idx="1">
                  <c:v>0.53474250141482749</c:v>
                </c:pt>
                <c:pt idx="2">
                  <c:v>0.41865035901180481</c:v>
                </c:pt>
                <c:pt idx="3">
                  <c:v>0.35833333333333334</c:v>
                </c:pt>
              </c:numCache>
            </c:numRef>
          </c:val>
          <c:extLst>
            <c:ext xmlns:c16="http://schemas.microsoft.com/office/drawing/2014/chart" uri="{C3380CC4-5D6E-409C-BE32-E72D297353CC}">
              <c16:uniqueId val="{00000000-4E2F-4CDE-AE4A-1582419D4603}"/>
            </c:ext>
          </c:extLst>
        </c:ser>
        <c:dLbls>
          <c:showLegendKey val="0"/>
          <c:showVal val="0"/>
          <c:showCatName val="0"/>
          <c:showSerName val="0"/>
          <c:showPercent val="0"/>
          <c:showBubbleSize val="0"/>
        </c:dLbls>
        <c:gapWidth val="219"/>
        <c:overlap val="-27"/>
        <c:axId val="430550160"/>
        <c:axId val="430550944"/>
      </c:barChart>
      <c:catAx>
        <c:axId val="43055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50944"/>
        <c:crosses val="autoZero"/>
        <c:auto val="1"/>
        <c:lblAlgn val="ctr"/>
        <c:lblOffset val="100"/>
        <c:noMultiLvlLbl val="0"/>
      </c:catAx>
      <c:valAx>
        <c:axId val="430550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5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ESTRATÉGICA </a:t>
            </a:r>
            <a:r>
              <a:rPr lang="es-CO" sz="1400" b="1" i="0" u="none" strike="noStrike" kern="1200" spc="0" baseline="0">
                <a:solidFill>
                  <a:srgbClr val="000000">
                    <a:lumMod val="65000"/>
                    <a:lumOff val="35000"/>
                  </a:srgbClr>
                </a:solidFill>
                <a:latin typeface="+mn-lt"/>
                <a:ea typeface="+mn-ea"/>
                <a:cs typeface="+mn-cs"/>
              </a:rPr>
              <a:t>DESARROLLO ECONOMICO. COMPARATIVO 31 DICIEMBRE  DE  2025 - 30 DE MARZO 2026.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ECONOMICO'!$D$4</c:f>
              <c:strCache>
                <c:ptCount val="1"/>
                <c:pt idx="0">
                  <c:v>ESPERADO  AL CUATRIENIO CORTE DICIEMBRE 2026</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0.82209331785503881</c:v>
                </c:pt>
                <c:pt idx="1">
                  <c:v>0.8939583333333333</c:v>
                </c:pt>
                <c:pt idx="2">
                  <c:v>0.96903299936386766</c:v>
                </c:pt>
                <c:pt idx="3">
                  <c:v>0.73340925925925926</c:v>
                </c:pt>
                <c:pt idx="4">
                  <c:v>0.76544494047619049</c:v>
                </c:pt>
                <c:pt idx="5">
                  <c:v>0.83863768610593192</c:v>
                </c:pt>
                <c:pt idx="6">
                  <c:v>0.7731538901055337</c:v>
                </c:pt>
                <c:pt idx="7">
                  <c:v>0.78101611634115498</c:v>
                </c:pt>
              </c:numCache>
            </c:numRef>
          </c:val>
          <c:extLst>
            <c:ext xmlns:c16="http://schemas.microsoft.com/office/drawing/2014/chart" uri="{C3380CC4-5D6E-409C-BE32-E72D297353CC}">
              <c16:uniqueId val="{00000000-C894-4C9D-A53F-9B1304CE9BDD}"/>
            </c:ext>
          </c:extLst>
        </c:ser>
        <c:ser>
          <c:idx val="1"/>
          <c:order val="1"/>
          <c:tx>
            <c:strRef>
              <c:f>'GRAFICAS DESARROLLO ECONOMICO'!$E$4</c:f>
              <c:strCache>
                <c:ptCount val="1"/>
                <c:pt idx="0">
                  <c:v>LOGRO  CORTE  30 DE MARZO DE 2026 RESPECTO AL CUATRIENIO</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3-C894-4C9D-A53F-9B1304CE9BDD}"/>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C0BA-40B2-9663-33ACE4B1D134}"/>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B6A6-4C90-ABED-FE86DD58B69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78FE-47AC-9C17-3B63D07B865D}"/>
              </c:ext>
            </c:extLst>
          </c:dPt>
          <c:dPt>
            <c:idx val="4"/>
            <c:invertIfNegative val="0"/>
            <c:bubble3D val="0"/>
            <c:spPr>
              <a:solidFill>
                <a:srgbClr val="FFFF00"/>
              </a:solidFill>
              <a:ln>
                <a:noFill/>
              </a:ln>
              <a:effectLst/>
            </c:spPr>
            <c:extLst>
              <c:ext xmlns:c16="http://schemas.microsoft.com/office/drawing/2014/chart" uri="{C3380CC4-5D6E-409C-BE32-E72D297353CC}">
                <c16:uniqueId val="{00000004-081E-4BF4-A474-BCF318852FA6}"/>
              </c:ext>
            </c:extLst>
          </c:dPt>
          <c:dPt>
            <c:idx val="5"/>
            <c:invertIfNegative val="0"/>
            <c:bubble3D val="0"/>
            <c:spPr>
              <a:solidFill>
                <a:srgbClr val="FFFF00"/>
              </a:solidFill>
              <a:ln>
                <a:noFill/>
              </a:ln>
              <a:effectLst/>
            </c:spPr>
            <c:extLst>
              <c:ext xmlns:c16="http://schemas.microsoft.com/office/drawing/2014/chart" uri="{C3380CC4-5D6E-409C-BE32-E72D297353CC}">
                <c16:uniqueId val="{00000005-081E-4BF4-A474-BCF318852FA6}"/>
              </c:ext>
            </c:extLst>
          </c:dPt>
          <c:dPt>
            <c:idx val="6"/>
            <c:invertIfNegative val="0"/>
            <c:bubble3D val="0"/>
            <c:spPr>
              <a:solidFill>
                <a:srgbClr val="FFFF00"/>
              </a:solidFill>
              <a:ln>
                <a:noFill/>
              </a:ln>
              <a:effectLst/>
            </c:spPr>
            <c:extLst>
              <c:ext xmlns:c16="http://schemas.microsoft.com/office/drawing/2014/chart" uri="{C3380CC4-5D6E-409C-BE32-E72D297353CC}">
                <c16:uniqueId val="{00000009-081E-4BF4-A474-BCF318852FA6}"/>
              </c:ext>
            </c:extLst>
          </c:dPt>
          <c:dPt>
            <c:idx val="7"/>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E-71E8-434F-BC87-18F3FB97C97C}"/>
              </c:ext>
            </c:extLst>
          </c:dPt>
          <c:dLbls>
            <c:dLbl>
              <c:idx val="0"/>
              <c:layout>
                <c:manualLayout>
                  <c:x val="3.1959092361776927E-3"/>
                  <c:y val="-1.1075913809346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94-4C9D-A53F-9B1304CE9BDD}"/>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0.52346057293872739</c:v>
                </c:pt>
                <c:pt idx="1">
                  <c:v>0.57433333333333336</c:v>
                </c:pt>
                <c:pt idx="2">
                  <c:v>0.62353363549618313</c:v>
                </c:pt>
                <c:pt idx="3">
                  <c:v>0.65313860398860402</c:v>
                </c:pt>
                <c:pt idx="4">
                  <c:v>0.45648363095238093</c:v>
                </c:pt>
                <c:pt idx="5">
                  <c:v>0.54328163110282435</c:v>
                </c:pt>
                <c:pt idx="6">
                  <c:v>0.43724206458665521</c:v>
                </c:pt>
                <c:pt idx="7">
                  <c:v>0.37621111111111111</c:v>
                </c:pt>
              </c:numCache>
            </c:numRef>
          </c:val>
          <c:extLst>
            <c:ext xmlns:c16="http://schemas.microsoft.com/office/drawing/2014/chart" uri="{C3380CC4-5D6E-409C-BE32-E72D297353CC}">
              <c16:uniqueId val="{00000001-C894-4C9D-A53F-9B1304CE9BDD}"/>
            </c:ext>
          </c:extLst>
        </c:ser>
        <c:ser>
          <c:idx val="2"/>
          <c:order val="2"/>
          <c:tx>
            <c:strRef>
              <c:f>'GRAFICAS DESARROLLO ECONOMICO'!$F$4</c:f>
              <c:strCache>
                <c:ptCount val="1"/>
                <c:pt idx="0">
                  <c:v>LOGRO   CORTE DICIEMBRE 31 DE 2025 RESPECTO AL CUATRIENIO</c:v>
                </c:pt>
              </c:strCache>
            </c:strRef>
          </c:tx>
          <c:spPr>
            <a:solidFill>
              <a:srgbClr val="7030A0"/>
            </a:solidFill>
            <a:ln>
              <a:noFill/>
            </a:ln>
            <a:effectLst/>
          </c:spPr>
          <c:invertIfNegative val="0"/>
          <c:dLbls>
            <c:dLbl>
              <c:idx val="0"/>
              <c:layout>
                <c:manualLayout>
                  <c:x val="9.5877277085330784E-3"/>
                  <c:y val="-6.70805764637716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BA-40B2-9663-33ACE4B1D134}"/>
                </c:ext>
              </c:extLst>
            </c:dLbl>
            <c:dLbl>
              <c:idx val="1"/>
              <c:layout>
                <c:manualLayout>
                  <c:x val="7.9897730904442306E-3"/>
                  <c:y val="-6.70805764637716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BA-40B2-9663-33ACE4B1D134}"/>
                </c:ext>
              </c:extLst>
            </c:dLbl>
            <c:dLbl>
              <c:idx val="2"/>
              <c:layout>
                <c:manualLayout>
                  <c:x val="1.2783636944710712E-2"/>
                  <c:y val="3.6589828027808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1E-4BF4-A474-BCF318852FA6}"/>
                </c:ext>
              </c:extLst>
            </c:dLbl>
            <c:dLbl>
              <c:idx val="3"/>
              <c:layout>
                <c:manualLayout>
                  <c:x val="1.2783636944710771E-2"/>
                  <c:y val="-3.65898280278086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1E-4BF4-A474-BCF318852FA6}"/>
                </c:ext>
              </c:extLst>
            </c:dLbl>
            <c:dLbl>
              <c:idx val="5"/>
              <c:layout>
                <c:manualLayout>
                  <c:x val="7.98977309044423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BA-40B2-9663-33ACE4B1D134}"/>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ECONOMICO'!$F$5:$F$12</c:f>
              <c:numCache>
                <c:formatCode>0.0%</c:formatCode>
                <c:ptCount val="8"/>
                <c:pt idx="0">
                  <c:v>0.48812060511247513</c:v>
                </c:pt>
                <c:pt idx="1">
                  <c:v>0.59083333333333332</c:v>
                </c:pt>
                <c:pt idx="2">
                  <c:v>0.58986633269720101</c:v>
                </c:pt>
                <c:pt idx="3">
                  <c:v>0.55999045584045581</c:v>
                </c:pt>
                <c:pt idx="4">
                  <c:v>0.39236458333333335</c:v>
                </c:pt>
                <c:pt idx="5">
                  <c:v>0.51483556384227602</c:v>
                </c:pt>
                <c:pt idx="6">
                  <c:v>0.40940952229628164</c:v>
                </c:pt>
                <c:pt idx="7">
                  <c:v>0.35954444444444444</c:v>
                </c:pt>
              </c:numCache>
            </c:numRef>
          </c:val>
          <c:extLst>
            <c:ext xmlns:c16="http://schemas.microsoft.com/office/drawing/2014/chart" uri="{C3380CC4-5D6E-409C-BE32-E72D297353CC}">
              <c16:uniqueId val="{00000002-C894-4C9D-A53F-9B1304CE9BDD}"/>
            </c:ext>
          </c:extLst>
        </c:ser>
        <c:dLbls>
          <c:showLegendKey val="0"/>
          <c:showVal val="0"/>
          <c:showCatName val="0"/>
          <c:showSerName val="0"/>
          <c:showPercent val="0"/>
          <c:showBubbleSize val="0"/>
        </c:dLbls>
        <c:gapWidth val="219"/>
        <c:overlap val="-27"/>
        <c:axId val="430546632"/>
        <c:axId val="430547024"/>
      </c:barChart>
      <c:catAx>
        <c:axId val="43054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47024"/>
        <c:crosses val="autoZero"/>
        <c:auto val="1"/>
        <c:lblAlgn val="ctr"/>
        <c:lblOffset val="100"/>
        <c:noMultiLvlLbl val="0"/>
      </c:catAx>
      <c:valAx>
        <c:axId val="430547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4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3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'SEGUIMIENTO DEL PLAN DE DESARRO'!$T$2</c:f>
              <c:strCache>
                <c:ptCount val="1"/>
                <c:pt idx="0">
                  <c:v>AVANCE ACUMULADO  CORTE  MARZO 2026 RESPECTO AL CUATRIENIO (PONDERADOR)</c:v>
                </c:pt>
              </c:strCache>
            </c:strRef>
          </c:tx>
          <c:spPr>
            <a:solidFill>
              <a:schemeClr val="accent1"/>
            </a:solidFill>
            <a:ln>
              <a:noFill/>
            </a:ln>
            <a:effectLst/>
            <a:sp3d/>
          </c:spPr>
          <c:invertIfNegative val="0"/>
          <c:dLbls>
            <c:dLbl>
              <c:idx val="0"/>
              <c:layout>
                <c:manualLayout>
                  <c:x val="6.7476383265856954E-3"/>
                  <c:y val="6.7415730337078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092-4A82-8C59-FEEF7907FB2C}"/>
                </c:ext>
              </c:extLst>
            </c:dLbl>
            <c:dLbl>
              <c:idx val="1"/>
              <c:layout>
                <c:manualLayout>
                  <c:x val="-1.3495276653171719E-3"/>
                  <c:y val="5.992509363295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092-4A82-8C59-FEEF7907FB2C}"/>
                </c:ext>
              </c:extLst>
            </c:dLbl>
            <c:dLbl>
              <c:idx val="2"/>
              <c:layout>
                <c:manualLayout>
                  <c:x val="-4.048582995951417E-3"/>
                  <c:y val="7.490636704119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092-4A82-8C59-FEEF7907FB2C}"/>
                </c:ext>
              </c:extLst>
            </c:dLbl>
            <c:dLbl>
              <c:idx val="3"/>
              <c:layout>
                <c:manualLayout>
                  <c:x val="0"/>
                  <c:y val="3.2459425717852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092-4A82-8C59-FEEF7907FB2C}"/>
                </c:ext>
              </c:extLst>
            </c:dLbl>
            <c:dLbl>
              <c:idx val="4"/>
              <c:layout>
                <c:manualLayout>
                  <c:x val="-1.3495276653171389E-3"/>
                  <c:y val="3.74531835205992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092-4A82-8C59-FEEF7907FB2C}"/>
                </c:ext>
              </c:extLst>
            </c:dLbl>
            <c:dLbl>
              <c:idx val="5"/>
              <c:layout>
                <c:manualLayout>
                  <c:x val="1.3495276653171389E-3"/>
                  <c:y val="3.2459425717852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092-4A82-8C59-FEEF7907FB2C}"/>
                </c:ext>
              </c:extLst>
            </c:dLbl>
            <c:dLbl>
              <c:idx val="6"/>
              <c:layout>
                <c:manualLayout>
                  <c:x val="4.048582995951417E-3"/>
                  <c:y val="4.4943820224719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092-4A82-8C59-FEEF7907FB2C}"/>
                </c:ext>
              </c:extLst>
            </c:dLbl>
            <c:spPr>
              <a:no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DESARRO'!$T$3:$T$9</c:f>
              <c:numCache>
                <c:formatCode>0.0%</c:formatCode>
                <c:ptCount val="7"/>
                <c:pt idx="0">
                  <c:v>0.49708320477254825</c:v>
                </c:pt>
                <c:pt idx="1">
                  <c:v>0.52120742165003209</c:v>
                </c:pt>
                <c:pt idx="2">
                  <c:v>0.53288230613882503</c:v>
                </c:pt>
                <c:pt idx="3">
                  <c:v>0.50250755082733933</c:v>
                </c:pt>
                <c:pt idx="4">
                  <c:v>0.43051012846917308</c:v>
                </c:pt>
                <c:pt idx="5">
                  <c:v>0.54894144575815218</c:v>
                </c:pt>
                <c:pt idx="6">
                  <c:v>0.36127683238636366</c:v>
                </c:pt>
              </c:numCache>
            </c:numRef>
          </c:val>
          <c:extLst>
            <c:ext xmlns:c16="http://schemas.microsoft.com/office/drawing/2014/chart" uri="{C3380CC4-5D6E-409C-BE32-E72D297353CC}">
              <c16:uniqueId val="{00000000-7092-4A82-8C59-FEEF7907FB2C}"/>
            </c:ext>
          </c:extLst>
        </c:ser>
        <c:dLbls>
          <c:showLegendKey val="0"/>
          <c:showVal val="0"/>
          <c:showCatName val="0"/>
          <c:showSerName val="0"/>
          <c:showPercent val="0"/>
          <c:showBubbleSize val="0"/>
        </c:dLbls>
        <c:gapWidth val="150"/>
        <c:shape val="box"/>
        <c:axId val="28244431"/>
        <c:axId val="28241935"/>
        <c:axId val="0"/>
      </c:bar3DChart>
      <c:catAx>
        <c:axId val="2824443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0" b="1" i="0" u="none" strike="noStrike" kern="1200" baseline="0">
                <a:solidFill>
                  <a:schemeClr val="tx1">
                    <a:lumMod val="65000"/>
                    <a:lumOff val="35000"/>
                  </a:schemeClr>
                </a:solidFill>
                <a:latin typeface="+mn-lt"/>
                <a:ea typeface="+mn-ea"/>
                <a:cs typeface="+mn-cs"/>
              </a:defRPr>
            </a:pPr>
            <a:endParaRPr lang="es-CO"/>
          </a:p>
        </c:txPr>
        <c:crossAx val="28241935"/>
        <c:crosses val="autoZero"/>
        <c:auto val="1"/>
        <c:lblAlgn val="ctr"/>
        <c:lblOffset val="100"/>
        <c:noMultiLvlLbl val="0"/>
      </c:catAx>
      <c:valAx>
        <c:axId val="2824193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3000" b="1" i="0" u="none" strike="noStrike" kern="1200" baseline="0">
                <a:solidFill>
                  <a:schemeClr val="tx1">
                    <a:lumMod val="65000"/>
                    <a:lumOff val="35000"/>
                  </a:schemeClr>
                </a:solidFill>
                <a:latin typeface="+mn-lt"/>
                <a:ea typeface="+mn-ea"/>
                <a:cs typeface="+mn-cs"/>
              </a:defRPr>
            </a:pPr>
            <a:endParaRPr lang="es-CO"/>
          </a:p>
        </c:txPr>
        <c:crossAx val="282444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3000" b="1"/>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'GRAFICAS DESARROLLO ECONOMICO'!$E$32</c:f>
              <c:strCache>
                <c:ptCount val="1"/>
                <c:pt idx="0">
                  <c:v>AVANCE CUATRIENIO IMPULSOR DE AVANCE: COMPETITIVIDAD E INNOVACIÓN. CORTE 30 DE MARZO DE 2026</c:v>
                </c:pt>
              </c:strCache>
            </c:strRef>
          </c:tx>
          <c:spPr>
            <a:solidFill>
              <a:schemeClr val="accent6">
                <a:lumMod val="40000"/>
                <a:lumOff val="60000"/>
              </a:schemeClr>
            </a:solidFill>
            <a:ln>
              <a:noFill/>
            </a:ln>
            <a:effectLst/>
            <a:sp3d/>
          </c:spPr>
          <c:invertIfNegative val="0"/>
          <c:dPt>
            <c:idx val="0"/>
            <c:invertIfNegative val="0"/>
            <c:bubble3D val="0"/>
            <c:spPr>
              <a:solidFill>
                <a:schemeClr val="accent6">
                  <a:lumMod val="40000"/>
                  <a:lumOff val="60000"/>
                </a:schemeClr>
              </a:solidFill>
              <a:ln>
                <a:noFill/>
              </a:ln>
              <a:effectLst/>
              <a:sp3d/>
            </c:spPr>
            <c:extLst>
              <c:ext xmlns:c16="http://schemas.microsoft.com/office/drawing/2014/chart" uri="{C3380CC4-5D6E-409C-BE32-E72D297353CC}">
                <c16:uniqueId val="{00000001-4FC7-4E61-B963-E130AB4C9B92}"/>
              </c:ext>
            </c:extLst>
          </c:dPt>
          <c:dPt>
            <c:idx val="1"/>
            <c:invertIfNegative val="0"/>
            <c:bubble3D val="0"/>
            <c:spPr>
              <a:solidFill>
                <a:schemeClr val="accent6">
                  <a:lumMod val="40000"/>
                  <a:lumOff val="60000"/>
                </a:schemeClr>
              </a:solidFill>
              <a:ln>
                <a:noFill/>
              </a:ln>
              <a:effectLst/>
              <a:sp3d/>
            </c:spPr>
            <c:extLst>
              <c:ext xmlns:c16="http://schemas.microsoft.com/office/drawing/2014/chart" uri="{C3380CC4-5D6E-409C-BE32-E72D297353CC}">
                <c16:uniqueId val="{00000002-4FC7-4E61-B963-E130AB4C9B92}"/>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4FC7-4E61-B963-E130AB4C9B92}"/>
              </c:ext>
            </c:extLst>
          </c:dPt>
          <c:dLbls>
            <c:dLbl>
              <c:idx val="0"/>
              <c:layout>
                <c:manualLayout>
                  <c:x val="1.5618027666220438E-2"/>
                  <c:y val="-5.4054054054054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C7-4E61-B963-E130AB4C9B92}"/>
                </c:ext>
              </c:extLst>
            </c:dLbl>
            <c:dLbl>
              <c:idx val="1"/>
              <c:layout>
                <c:manualLayout>
                  <c:x val="2.3427041499330573E-2"/>
                  <c:y val="-6.006006006006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C7-4E61-B963-E130AB4C9B92}"/>
                </c:ext>
              </c:extLst>
            </c:dLbl>
            <c:dLbl>
              <c:idx val="2"/>
              <c:layout>
                <c:manualLayout>
                  <c:x val="2.0080321285140562E-2"/>
                  <c:y val="-5.70570570570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C7-4E61-B963-E130AB4C9B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ECONOMICO'!$C$33:$C$35</c:f>
              <c:strCache>
                <c:ptCount val="3"/>
                <c:pt idx="0">
                  <c:v> Competitividad e innovación
</c:v>
                </c:pt>
                <c:pt idx="1">
                  <c:v> UNIDOS POR UNA CARTAGENA COMPETITIVA E INNOVADORA</c:v>
                </c:pt>
                <c:pt idx="2">
                  <c:v> CARTAGENA GLOBAL</c:v>
                </c:pt>
              </c:strCache>
            </c:strRef>
          </c:cat>
          <c:val>
            <c:numRef>
              <c:f>'GRAFICAS DESARROLLO ECONOMICO'!$E$33:$E$35</c:f>
              <c:numCache>
                <c:formatCode>0.0%</c:formatCode>
                <c:ptCount val="3"/>
                <c:pt idx="0">
                  <c:v>0.57433333333333336</c:v>
                </c:pt>
                <c:pt idx="1">
                  <c:v>0.69699999999999995</c:v>
                </c:pt>
                <c:pt idx="2">
                  <c:v>0.45166666666666666</c:v>
                </c:pt>
              </c:numCache>
            </c:numRef>
          </c:val>
          <c:extLst>
            <c:ext xmlns:c16="http://schemas.microsoft.com/office/drawing/2014/chart" uri="{C3380CC4-5D6E-409C-BE32-E72D297353CC}">
              <c16:uniqueId val="{00000000-4FC7-4E61-B963-E130AB4C9B92}"/>
            </c:ext>
          </c:extLst>
        </c:ser>
        <c:dLbls>
          <c:showLegendKey val="0"/>
          <c:showVal val="0"/>
          <c:showCatName val="0"/>
          <c:showSerName val="0"/>
          <c:showPercent val="0"/>
          <c:showBubbleSize val="0"/>
        </c:dLbls>
        <c:gapWidth val="150"/>
        <c:shape val="box"/>
        <c:axId val="430549768"/>
        <c:axId val="430547416"/>
        <c:axId val="0"/>
      </c:bar3DChart>
      <c:catAx>
        <c:axId val="4305497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30547416"/>
        <c:crosses val="autoZero"/>
        <c:auto val="1"/>
        <c:lblAlgn val="ctr"/>
        <c:lblOffset val="100"/>
        <c:noMultiLvlLbl val="0"/>
      </c:catAx>
      <c:valAx>
        <c:axId val="430547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9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ECONOMICO'!$E$60</c:f>
              <c:strCache>
                <c:ptCount val="1"/>
                <c:pt idx="0">
                  <c:v>AVANCE CUATRIENIO IMPULSOR DE AVANCE: TURISMO SOSTENIBLE Y RESPONSABLE. CORTE 30 DE MARZO DE 2026</c:v>
                </c:pt>
              </c:strCache>
            </c:strRef>
          </c:tx>
          <c:spPr>
            <a:solidFill>
              <a:schemeClr val="accent6">
                <a:lumMod val="40000"/>
                <a:lumOff val="60000"/>
              </a:schemeClr>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2-D409-49E4-9707-4E6C1BE4CB99}"/>
              </c:ext>
            </c:extLst>
          </c:dPt>
          <c:dPt>
            <c:idx val="1"/>
            <c:invertIfNegative val="0"/>
            <c:bubble3D val="0"/>
            <c:spPr>
              <a:solidFill>
                <a:srgbClr val="00B050"/>
              </a:solidFill>
              <a:ln>
                <a:noFill/>
              </a:ln>
              <a:effectLst/>
            </c:spPr>
            <c:extLst>
              <c:ext xmlns:c16="http://schemas.microsoft.com/office/drawing/2014/chart" uri="{C3380CC4-5D6E-409C-BE32-E72D297353CC}">
                <c16:uniqueId val="{00000004-D409-49E4-9707-4E6C1BE4CB99}"/>
              </c:ext>
            </c:extLst>
          </c:dPt>
          <c:dPt>
            <c:idx val="2"/>
            <c:invertIfNegative val="0"/>
            <c:bubble3D val="0"/>
            <c:spPr>
              <a:solidFill>
                <a:srgbClr val="FFFF00"/>
              </a:solidFill>
              <a:ln>
                <a:noFill/>
              </a:ln>
              <a:effectLst/>
            </c:spPr>
            <c:extLst>
              <c:ext xmlns:c16="http://schemas.microsoft.com/office/drawing/2014/chart" uri="{C3380CC4-5D6E-409C-BE32-E72D297353CC}">
                <c16:uniqueId val="{00000006-D409-49E4-9707-4E6C1BE4CB99}"/>
              </c:ext>
            </c:extLst>
          </c:dPt>
          <c:dPt>
            <c:idx val="3"/>
            <c:invertIfNegative val="0"/>
            <c:bubble3D val="0"/>
            <c:spPr>
              <a:solidFill>
                <a:srgbClr val="FFFF00"/>
              </a:solidFill>
              <a:ln>
                <a:noFill/>
              </a:ln>
              <a:effectLst/>
            </c:spPr>
            <c:extLst>
              <c:ext xmlns:c16="http://schemas.microsoft.com/office/drawing/2014/chart" uri="{C3380CC4-5D6E-409C-BE32-E72D297353CC}">
                <c16:uniqueId val="{0000000B-A55E-4F8D-A95B-3BC4D1B089B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7776-425F-BF58-3CD827018A91}"/>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9FD-4C14-8284-C25D99EA594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ECONOMICO'!$C$61:$C$66</c:f>
              <c:strCache>
                <c:ptCount val="6"/>
                <c:pt idx="0">
                  <c:v>Turismo Sostenible y Responsable
</c:v>
                </c:pt>
                <c:pt idx="1">
                  <c:v> PROMOCIÓN TURÍSTICA</c:v>
                </c:pt>
                <c:pt idx="2">
                  <c:v> SEGURIDAD, VIGILANCIA Y CONTROL PARA UN TURISMO RESPONSABLE</c:v>
                </c:pt>
                <c:pt idx="3">
                  <c:v> TURISMO SOSTENIBLE E INCLUYENTE CON LAS COMUNIDADES</c:v>
                </c:pt>
                <c:pt idx="4">
                  <c:v> INFRAESTRUCTURA TURÍSTICA PARA EL DESARROLLO</c:v>
                </c:pt>
                <c:pt idx="5">
                  <c:v> GOBERNANZA Y FORTALECIMIENTO INSTITUCIONAL PARA UNA CIUDAD DE DERECHOS, RESPONSABLE Y COMPETITIVA</c:v>
                </c:pt>
              </c:strCache>
            </c:strRef>
          </c:cat>
          <c:val>
            <c:numRef>
              <c:f>'GRAFICAS DESARROLLO ECONOMICO'!$E$61:$E$66</c:f>
              <c:numCache>
                <c:formatCode>0.0%</c:formatCode>
                <c:ptCount val="6"/>
                <c:pt idx="0">
                  <c:v>0.54328163110282435</c:v>
                </c:pt>
                <c:pt idx="1">
                  <c:v>0.78749999999999998</c:v>
                </c:pt>
                <c:pt idx="2">
                  <c:v>0.40173611111111107</c:v>
                </c:pt>
                <c:pt idx="3">
                  <c:v>0.50897759995856651</c:v>
                </c:pt>
                <c:pt idx="4">
                  <c:v>0.35152777777777777</c:v>
                </c:pt>
                <c:pt idx="5">
                  <c:v>0.66666666666666663</c:v>
                </c:pt>
              </c:numCache>
            </c:numRef>
          </c:val>
          <c:extLst>
            <c:ext xmlns:c16="http://schemas.microsoft.com/office/drawing/2014/chart" uri="{C3380CC4-5D6E-409C-BE32-E72D297353CC}">
              <c16:uniqueId val="{00000000-D409-49E4-9707-4E6C1BE4CB99}"/>
            </c:ext>
          </c:extLst>
        </c:ser>
        <c:dLbls>
          <c:showLegendKey val="0"/>
          <c:showVal val="0"/>
          <c:showCatName val="0"/>
          <c:showSerName val="0"/>
          <c:showPercent val="0"/>
          <c:showBubbleSize val="0"/>
        </c:dLbls>
        <c:gapWidth val="219"/>
        <c:overlap val="-27"/>
        <c:axId val="430545064"/>
        <c:axId val="430551336"/>
      </c:barChart>
      <c:catAx>
        <c:axId val="430545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51336"/>
        <c:crosses val="autoZero"/>
        <c:auto val="1"/>
        <c:lblAlgn val="ctr"/>
        <c:lblOffset val="100"/>
        <c:noMultiLvlLbl val="0"/>
      </c:catAx>
      <c:valAx>
        <c:axId val="430551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5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a:t>
            </a:r>
            <a:r>
              <a:rPr lang="en-US" sz="1400" b="1" i="0" u="none" strike="noStrike" kern="1200" spc="0" baseline="0">
                <a:solidFill>
                  <a:srgbClr val="000000">
                    <a:lumMod val="65000"/>
                    <a:lumOff val="35000"/>
                  </a:srgbClr>
                </a:solidFill>
                <a:latin typeface="+mn-lt"/>
                <a:ea typeface="+mn-ea"/>
                <a:cs typeface="+mn-cs"/>
              </a:rPr>
              <a:t>SISTEMA INTEGRAL DE ABASTECIMIENTO. PROGRAMAS. CORTE </a:t>
            </a:r>
            <a:r>
              <a:rPr lang="es-CO" sz="1400" b="1" i="0" u="none" strike="noStrike" kern="1200" spc="0" baseline="0">
                <a:solidFill>
                  <a:srgbClr val="000000">
                    <a:lumMod val="65000"/>
                    <a:lumOff val="35000"/>
                  </a:srgbClr>
                </a:solidFill>
                <a:latin typeface="+mn-lt"/>
                <a:ea typeface="+mn-ea"/>
                <a:cs typeface="+mn-cs"/>
              </a:rPr>
              <a:t> </a:t>
            </a:r>
            <a:r>
              <a:rPr lang="es-CO" sz="1400" b="1" i="0" u="none" strike="noStrike" baseline="0">
                <a:effectLst/>
              </a:rPr>
              <a:t>30 DE MARZO 2026.</a:t>
            </a:r>
            <a:endParaRPr lang="es-CO" sz="1400" b="1" i="0" u="none" strike="noStrike" kern="1200" spc="0" baseline="0">
              <a:solidFill>
                <a:srgbClr val="000000">
                  <a:lumMod val="65000"/>
                  <a:lumOff val="35000"/>
                </a:srgbClr>
              </a:solidFill>
              <a:latin typeface="+mn-lt"/>
              <a:ea typeface="+mn-ea"/>
              <a:cs typeface="+mn-cs"/>
            </a:endParaRPr>
          </a:p>
        </c:rich>
      </c:tx>
      <c:layout>
        <c:manualLayout>
          <c:xMode val="edge"/>
          <c:yMode val="edge"/>
          <c:x val="0.11504157599958124"/>
          <c:y val="2.721518987341772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ECONOMICO'!$E$77</c:f>
              <c:strCache>
                <c:ptCount val="1"/>
                <c:pt idx="0">
                  <c:v>AVANCE CUATRIENIO IMPULSOR DE AVANCE: SISTEMA INTEGRAL DE ABASTECIMIENTO. CORTE 30 DE MARZO DE 2026</c:v>
                </c:pt>
              </c:strCache>
            </c:strRef>
          </c:tx>
          <c:spPr>
            <a:solidFill>
              <a:srgbClr val="92D050"/>
            </a:solidFill>
            <a:ln>
              <a:noFill/>
            </a:ln>
            <a:effectLst/>
          </c:spPr>
          <c:invertIfNegative val="0"/>
          <c:dPt>
            <c:idx val="0"/>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ED8C-4AAC-8DF7-9FF5F4E56278}"/>
              </c:ext>
            </c:extLst>
          </c:dPt>
          <c:dPt>
            <c:idx val="1"/>
            <c:invertIfNegative val="0"/>
            <c:bubble3D val="0"/>
            <c:spPr>
              <a:solidFill>
                <a:srgbClr val="FF0000"/>
              </a:solidFill>
              <a:ln>
                <a:noFill/>
              </a:ln>
              <a:effectLst/>
            </c:spPr>
            <c:extLst>
              <c:ext xmlns:c16="http://schemas.microsoft.com/office/drawing/2014/chart" uri="{C3380CC4-5D6E-409C-BE32-E72D297353CC}">
                <c16:uniqueId val="{00000003-ED8C-4AAC-8DF7-9FF5F4E56278}"/>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ED8C-4AAC-8DF7-9FF5F4E5627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ECONOMICO'!$E$78:$E$80</c:f>
              <c:numCache>
                <c:formatCode>0.0%</c:formatCode>
                <c:ptCount val="3"/>
                <c:pt idx="0">
                  <c:v>0.37621111111111111</c:v>
                </c:pt>
                <c:pt idx="1">
                  <c:v>0.15888888888888889</c:v>
                </c:pt>
                <c:pt idx="2">
                  <c:v>0.59353333333333336</c:v>
                </c:pt>
              </c:numCache>
            </c:numRef>
          </c:val>
          <c:extLst>
            <c:ext xmlns:c16="http://schemas.microsoft.com/office/drawing/2014/chart" uri="{C3380CC4-5D6E-409C-BE32-E72D297353CC}">
              <c16:uniqueId val="{00000006-ED8C-4AAC-8DF7-9FF5F4E56278}"/>
            </c:ext>
          </c:extLst>
        </c:ser>
        <c:dLbls>
          <c:showLegendKey val="0"/>
          <c:showVal val="0"/>
          <c:showCatName val="0"/>
          <c:showSerName val="0"/>
          <c:showPercent val="0"/>
          <c:showBubbleSize val="0"/>
        </c:dLbls>
        <c:gapWidth val="219"/>
        <c:overlap val="-27"/>
        <c:axId val="430547808"/>
        <c:axId val="430544672"/>
      </c:barChart>
      <c:catAx>
        <c:axId val="43054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44672"/>
        <c:crosses val="autoZero"/>
        <c:auto val="1"/>
        <c:lblAlgn val="ctr"/>
        <c:lblOffset val="100"/>
        <c:noMultiLvlLbl val="0"/>
      </c:catAx>
      <c:valAx>
        <c:axId val="4305446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47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LINEA ESTRATEGICA CIUDAD CONECTADA.  </a:t>
            </a:r>
            <a:r>
              <a:rPr lang="es-CO" sz="1440" b="1" i="0" u="none" strike="noStrike" baseline="0">
                <a:effectLst/>
              </a:rPr>
              <a:t>30 DE MARZO DE 2026</a:t>
            </a:r>
            <a:endParaRPr lang="es-CO" b="1"/>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2026</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9-4AA9-9B01-ED91D48CAAE3}"/>
                </c:ext>
              </c:extLst>
            </c:dLbl>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0.77279219838918167</c:v>
                </c:pt>
                <c:pt idx="1">
                  <c:v>0.81703491612554102</c:v>
                </c:pt>
                <c:pt idx="2">
                  <c:v>0.61059613095238097</c:v>
                </c:pt>
                <c:pt idx="3">
                  <c:v>0.68968457619047618</c:v>
                </c:pt>
                <c:pt idx="4">
                  <c:v>0.91670476648400179</c:v>
                </c:pt>
                <c:pt idx="5">
                  <c:v>0.64279166666666665</c:v>
                </c:pt>
                <c:pt idx="6">
                  <c:v>0.99718475754512093</c:v>
                </c:pt>
                <c:pt idx="7">
                  <c:v>0.82280486111111106</c:v>
                </c:pt>
              </c:numCache>
            </c:numRef>
          </c:val>
          <c:extLst>
            <c:ext xmlns:c16="http://schemas.microsoft.com/office/drawing/2014/chart" uri="{C3380CC4-5D6E-409C-BE32-E72D297353CC}">
              <c16:uniqueId val="{00000000-C4A9-4AA9-9B01-ED91D48CAAE3}"/>
            </c:ext>
          </c:extLst>
        </c:ser>
        <c:ser>
          <c:idx val="1"/>
          <c:order val="1"/>
          <c:tx>
            <c:strRef>
              <c:f>'GRAFICAS CIUDAD CONECTADA'!$E$4</c:f>
              <c:strCache>
                <c:ptCount val="1"/>
                <c:pt idx="0">
                  <c:v>LOGRO  CORTE  30 DE MARZO DE 2026 RESPECTO AL CUATRIENIO</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DEEC-4718-97EC-14671C7F551C}"/>
              </c:ext>
            </c:extLst>
          </c:dPt>
          <c:dPt>
            <c:idx val="1"/>
            <c:invertIfNegative val="0"/>
            <c:bubble3D val="0"/>
            <c:spPr>
              <a:solidFill>
                <a:srgbClr val="FFFF00"/>
              </a:solidFill>
              <a:ln>
                <a:noFill/>
              </a:ln>
              <a:effectLst/>
            </c:spPr>
            <c:extLst>
              <c:ext xmlns:c16="http://schemas.microsoft.com/office/drawing/2014/chart" uri="{C3380CC4-5D6E-409C-BE32-E72D297353CC}">
                <c16:uniqueId val="{00000002-DEEC-4718-97EC-14671C7F551C}"/>
              </c:ext>
            </c:extLst>
          </c:dPt>
          <c:dPt>
            <c:idx val="2"/>
            <c:invertIfNegative val="0"/>
            <c:bubble3D val="0"/>
            <c:spPr>
              <a:solidFill>
                <a:srgbClr val="FFFF00"/>
              </a:solidFill>
              <a:ln>
                <a:noFill/>
              </a:ln>
              <a:effectLst/>
            </c:spPr>
            <c:extLst>
              <c:ext xmlns:c16="http://schemas.microsoft.com/office/drawing/2014/chart" uri="{C3380CC4-5D6E-409C-BE32-E72D297353CC}">
                <c16:uniqueId val="{00000004-DEEC-4718-97EC-14671C7F551C}"/>
              </c:ext>
            </c:extLst>
          </c:dPt>
          <c:dPt>
            <c:idx val="3"/>
            <c:invertIfNegative val="0"/>
            <c:bubble3D val="0"/>
            <c:spPr>
              <a:solidFill>
                <a:srgbClr val="FFFF00"/>
              </a:solidFill>
              <a:ln>
                <a:noFill/>
              </a:ln>
              <a:effectLst/>
            </c:spPr>
            <c:extLst>
              <c:ext xmlns:c16="http://schemas.microsoft.com/office/drawing/2014/chart" uri="{C3380CC4-5D6E-409C-BE32-E72D297353CC}">
                <c16:uniqueId val="{00000005-DEEC-4718-97EC-14671C7F551C}"/>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DEEC-4718-97EC-14671C7F551C}"/>
              </c:ext>
            </c:extLst>
          </c:dPt>
          <c:dPt>
            <c:idx val="5"/>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DEEC-4718-97EC-14671C7F551C}"/>
              </c:ext>
            </c:extLst>
          </c:dPt>
          <c:dPt>
            <c:idx val="6"/>
            <c:invertIfNegative val="0"/>
            <c:bubble3D val="0"/>
            <c:spPr>
              <a:solidFill>
                <a:srgbClr val="00B050"/>
              </a:solidFill>
              <a:ln>
                <a:noFill/>
              </a:ln>
              <a:effectLst/>
            </c:spPr>
            <c:extLst>
              <c:ext xmlns:c16="http://schemas.microsoft.com/office/drawing/2014/chart" uri="{C3380CC4-5D6E-409C-BE32-E72D297353CC}">
                <c16:uniqueId val="{0000000C-DEEC-4718-97EC-14671C7F551C}"/>
              </c:ext>
            </c:extLst>
          </c:dPt>
          <c:dPt>
            <c:idx val="7"/>
            <c:invertIfNegative val="0"/>
            <c:bubble3D val="0"/>
            <c:spPr>
              <a:solidFill>
                <a:srgbClr val="FFFF00"/>
              </a:solidFill>
              <a:ln>
                <a:noFill/>
              </a:ln>
              <a:effectLst/>
            </c:spPr>
            <c:extLst>
              <c:ext xmlns:c16="http://schemas.microsoft.com/office/drawing/2014/chart" uri="{C3380CC4-5D6E-409C-BE32-E72D297353CC}">
                <c16:uniqueId val="{0000000F-DEEC-4718-97EC-14671C7F551C}"/>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0.53358917072877365</c:v>
                </c:pt>
                <c:pt idx="1">
                  <c:v>0.47285980158730168</c:v>
                </c:pt>
                <c:pt idx="2">
                  <c:v>0.50546964285714291</c:v>
                </c:pt>
                <c:pt idx="3">
                  <c:v>0.47124168730158733</c:v>
                </c:pt>
                <c:pt idx="4">
                  <c:v>0.64844857477466167</c:v>
                </c:pt>
                <c:pt idx="5">
                  <c:v>0.36382738095238093</c:v>
                </c:pt>
                <c:pt idx="6">
                  <c:v>0.72732145894018829</c:v>
                </c:pt>
                <c:pt idx="7">
                  <c:v>0.51927708333333333</c:v>
                </c:pt>
              </c:numCache>
            </c:numRef>
          </c:val>
          <c:extLst>
            <c:ext xmlns:c16="http://schemas.microsoft.com/office/drawing/2014/chart" uri="{C3380CC4-5D6E-409C-BE32-E72D297353CC}">
              <c16:uniqueId val="{00000001-C4A9-4AA9-9B01-ED91D48CAAE3}"/>
            </c:ext>
          </c:extLst>
        </c:ser>
        <c:dLbls>
          <c:showLegendKey val="0"/>
          <c:showVal val="0"/>
          <c:showCatName val="0"/>
          <c:showSerName val="0"/>
          <c:showPercent val="0"/>
          <c:showBubbleSize val="0"/>
        </c:dLbls>
        <c:gapWidth val="219"/>
        <c:overlap val="-27"/>
        <c:axId val="430551728"/>
        <c:axId val="430545848"/>
      </c:barChart>
      <c:catAx>
        <c:axId val="43055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545848"/>
        <c:crosses val="autoZero"/>
        <c:auto val="1"/>
        <c:lblAlgn val="ctr"/>
        <c:lblOffset val="100"/>
        <c:noMultiLvlLbl val="0"/>
      </c:catAx>
      <c:valAx>
        <c:axId val="430545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551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a:t>AVANCE </a:t>
            </a:r>
            <a:r>
              <a:rPr lang="es-CO" sz="1200" b="1" i="0" u="none" strike="noStrike" kern="1200" spc="0" baseline="0">
                <a:solidFill>
                  <a:srgbClr val="000000">
                    <a:lumMod val="65000"/>
                    <a:lumOff val="35000"/>
                  </a:srgbClr>
                </a:solidFill>
                <a:latin typeface="+mn-lt"/>
                <a:ea typeface="+mn-ea"/>
                <a:cs typeface="+mn-cs"/>
              </a:rPr>
              <a:t>RESPECTO AL CUATRIENIO DE LOS COMPONENTES IMPULSORES LINEA ESTRATEGICA CIUDAD CONECTADA  </a:t>
            </a:r>
            <a:r>
              <a:rPr lang="en-US" sz="1200" b="1" i="0" u="none" strike="noStrike" kern="1200" spc="0" baseline="0">
                <a:solidFill>
                  <a:srgbClr val="000000">
                    <a:lumMod val="65000"/>
                    <a:lumOff val="35000"/>
                  </a:srgbClr>
                </a:solidFill>
                <a:latin typeface="+mn-lt"/>
                <a:ea typeface="+mn-ea"/>
                <a:cs typeface="+mn-cs"/>
              </a:rPr>
              <a:t>CORTE </a:t>
            </a:r>
            <a:r>
              <a:rPr lang="es-CO" sz="1200" b="1" i="0" u="none" strike="noStrike" kern="1200" spc="0" baseline="0">
                <a:solidFill>
                  <a:srgbClr val="000000">
                    <a:lumMod val="65000"/>
                    <a:lumOff val="35000"/>
                  </a:srgbClr>
                </a:solidFill>
                <a:latin typeface="+mn-lt"/>
                <a:ea typeface="+mn-ea"/>
                <a:cs typeface="+mn-cs"/>
              </a:rPr>
              <a:t> 30 DE MARZO 2026. PONDERADO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CONECTADA'!$O$5</c:f>
              <c:strCache>
                <c:ptCount val="1"/>
                <c:pt idx="0">
                  <c:v>ESPERADO VIGENCIA  2026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CONECTADA'!$O$6:$O$13</c:f>
              <c:numCache>
                <c:formatCode>0.0%</c:formatCode>
                <c:ptCount val="8"/>
                <c:pt idx="0">
                  <c:v>0.39932063331285683</c:v>
                </c:pt>
                <c:pt idx="1">
                  <c:v>0.42935448648648655</c:v>
                </c:pt>
                <c:pt idx="2">
                  <c:v>0.45153571428571426</c:v>
                </c:pt>
                <c:pt idx="3">
                  <c:v>0.32091666666666663</c:v>
                </c:pt>
                <c:pt idx="4">
                  <c:v>0.45310010038270909</c:v>
                </c:pt>
                <c:pt idx="5">
                  <c:v>0.41069444444444447</c:v>
                </c:pt>
                <c:pt idx="6">
                  <c:v>0.56085977039114832</c:v>
                </c:pt>
                <c:pt idx="7">
                  <c:v>0.41881250000000003</c:v>
                </c:pt>
              </c:numCache>
            </c:numRef>
          </c:val>
          <c:extLst>
            <c:ext xmlns:c16="http://schemas.microsoft.com/office/drawing/2014/chart" uri="{C3380CC4-5D6E-409C-BE32-E72D297353CC}">
              <c16:uniqueId val="{00000000-7F67-4C3F-968C-2D68C11E2A8A}"/>
            </c:ext>
          </c:extLst>
        </c:ser>
        <c:ser>
          <c:idx val="1"/>
          <c:order val="1"/>
          <c:tx>
            <c:strRef>
              <c:f>'GRAFICAS CIUDAD CONECTADA'!$P$5</c:f>
              <c:strCache>
                <c:ptCount val="1"/>
                <c:pt idx="0">
                  <c:v>LOGRO CORTE 30 DE MARZO 2026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CONECTADA'!$P$6:$P$13</c:f>
              <c:numCache>
                <c:formatCode>0.0%</c:formatCode>
                <c:ptCount val="8"/>
                <c:pt idx="0">
                  <c:v>0.43051012846917308</c:v>
                </c:pt>
                <c:pt idx="1">
                  <c:v>0.57415549466666671</c:v>
                </c:pt>
                <c:pt idx="2">
                  <c:v>0.73821428571428582</c:v>
                </c:pt>
                <c:pt idx="3">
                  <c:v>0.29058750833333336</c:v>
                </c:pt>
                <c:pt idx="4">
                  <c:v>0.63958272162619989</c:v>
                </c:pt>
                <c:pt idx="5">
                  <c:v>0.26417537499999999</c:v>
                </c:pt>
                <c:pt idx="6">
                  <c:v>0.33495534128097743</c:v>
                </c:pt>
                <c:pt idx="7">
                  <c:v>0.45584175000000005</c:v>
                </c:pt>
              </c:numCache>
            </c:numRef>
          </c:val>
          <c:extLst>
            <c:ext xmlns:c16="http://schemas.microsoft.com/office/drawing/2014/chart" uri="{C3380CC4-5D6E-409C-BE32-E72D297353CC}">
              <c16:uniqueId val="{00000001-7F67-4C3F-968C-2D68C11E2A8A}"/>
            </c:ext>
          </c:extLst>
        </c:ser>
        <c:dLbls>
          <c:showLegendKey val="0"/>
          <c:showVal val="0"/>
          <c:showCatName val="0"/>
          <c:showSerName val="0"/>
          <c:showPercent val="0"/>
          <c:showBubbleSize val="0"/>
        </c:dLbls>
        <c:gapWidth val="219"/>
        <c:overlap val="-27"/>
        <c:axId val="430546240"/>
        <c:axId val="429970624"/>
      </c:barChart>
      <c:catAx>
        <c:axId val="43054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0624"/>
        <c:crosses val="autoZero"/>
        <c:auto val="1"/>
        <c:lblAlgn val="ctr"/>
        <c:lblOffset val="100"/>
        <c:noMultiLvlLbl val="0"/>
      </c:catAx>
      <c:valAx>
        <c:axId val="429970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700" b="1"/>
              <a:t>Componente Impulsor del avance: Ordenamiento del Territorio y espacio público. Avance ponderado corte </a:t>
            </a:r>
            <a:r>
              <a:rPr lang="en-US" sz="1700" b="1" i="0" u="none" strike="noStrike" baseline="0">
                <a:effectLst/>
              </a:rPr>
              <a:t> </a:t>
            </a:r>
            <a:r>
              <a:rPr lang="es-CO" sz="1700" b="1" i="0" u="none" strike="noStrike" baseline="0">
                <a:effectLst/>
              </a:rPr>
              <a:t>30 de marzo de 2026</a:t>
            </a:r>
            <a:r>
              <a:rPr lang="en-US" b="1"/>
              <a:t>.</a:t>
            </a:r>
          </a:p>
        </c:rich>
      </c:tx>
      <c:layout>
        <c:manualLayout>
          <c:xMode val="edge"/>
          <c:yMode val="edge"/>
          <c:x val="0.11778455818022747"/>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CONECTADA'!$D$46</c:f>
              <c:strCache>
                <c:ptCount val="1"/>
                <c:pt idx="0">
                  <c:v>AVANCE PONDERADO CORTE 30 DE MARZO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CONECTADA'!$D$47:$D$49</c:f>
              <c:numCache>
                <c:formatCode>0.0%</c:formatCode>
                <c:ptCount val="3"/>
                <c:pt idx="0">
                  <c:v>0.57415549466666671</c:v>
                </c:pt>
                <c:pt idx="1">
                  <c:v>0.58407927809523807</c:v>
                </c:pt>
                <c:pt idx="2">
                  <c:v>0.55100000000000005</c:v>
                </c:pt>
              </c:numCache>
            </c:numRef>
          </c:val>
          <c:extLst>
            <c:ext xmlns:c16="http://schemas.microsoft.com/office/drawing/2014/chart" uri="{C3380CC4-5D6E-409C-BE32-E72D297353CC}">
              <c16:uniqueId val="{00000000-A542-4A30-8D52-82E1D63BC971}"/>
            </c:ext>
          </c:extLst>
        </c:ser>
        <c:dLbls>
          <c:showLegendKey val="0"/>
          <c:showVal val="0"/>
          <c:showCatName val="0"/>
          <c:showSerName val="0"/>
          <c:showPercent val="0"/>
          <c:showBubbleSize val="0"/>
        </c:dLbls>
        <c:gapWidth val="219"/>
        <c:overlap val="-27"/>
        <c:axId val="429972976"/>
        <c:axId val="429969840"/>
      </c:barChart>
      <c:catAx>
        <c:axId val="429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29969840"/>
        <c:crosses val="autoZero"/>
        <c:auto val="1"/>
        <c:lblAlgn val="ctr"/>
        <c:lblOffset val="100"/>
        <c:noMultiLvlLbl val="0"/>
      </c:catAx>
      <c:valAx>
        <c:axId val="429969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a:t>
            </a:r>
            <a:r>
              <a:rPr lang="en-US" sz="1800" b="1" i="0" u="none" strike="noStrike" kern="1200" spc="0" baseline="0">
                <a:solidFill>
                  <a:srgbClr val="000000">
                    <a:lumMod val="65000"/>
                    <a:lumOff val="35000"/>
                  </a:srgbClr>
                </a:solidFill>
                <a:effectLst/>
                <a:latin typeface="+mn-lt"/>
                <a:ea typeface="+mn-ea"/>
                <a:cs typeface="+mn-cs"/>
              </a:rPr>
              <a:t>: Cartagena Amigable con el Ambiente. Avance ponderado corte  </a:t>
            </a:r>
            <a:r>
              <a:rPr lang="es-CO" sz="1800" b="1" i="0" u="none" strike="noStrike" kern="1200" spc="0" baseline="0">
                <a:solidFill>
                  <a:srgbClr val="000000">
                    <a:lumMod val="65000"/>
                    <a:lumOff val="35000"/>
                  </a:srgbClr>
                </a:solidFill>
                <a:effectLst/>
                <a:latin typeface="+mn-lt"/>
                <a:ea typeface="+mn-ea"/>
                <a:cs typeface="+mn-cs"/>
              </a:rPr>
              <a:t>30 de marzo de 2026</a:t>
            </a:r>
          </a:p>
        </c:rich>
      </c:tx>
      <c:layout>
        <c:manualLayout>
          <c:xMode val="edge"/>
          <c:yMode val="edge"/>
          <c:x val="0.13315293334812023"/>
          <c:y val="1.8957345971563982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CONECTADA'!$D$59</c:f>
              <c:strCache>
                <c:ptCount val="1"/>
                <c:pt idx="0">
                  <c:v>AVANCE PONDERADO CORTE 30 DE MARZO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CONECTADA'!$D$60:$D$65</c:f>
              <c:numCache>
                <c:formatCode>0.0%</c:formatCode>
                <c:ptCount val="6"/>
                <c:pt idx="0">
                  <c:v>0.29058750833333336</c:v>
                </c:pt>
                <c:pt idx="1">
                  <c:v>0.17025750000000001</c:v>
                </c:pt>
                <c:pt idx="2">
                  <c:v>0.37132266666666669</c:v>
                </c:pt>
                <c:pt idx="3">
                  <c:v>0.8</c:v>
                </c:pt>
                <c:pt idx="4">
                  <c:v>0.62833000000000006</c:v>
                </c:pt>
                <c:pt idx="5">
                  <c:v>0.14076986666666669</c:v>
                </c:pt>
              </c:numCache>
            </c:numRef>
          </c:val>
          <c:extLst>
            <c:ext xmlns:c16="http://schemas.microsoft.com/office/drawing/2014/chart" uri="{C3380CC4-5D6E-409C-BE32-E72D297353CC}">
              <c16:uniqueId val="{00000000-AF80-49A3-99FA-049B919FE9CA}"/>
            </c:ext>
          </c:extLst>
        </c:ser>
        <c:dLbls>
          <c:showLegendKey val="0"/>
          <c:showVal val="0"/>
          <c:showCatName val="0"/>
          <c:showSerName val="0"/>
          <c:showPercent val="0"/>
          <c:showBubbleSize val="0"/>
        </c:dLbls>
        <c:gapWidth val="219"/>
        <c:overlap val="-27"/>
        <c:axId val="429973368"/>
        <c:axId val="429971016"/>
      </c:barChart>
      <c:catAx>
        <c:axId val="429973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1016"/>
        <c:crosses val="autoZero"/>
        <c:auto val="1"/>
        <c:lblAlgn val="ctr"/>
        <c:lblOffset val="100"/>
        <c:noMultiLvlLbl val="0"/>
      </c:catAx>
      <c:valAx>
        <c:axId val="429971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 avance: </a:t>
            </a:r>
            <a:r>
              <a:rPr lang="en-US" sz="1800" b="1" i="0" u="none" strike="noStrike" kern="1200" spc="0" baseline="0">
                <a:solidFill>
                  <a:srgbClr val="000000">
                    <a:lumMod val="65000"/>
                    <a:lumOff val="35000"/>
                  </a:srgbClr>
                </a:solidFill>
                <a:effectLst/>
                <a:latin typeface="+mn-lt"/>
                <a:ea typeface="+mn-ea"/>
                <a:cs typeface="+mn-cs"/>
              </a:rPr>
              <a:t>Cartagena Adaptada al Clima y Resiliente a los Desastres. Avance ponderado corte  </a:t>
            </a:r>
            <a:r>
              <a:rPr lang="es-CO" sz="1800" b="1" i="0" u="none" strike="noStrike" kern="1200" spc="0" baseline="0">
                <a:solidFill>
                  <a:srgbClr val="000000">
                    <a:lumMod val="65000"/>
                    <a:lumOff val="35000"/>
                  </a:srgbClr>
                </a:solidFill>
                <a:effectLst/>
                <a:latin typeface="+mn-lt"/>
                <a:ea typeface="+mn-ea"/>
                <a:cs typeface="+mn-cs"/>
              </a:rPr>
              <a:t>30 de marzo de 2026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CONECTADA'!$D$70</c:f>
              <c:strCache>
                <c:ptCount val="1"/>
                <c:pt idx="0">
                  <c:v>AVANCE PONDERADO CORTE 30 DE MARZO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CONECTADA'!$D$71:$D$77</c:f>
              <c:numCache>
                <c:formatCode>0.0%</c:formatCode>
                <c:ptCount val="7"/>
                <c:pt idx="0">
                  <c:v>0.63958272162619989</c:v>
                </c:pt>
                <c:pt idx="1">
                  <c:v>0.36499999999999999</c:v>
                </c:pt>
                <c:pt idx="2">
                  <c:v>0.69763636363636361</c:v>
                </c:pt>
                <c:pt idx="3">
                  <c:v>0.70405797101449274</c:v>
                </c:pt>
                <c:pt idx="4">
                  <c:v>0.88975000000000004</c:v>
                </c:pt>
                <c:pt idx="5">
                  <c:v>0.36571428571428571</c:v>
                </c:pt>
                <c:pt idx="6">
                  <c:v>0.82299999999999995</c:v>
                </c:pt>
              </c:numCache>
            </c:numRef>
          </c:val>
          <c:extLst>
            <c:ext xmlns:c16="http://schemas.microsoft.com/office/drawing/2014/chart" uri="{C3380CC4-5D6E-409C-BE32-E72D297353CC}">
              <c16:uniqueId val="{00000000-5860-4272-8F38-54D0835BC3EC}"/>
            </c:ext>
          </c:extLst>
        </c:ser>
        <c:dLbls>
          <c:showLegendKey val="0"/>
          <c:showVal val="0"/>
          <c:showCatName val="0"/>
          <c:showSerName val="0"/>
          <c:showPercent val="0"/>
          <c:showBubbleSize val="0"/>
        </c:dLbls>
        <c:gapWidth val="219"/>
        <c:overlap val="-27"/>
        <c:axId val="429974152"/>
        <c:axId val="429974544"/>
      </c:barChart>
      <c:catAx>
        <c:axId val="429974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4544"/>
        <c:crosses val="autoZero"/>
        <c:auto val="1"/>
        <c:lblAlgn val="ctr"/>
        <c:lblOffset val="100"/>
        <c:noMultiLvlLbl val="0"/>
      </c:catAx>
      <c:valAx>
        <c:axId val="429974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4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Ciudad Histórica y Patrimonial</a:t>
            </a:r>
            <a:r>
              <a:rPr lang="en-US" sz="1800"/>
              <a:t>. </a:t>
            </a:r>
            <a:r>
              <a:rPr lang="en-US" sz="1800" b="1" i="0" u="none" strike="noStrike" kern="1200" spc="0" baseline="0">
                <a:solidFill>
                  <a:srgbClr val="000000">
                    <a:lumMod val="65000"/>
                    <a:lumOff val="35000"/>
                  </a:srgbClr>
                </a:solidFill>
                <a:effectLst/>
                <a:latin typeface="+mn-lt"/>
                <a:ea typeface="+mn-ea"/>
                <a:cs typeface="+mn-cs"/>
              </a:rPr>
              <a:t>Avance ponderado corte  </a:t>
            </a:r>
            <a:r>
              <a:rPr lang="es-CO" sz="1800" b="1" i="0" u="none" strike="noStrike" kern="1200" spc="0" baseline="0">
                <a:solidFill>
                  <a:srgbClr val="000000">
                    <a:lumMod val="65000"/>
                    <a:lumOff val="35000"/>
                  </a:srgbClr>
                </a:solidFill>
                <a:effectLst/>
                <a:latin typeface="+mn-lt"/>
                <a:ea typeface="+mn-ea"/>
                <a:cs typeface="+mn-cs"/>
              </a:rPr>
              <a:t>30 de marzo de 2026</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CONECTADA'!$D$82</c:f>
              <c:strCache>
                <c:ptCount val="1"/>
                <c:pt idx="0">
                  <c:v>AVANCE PONDERADO CORTE 30 DE MARZO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CONECTADA'!$D$83:$D$86</c:f>
              <c:numCache>
                <c:formatCode>0.0%</c:formatCode>
                <c:ptCount val="4"/>
                <c:pt idx="0">
                  <c:v>0.26417537499999999</c:v>
                </c:pt>
                <c:pt idx="1">
                  <c:v>0.2944175</c:v>
                </c:pt>
                <c:pt idx="2">
                  <c:v>0.15375</c:v>
                </c:pt>
                <c:pt idx="3">
                  <c:v>0.625</c:v>
                </c:pt>
              </c:numCache>
            </c:numRef>
          </c:val>
          <c:extLst>
            <c:ext xmlns:c16="http://schemas.microsoft.com/office/drawing/2014/chart" uri="{C3380CC4-5D6E-409C-BE32-E72D297353CC}">
              <c16:uniqueId val="{00000000-AE70-45BE-B254-C8CF80831D94}"/>
            </c:ext>
          </c:extLst>
        </c:ser>
        <c:dLbls>
          <c:showLegendKey val="0"/>
          <c:showVal val="0"/>
          <c:showCatName val="0"/>
          <c:showSerName val="0"/>
          <c:showPercent val="0"/>
          <c:showBubbleSize val="0"/>
        </c:dLbls>
        <c:gapWidth val="219"/>
        <c:overlap val="-27"/>
        <c:axId val="429975720"/>
        <c:axId val="429971800"/>
      </c:barChart>
      <c:catAx>
        <c:axId val="42997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1800"/>
        <c:crosses val="autoZero"/>
        <c:auto val="1"/>
        <c:lblAlgn val="ctr"/>
        <c:lblOffset val="100"/>
        <c:noMultiLvlLbl val="0"/>
      </c:catAx>
      <c:valAx>
        <c:axId val="429971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5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700" b="1" i="0" u="none" strike="noStrike" kern="1200" spc="0" baseline="0">
                <a:solidFill>
                  <a:srgbClr val="000000">
                    <a:lumMod val="65000"/>
                    <a:lumOff val="35000"/>
                  </a:srgbClr>
                </a:solidFill>
                <a:effectLst/>
                <a:latin typeface="+mn-lt"/>
                <a:ea typeface="+mn-ea"/>
                <a:cs typeface="+mn-cs"/>
              </a:rPr>
              <a:t>Componente Impulsor de avance: Infraestructura, Movilidad Sostenible y Accesibilidad para Todos. Avance ponderado corte  </a:t>
            </a:r>
            <a:r>
              <a:rPr lang="es-CO" sz="1700" b="1" i="0" u="none" strike="noStrike" kern="1200" spc="0" baseline="0">
                <a:solidFill>
                  <a:srgbClr val="000000">
                    <a:lumMod val="65000"/>
                    <a:lumOff val="35000"/>
                  </a:srgbClr>
                </a:solidFill>
                <a:effectLst/>
                <a:latin typeface="+mn-lt"/>
                <a:ea typeface="+mn-ea"/>
                <a:cs typeface="+mn-cs"/>
              </a:rPr>
              <a:t>30 de marzo de 2026</a:t>
            </a:r>
            <a:endParaRPr lang="en-US" sz="1700" b="1" i="0" u="none" strike="noStrike" kern="1200" spc="0" baseline="0">
              <a:solidFill>
                <a:srgbClr val="000000">
                  <a:lumMod val="65000"/>
                  <a:lumOff val="35000"/>
                </a:srgbClr>
              </a:solidFill>
              <a:effectLst/>
              <a:latin typeface="+mn-lt"/>
              <a:ea typeface="+mn-ea"/>
              <a:cs typeface="+mn-cs"/>
            </a:endParaRPr>
          </a:p>
        </c:rich>
      </c:tx>
      <c:layout>
        <c:manualLayout>
          <c:xMode val="edge"/>
          <c:yMode val="edge"/>
          <c:x val="0.15388824288480393"/>
          <c:y val="3.11332503113325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CONECTADA'!$D$94</c:f>
              <c:strCache>
                <c:ptCount val="1"/>
                <c:pt idx="0">
                  <c:v>AVANCE PONDERADO CORTE 30 DE MARZO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CONECTADA'!$D$95:$D$99</c:f>
              <c:numCache>
                <c:formatCode>0.0%</c:formatCode>
                <c:ptCount val="5"/>
                <c:pt idx="0">
                  <c:v>0.33495534128097743</c:v>
                </c:pt>
                <c:pt idx="1">
                  <c:v>1</c:v>
                </c:pt>
                <c:pt idx="2">
                  <c:v>0.26324999999999998</c:v>
                </c:pt>
                <c:pt idx="3">
                  <c:v>0.60192798694589134</c:v>
                </c:pt>
                <c:pt idx="4">
                  <c:v>0.58384321619546875</c:v>
                </c:pt>
              </c:numCache>
            </c:numRef>
          </c:val>
          <c:extLst>
            <c:ext xmlns:c16="http://schemas.microsoft.com/office/drawing/2014/chart" uri="{C3380CC4-5D6E-409C-BE32-E72D297353CC}">
              <c16:uniqueId val="{00000000-91AC-48B5-820A-BC871DCE6288}"/>
            </c:ext>
          </c:extLst>
        </c:ser>
        <c:dLbls>
          <c:showLegendKey val="0"/>
          <c:showVal val="0"/>
          <c:showCatName val="0"/>
          <c:showSerName val="0"/>
          <c:showPercent val="0"/>
          <c:showBubbleSize val="0"/>
        </c:dLbls>
        <c:gapWidth val="219"/>
        <c:overlap val="-27"/>
        <c:axId val="429972192"/>
        <c:axId val="429974936"/>
      </c:barChart>
      <c:catAx>
        <c:axId val="42997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4936"/>
        <c:crosses val="autoZero"/>
        <c:auto val="1"/>
        <c:lblAlgn val="ctr"/>
        <c:lblOffset val="100"/>
        <c:noMultiLvlLbl val="0"/>
      </c:catAx>
      <c:valAx>
        <c:axId val="429974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s-CO" sz="1100" b="1"/>
              <a:t>AVANCE RESPECTO AL CUATRIENIO DE LOS COMPONENTES </a:t>
            </a:r>
            <a:r>
              <a:rPr lang="es-CO" sz="1100" b="1" i="0" u="none" strike="noStrike" kern="1200" spc="0" baseline="0">
                <a:solidFill>
                  <a:srgbClr val="000000">
                    <a:lumMod val="65000"/>
                    <a:lumOff val="35000"/>
                  </a:srgbClr>
                </a:solidFill>
                <a:latin typeface="+mn-lt"/>
                <a:ea typeface="+mn-ea"/>
                <a:cs typeface="+mn-cs"/>
              </a:rPr>
              <a:t>IMPULSORES LINEA ESTRATEGICA SEGURIDAD HUMANA   30 DE MARZO 2026</a:t>
            </a: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sz="11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2026</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0.79931262285361604</c:v>
                </c:pt>
                <c:pt idx="1">
                  <c:v>0.88249604373855894</c:v>
                </c:pt>
                <c:pt idx="2">
                  <c:v>0.79066222089425975</c:v>
                </c:pt>
                <c:pt idx="3">
                  <c:v>0.7032139679102718</c:v>
                </c:pt>
                <c:pt idx="4">
                  <c:v>0.91385788056208472</c:v>
                </c:pt>
                <c:pt idx="5">
                  <c:v>0.79616715845974406</c:v>
                </c:pt>
              </c:numCache>
            </c:numRef>
          </c:val>
          <c:extLst>
            <c:ext xmlns:c16="http://schemas.microsoft.com/office/drawing/2014/chart" uri="{C3380CC4-5D6E-409C-BE32-E72D297353CC}">
              <c16:uniqueId val="{00000000-26D3-4943-BAC1-53EAC213B06C}"/>
            </c:ext>
          </c:extLst>
        </c:ser>
        <c:ser>
          <c:idx val="1"/>
          <c:order val="1"/>
          <c:tx>
            <c:strRef>
              <c:f>'GRAFICAS SEGURIDAD HUMANA'!$E$4</c:f>
              <c:strCache>
                <c:ptCount val="1"/>
                <c:pt idx="0">
                  <c:v>LOGRO  CORTE  30 DE MARZO DE 2026 RESPECTO AL CUATRIENIO</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B7E8-4E91-A917-FD2EA59B18FD}"/>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B7E8-4E91-A917-FD2EA59B18FD}"/>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B7E8-4E91-A917-FD2EA59B18FD}"/>
              </c:ext>
            </c:extLst>
          </c:dPt>
          <c:dPt>
            <c:idx val="3"/>
            <c:invertIfNegative val="0"/>
            <c:bubble3D val="0"/>
            <c:spPr>
              <a:solidFill>
                <a:srgbClr val="FFFF00"/>
              </a:solidFill>
              <a:ln>
                <a:noFill/>
              </a:ln>
              <a:effectLst/>
            </c:spPr>
            <c:extLst>
              <c:ext xmlns:c16="http://schemas.microsoft.com/office/drawing/2014/chart" uri="{C3380CC4-5D6E-409C-BE32-E72D297353CC}">
                <c16:uniqueId val="{00000007-B7E8-4E91-A917-FD2EA59B18FD}"/>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B7E8-4E91-A917-FD2EA59B18FD}"/>
              </c:ext>
            </c:extLst>
          </c:dPt>
          <c:dPt>
            <c:idx val="5"/>
            <c:invertIfNegative val="0"/>
            <c:bubble3D val="0"/>
            <c:spPr>
              <a:solidFill>
                <a:srgbClr val="FFFF00"/>
              </a:solidFill>
              <a:ln>
                <a:noFill/>
              </a:ln>
              <a:effectLst/>
            </c:spPr>
            <c:extLst>
              <c:ext xmlns:c16="http://schemas.microsoft.com/office/drawing/2014/chart" uri="{C3380CC4-5D6E-409C-BE32-E72D297353CC}">
                <c16:uniqueId val="{00000009-B7E8-4E91-A917-FD2EA59B18FD}"/>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0.55531722153017071</c:v>
                </c:pt>
                <c:pt idx="1">
                  <c:v>0.65510371930358957</c:v>
                </c:pt>
                <c:pt idx="2">
                  <c:v>0.55721489320920936</c:v>
                </c:pt>
                <c:pt idx="3">
                  <c:v>0.47089768099188162</c:v>
                </c:pt>
                <c:pt idx="4">
                  <c:v>0.6882798055588667</c:v>
                </c:pt>
                <c:pt idx="5">
                  <c:v>0.50341569509571538</c:v>
                </c:pt>
              </c:numCache>
            </c:numRef>
          </c:val>
          <c:extLst>
            <c:ext xmlns:c16="http://schemas.microsoft.com/office/drawing/2014/chart" uri="{C3380CC4-5D6E-409C-BE32-E72D297353CC}">
              <c16:uniqueId val="{00000001-26D3-4943-BAC1-53EAC213B06C}"/>
            </c:ext>
          </c:extLst>
        </c:ser>
        <c:dLbls>
          <c:showLegendKey val="0"/>
          <c:showVal val="0"/>
          <c:showCatName val="0"/>
          <c:showSerName val="0"/>
          <c:showPercent val="0"/>
          <c:showBubbleSize val="0"/>
        </c:dLbls>
        <c:gapWidth val="219"/>
        <c:overlap val="-27"/>
        <c:axId val="425492936"/>
        <c:axId val="425493328"/>
      </c:barChart>
      <c:catAx>
        <c:axId val="42549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5493328"/>
        <c:crosses val="autoZero"/>
        <c:auto val="1"/>
        <c:lblAlgn val="ctr"/>
        <c:lblOffset val="100"/>
        <c:noMultiLvlLbl val="0"/>
      </c:catAx>
      <c:valAx>
        <c:axId val="425493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5492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Cartagena Ordenada Alrededor del Agua. </a:t>
            </a:r>
            <a:r>
              <a:rPr lang="en-US" sz="1800" b="1" i="0" baseline="0">
                <a:effectLst/>
              </a:rPr>
              <a:t>Avance </a:t>
            </a:r>
            <a:r>
              <a:rPr lang="en-US" sz="1800" b="1" i="0" u="none" strike="noStrike" kern="1200" spc="0" baseline="0">
                <a:solidFill>
                  <a:srgbClr val="000000">
                    <a:lumMod val="65000"/>
                    <a:lumOff val="35000"/>
                  </a:srgbClr>
                </a:solidFill>
                <a:effectLst/>
                <a:latin typeface="+mn-lt"/>
                <a:ea typeface="+mn-ea"/>
                <a:cs typeface="+mn-cs"/>
              </a:rPr>
              <a:t>ponderado corte  </a:t>
            </a:r>
            <a:r>
              <a:rPr lang="es-CO" sz="1800" b="1" i="0" u="none" strike="noStrike" kern="1200" spc="0" baseline="0">
                <a:solidFill>
                  <a:srgbClr val="000000">
                    <a:lumMod val="65000"/>
                    <a:lumOff val="35000"/>
                  </a:srgbClr>
                </a:solidFill>
                <a:effectLst/>
                <a:latin typeface="+mn-lt"/>
                <a:ea typeface="+mn-ea"/>
                <a:cs typeface="+mn-cs"/>
              </a:rPr>
              <a:t>30 de marzo de 2026</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CONECTADA'!$D$103</c:f>
              <c:strCache>
                <c:ptCount val="1"/>
                <c:pt idx="0">
                  <c:v>AVANCE PONDERADO CORTE 30 DE MARZO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CONECTADA'!$D$104:$D$108</c:f>
              <c:numCache>
                <c:formatCode>0.0%</c:formatCode>
                <c:ptCount val="5"/>
                <c:pt idx="0">
                  <c:v>0.45584175000000005</c:v>
                </c:pt>
                <c:pt idx="1">
                  <c:v>0.13008375000000003</c:v>
                </c:pt>
                <c:pt idx="2">
                  <c:v>1</c:v>
                </c:pt>
                <c:pt idx="3">
                  <c:v>0.31550000000000006</c:v>
                </c:pt>
                <c:pt idx="4">
                  <c:v>0.64983333333333326</c:v>
                </c:pt>
              </c:numCache>
            </c:numRef>
          </c:val>
          <c:extLst>
            <c:ext xmlns:c16="http://schemas.microsoft.com/office/drawing/2014/chart" uri="{C3380CC4-5D6E-409C-BE32-E72D297353CC}">
              <c16:uniqueId val="{00000000-DAAC-41E9-824D-77B361BDFA4D}"/>
            </c:ext>
          </c:extLst>
        </c:ser>
        <c:dLbls>
          <c:showLegendKey val="0"/>
          <c:showVal val="0"/>
          <c:showCatName val="0"/>
          <c:showSerName val="0"/>
          <c:showPercent val="0"/>
          <c:showBubbleSize val="0"/>
        </c:dLbls>
        <c:gapWidth val="219"/>
        <c:overlap val="-27"/>
        <c:axId val="429968664"/>
        <c:axId val="429972584"/>
      </c:barChart>
      <c:catAx>
        <c:axId val="42996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2584"/>
        <c:crosses val="autoZero"/>
        <c:auto val="1"/>
        <c:lblAlgn val="ctr"/>
        <c:lblOffset val="100"/>
        <c:noMultiLvlLbl val="0"/>
      </c:catAx>
      <c:valAx>
        <c:axId val="4299725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6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r>
              <a:rPr lang="en-US"/>
              <a:t>AVANCE   LINEA ESTRATEGICA CIUDAD CONECTADA VIGENCIA CORTE  </a:t>
            </a:r>
            <a:r>
              <a:rPr lang="en-US" sz="1560" b="1" i="0" u="none" strike="noStrike" baseline="0">
                <a:effectLst/>
              </a:rPr>
              <a:t>CORTE </a:t>
            </a:r>
            <a:r>
              <a:rPr lang="es-CO" sz="1560" b="1" i="0" u="none" strike="noStrike" baseline="0">
                <a:effectLst/>
              </a:rPr>
              <a:t> 30 DE MARZO 2026</a:t>
            </a:r>
            <a:endParaRPr lang="es-CO"/>
          </a:p>
        </c:rich>
      </c:tx>
      <c:layout>
        <c:manualLayout>
          <c:xMode val="edge"/>
          <c:yMode val="edge"/>
          <c:x val="0.27014991906724184"/>
          <c:y val="1.9459459459459458E-2"/>
        </c:manualLayout>
      </c:layout>
      <c:overlay val="0"/>
      <c:spPr>
        <a:noFill/>
        <a:ln>
          <a:noFill/>
        </a:ln>
        <a:effectLst/>
      </c:spPr>
      <c:txPr>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CONECTADA'!$D$119</c:f>
              <c:strCache>
                <c:ptCount val="1"/>
                <c:pt idx="0">
                  <c:v>AVANCE  PARCIAL VIGENCIA  CORTE 30 DE MARZO 2026</c:v>
                </c:pt>
              </c:strCache>
            </c:strRef>
          </c:tx>
          <c:spPr>
            <a:solidFill>
              <a:srgbClr val="92D050"/>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2-A8FF-449C-B6BE-BB827CB78063}"/>
              </c:ext>
            </c:extLst>
          </c:dPt>
          <c:dPt>
            <c:idx val="1"/>
            <c:invertIfNegative val="0"/>
            <c:bubble3D val="0"/>
            <c:spPr>
              <a:solidFill>
                <a:srgbClr val="FFFF00"/>
              </a:solidFill>
              <a:ln>
                <a:noFill/>
              </a:ln>
              <a:effectLst/>
            </c:spPr>
            <c:extLst>
              <c:ext xmlns:c16="http://schemas.microsoft.com/office/drawing/2014/chart" uri="{C3380CC4-5D6E-409C-BE32-E72D297353CC}">
                <c16:uniqueId val="{00000003-A8FF-449C-B6BE-BB827CB78063}"/>
              </c:ext>
            </c:extLst>
          </c:dPt>
          <c:dPt>
            <c:idx val="2"/>
            <c:invertIfNegative val="0"/>
            <c:bubble3D val="0"/>
            <c:spPr>
              <a:solidFill>
                <a:srgbClr val="00B050"/>
              </a:solidFill>
              <a:ln>
                <a:noFill/>
              </a:ln>
              <a:effectLst/>
            </c:spPr>
            <c:extLst>
              <c:ext xmlns:c16="http://schemas.microsoft.com/office/drawing/2014/chart" uri="{C3380CC4-5D6E-409C-BE32-E72D297353CC}">
                <c16:uniqueId val="{00000005-A8FF-449C-B6BE-BB827CB78063}"/>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A8FF-449C-B6BE-BB827CB78063}"/>
              </c:ext>
            </c:extLst>
          </c:dPt>
          <c:dPt>
            <c:idx val="4"/>
            <c:invertIfNegative val="0"/>
            <c:bubble3D val="0"/>
            <c:spPr>
              <a:solidFill>
                <a:srgbClr val="00B050"/>
              </a:solidFill>
              <a:ln>
                <a:noFill/>
              </a:ln>
              <a:effectLst/>
            </c:spPr>
            <c:extLst>
              <c:ext xmlns:c16="http://schemas.microsoft.com/office/drawing/2014/chart" uri="{C3380CC4-5D6E-409C-BE32-E72D297353CC}">
                <c16:uniqueId val="{0000000F-A8FF-449C-B6BE-BB827CB78063}"/>
              </c:ext>
            </c:extLst>
          </c:dPt>
          <c:dPt>
            <c:idx val="5"/>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A8FF-449C-B6BE-BB827CB78063}"/>
              </c:ext>
            </c:extLst>
          </c:dPt>
          <c:dPt>
            <c:idx val="6"/>
            <c:invertIfNegative val="0"/>
            <c:bubble3D val="0"/>
            <c:spPr>
              <a:solidFill>
                <a:srgbClr val="00B050"/>
              </a:solidFill>
              <a:ln>
                <a:noFill/>
              </a:ln>
              <a:effectLst/>
            </c:spPr>
            <c:extLst>
              <c:ext xmlns:c16="http://schemas.microsoft.com/office/drawing/2014/chart" uri="{C3380CC4-5D6E-409C-BE32-E72D297353CC}">
                <c16:uniqueId val="{0000000E-A8FF-449C-B6BE-BB827CB78063}"/>
              </c:ext>
            </c:extLst>
          </c:dPt>
          <c:dPt>
            <c:idx val="7"/>
            <c:invertIfNegative val="0"/>
            <c:bubble3D val="0"/>
            <c:spPr>
              <a:solidFill>
                <a:srgbClr val="00B050"/>
              </a:solidFill>
              <a:ln>
                <a:noFill/>
              </a:ln>
              <a:effectLst/>
            </c:spPr>
            <c:extLst>
              <c:ext xmlns:c16="http://schemas.microsoft.com/office/drawing/2014/chart" uri="{C3380CC4-5D6E-409C-BE32-E72D297353CC}">
                <c16:uniqueId val="{00000006-A8FF-449C-B6BE-BB827CB78063}"/>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CONECTADA'!$C$120:$C$127</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CONECTADA'!$D$120:$D$127</c:f>
              <c:numCache>
                <c:formatCode>0.0%</c:formatCode>
                <c:ptCount val="8"/>
                <c:pt idx="0">
                  <c:v>0.20790903394659535</c:v>
                </c:pt>
                <c:pt idx="1">
                  <c:v>0.17507481639349209</c:v>
                </c:pt>
                <c:pt idx="2">
                  <c:v>0.31092036553524804</c:v>
                </c:pt>
                <c:pt idx="3">
                  <c:v>0.10473200000000001</c:v>
                </c:pt>
                <c:pt idx="4">
                  <c:v>0.23134216225220725</c:v>
                </c:pt>
                <c:pt idx="5">
                  <c:v>6.9738562091503267E-2</c:v>
                </c:pt>
                <c:pt idx="6">
                  <c:v>0.53861770410013765</c:v>
                </c:pt>
                <c:pt idx="7">
                  <c:v>0.23331825396825398</c:v>
                </c:pt>
              </c:numCache>
            </c:numRef>
          </c:val>
          <c:extLst>
            <c:ext xmlns:c16="http://schemas.microsoft.com/office/drawing/2014/chart" uri="{C3380CC4-5D6E-409C-BE32-E72D297353CC}">
              <c16:uniqueId val="{00000000-A8FF-449C-B6BE-BB827CB78063}"/>
            </c:ext>
          </c:extLst>
        </c:ser>
        <c:dLbls>
          <c:showLegendKey val="0"/>
          <c:showVal val="0"/>
          <c:showCatName val="0"/>
          <c:showSerName val="0"/>
          <c:showPercent val="0"/>
          <c:showBubbleSize val="0"/>
        </c:dLbls>
        <c:gapWidth val="219"/>
        <c:overlap val="-27"/>
        <c:axId val="431135832"/>
        <c:axId val="431136224"/>
      </c:barChart>
      <c:catAx>
        <c:axId val="431135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1136224"/>
        <c:crosses val="autoZero"/>
        <c:auto val="1"/>
        <c:lblAlgn val="ctr"/>
        <c:lblOffset val="100"/>
        <c:noMultiLvlLbl val="0"/>
      </c:catAx>
      <c:valAx>
        <c:axId val="431136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1135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b="1"/>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AVANCE CUATRIENIO IMPULSOR DE AVANCE: CARTAGENA AMIGABLE CON EL AMBIENTE. PROGRAMAS.  </a:t>
            </a:r>
            <a:r>
              <a:rPr lang="en-US" sz="1400" b="1" i="0" u="none" strike="noStrike" baseline="0">
                <a:effectLst/>
              </a:rPr>
              <a:t>CORTE </a:t>
            </a:r>
            <a:r>
              <a:rPr lang="es-CO" sz="1400" b="1" i="0" u="none" strike="noStrike" baseline="0">
                <a:effectLst/>
              </a:rPr>
              <a:t> 30 DE MARZO 2026</a:t>
            </a:r>
            <a:endParaRPr lang="en-US" sz="1400" b="1"/>
          </a:p>
        </c:rich>
      </c:tx>
      <c:layout>
        <c:manualLayout>
          <c:xMode val="edge"/>
          <c:yMode val="edge"/>
          <c:x val="0.1691342087431949"/>
          <c:y val="1.87172200452897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CONECTADA'!$E$59</c:f>
              <c:strCache>
                <c:ptCount val="1"/>
                <c:pt idx="0">
                  <c:v>AVANCE CUATRIENIO IMPULSOR DE AVANCE: CARTAGENA AMIGABLE CON EL AMBIENTE. CORTE 30 DE MARZO 2026</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2577-4FA9-B369-EA2EEC70722F}"/>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E3FC-4D96-9830-E4C5FCAF19D4}"/>
              </c:ext>
            </c:extLst>
          </c:dPt>
          <c:dPt>
            <c:idx val="2"/>
            <c:invertIfNegative val="0"/>
            <c:bubble3D val="0"/>
            <c:spPr>
              <a:solidFill>
                <a:srgbClr val="FFFF00"/>
              </a:solidFill>
              <a:ln>
                <a:noFill/>
              </a:ln>
              <a:effectLst/>
            </c:spPr>
            <c:extLst>
              <c:ext xmlns:c16="http://schemas.microsoft.com/office/drawing/2014/chart" uri="{C3380CC4-5D6E-409C-BE32-E72D297353CC}">
                <c16:uniqueId val="{00000003-E3FC-4D96-9830-E4C5FCAF19D4}"/>
              </c:ext>
            </c:extLst>
          </c:dPt>
          <c:dPt>
            <c:idx val="3"/>
            <c:invertIfNegative val="0"/>
            <c:bubble3D val="0"/>
            <c:spPr>
              <a:solidFill>
                <a:srgbClr val="00B050"/>
              </a:solidFill>
              <a:ln>
                <a:noFill/>
              </a:ln>
              <a:effectLst/>
            </c:spPr>
            <c:extLst>
              <c:ext xmlns:c16="http://schemas.microsoft.com/office/drawing/2014/chart" uri="{C3380CC4-5D6E-409C-BE32-E72D297353CC}">
                <c16:uniqueId val="{00000006-E3FC-4D96-9830-E4C5FCAF19D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4FE2-4077-AF5E-564072A8F340}"/>
              </c:ext>
            </c:extLst>
          </c:dPt>
          <c:dPt>
            <c:idx val="5"/>
            <c:invertIfNegative val="0"/>
            <c:bubble3D val="0"/>
            <c:spPr>
              <a:solidFill>
                <a:srgbClr val="FF0000"/>
              </a:solidFill>
              <a:ln>
                <a:noFill/>
              </a:ln>
              <a:effectLst/>
            </c:spPr>
            <c:extLst>
              <c:ext xmlns:c16="http://schemas.microsoft.com/office/drawing/2014/chart" uri="{C3380CC4-5D6E-409C-BE32-E72D297353CC}">
                <c16:uniqueId val="{0000000B-8BB9-4799-BE5F-65E35893365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CONECTADA'!$E$60:$E$65</c:f>
              <c:numCache>
                <c:formatCode>0.0%</c:formatCode>
                <c:ptCount val="6"/>
                <c:pt idx="0">
                  <c:v>0.47124168730158733</c:v>
                </c:pt>
                <c:pt idx="1">
                  <c:v>0.29423154761904763</c:v>
                </c:pt>
                <c:pt idx="2">
                  <c:v>0.40735222222222217</c:v>
                </c:pt>
                <c:pt idx="3">
                  <c:v>0.75</c:v>
                </c:pt>
                <c:pt idx="4">
                  <c:v>0.67770000000000008</c:v>
                </c:pt>
                <c:pt idx="5">
                  <c:v>0.22692466666666666</c:v>
                </c:pt>
              </c:numCache>
            </c:numRef>
          </c:val>
          <c:extLst>
            <c:ext xmlns:c16="http://schemas.microsoft.com/office/drawing/2014/chart" uri="{C3380CC4-5D6E-409C-BE32-E72D297353CC}">
              <c16:uniqueId val="{00000000-2577-4FA9-B369-EA2EEC70722F}"/>
            </c:ext>
          </c:extLst>
        </c:ser>
        <c:dLbls>
          <c:showLegendKey val="0"/>
          <c:showVal val="0"/>
          <c:showCatName val="0"/>
          <c:showSerName val="0"/>
          <c:showPercent val="0"/>
          <c:showBubbleSize val="0"/>
        </c:dLbls>
        <c:gapWidth val="219"/>
        <c:overlap val="-27"/>
        <c:axId val="431137792"/>
        <c:axId val="431138968"/>
      </c:barChart>
      <c:catAx>
        <c:axId val="43113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1138968"/>
        <c:crosses val="autoZero"/>
        <c:auto val="1"/>
        <c:lblAlgn val="ctr"/>
        <c:lblOffset val="100"/>
        <c:noMultiLvlLbl val="0"/>
      </c:catAx>
      <c:valAx>
        <c:axId val="431138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7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AVANCE CUATRIENIO IMPULSOR DE AVANCE: </a:t>
            </a:r>
            <a:r>
              <a:rPr lang="en-US" sz="1400" b="1" i="0" u="none" strike="noStrike" kern="1200" spc="0" baseline="0">
                <a:solidFill>
                  <a:srgbClr val="000000">
                    <a:lumMod val="65000"/>
                    <a:lumOff val="35000"/>
                  </a:srgbClr>
                </a:solidFill>
                <a:latin typeface="+mn-lt"/>
                <a:ea typeface="+mn-ea"/>
                <a:cs typeface="+mn-cs"/>
              </a:rPr>
              <a:t>CIUDAD HISTORICA Y PATRIMONIAL. PROGRAMA. </a:t>
            </a:r>
            <a:r>
              <a:rPr lang="en-US" sz="1400" b="1" i="0" u="none" strike="noStrike" baseline="0">
                <a:effectLst/>
              </a:rPr>
              <a:t>CORTE </a:t>
            </a:r>
            <a:r>
              <a:rPr lang="es-CO" sz="1400" b="1" i="0" u="none" strike="noStrike" baseline="0">
                <a:effectLst/>
              </a:rPr>
              <a:t> 30 DE MARZO 2026</a:t>
            </a:r>
            <a:endParaRPr lang="en-US" sz="1400" b="1" i="0" u="none" strike="noStrike" kern="1200" spc="0" baseline="0">
              <a:solidFill>
                <a:srgbClr val="000000">
                  <a:lumMod val="65000"/>
                  <a:lumOff val="35000"/>
                </a:srgbClr>
              </a:solidFill>
              <a:latin typeface="+mn-lt"/>
              <a:ea typeface="+mn-ea"/>
              <a:cs typeface="+mn-cs"/>
            </a:endParaRPr>
          </a:p>
        </c:rich>
      </c:tx>
      <c:layout>
        <c:manualLayout>
          <c:xMode val="edge"/>
          <c:yMode val="edge"/>
          <c:x val="0.12170445371047557"/>
          <c:y val="2.9399798709371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2118217483359396E-2"/>
          <c:y val="0.14964392807978255"/>
          <c:w val="0.93579918146215901"/>
          <c:h val="0.59102960527084603"/>
        </c:manualLayout>
      </c:layout>
      <c:barChart>
        <c:barDir val="col"/>
        <c:grouping val="clustered"/>
        <c:varyColors val="0"/>
        <c:ser>
          <c:idx val="0"/>
          <c:order val="0"/>
          <c:tx>
            <c:strRef>
              <c:f>'GRAFICAS CIUDAD CONECTADA'!$E$82</c:f>
              <c:strCache>
                <c:ptCount val="1"/>
                <c:pt idx="0">
                  <c:v>AVANCE CUATRIENIO IMPULSOR DE AVANCE: CIUDAD HISTORICA Y PATRIMONIAL. CORTE 30 DE MARZO 2026</c:v>
                </c:pt>
              </c:strCache>
            </c:strRef>
          </c:tx>
          <c:spPr>
            <a:solidFill>
              <a:schemeClr val="accent1"/>
            </a:solidFill>
            <a:ln>
              <a:noFill/>
            </a:ln>
            <a:effectLst/>
          </c:spPr>
          <c:invertIfNegative val="0"/>
          <c:dPt>
            <c:idx val="0"/>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B686-4180-8003-1552A77C7A1E}"/>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9E2F-40C3-A247-71C9F3627560}"/>
              </c:ext>
            </c:extLst>
          </c:dPt>
          <c:dPt>
            <c:idx val="2"/>
            <c:invertIfNegative val="0"/>
            <c:bubble3D val="0"/>
            <c:spPr>
              <a:solidFill>
                <a:srgbClr val="FF0000"/>
              </a:solidFill>
              <a:ln>
                <a:noFill/>
              </a:ln>
              <a:effectLst/>
            </c:spPr>
            <c:extLst>
              <c:ext xmlns:c16="http://schemas.microsoft.com/office/drawing/2014/chart" uri="{C3380CC4-5D6E-409C-BE32-E72D297353CC}">
                <c16:uniqueId val="{00000007-FB70-46FC-A1B8-6D837116062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9E2F-40C3-A247-71C9F362756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CONECTADA'!$E$83:$E$86</c:f>
              <c:numCache>
                <c:formatCode>0.0%</c:formatCode>
                <c:ptCount val="4"/>
                <c:pt idx="0">
                  <c:v>0.36382738095238093</c:v>
                </c:pt>
                <c:pt idx="1">
                  <c:v>0.26353214285714283</c:v>
                </c:pt>
                <c:pt idx="2">
                  <c:v>0.20295000000000002</c:v>
                </c:pt>
                <c:pt idx="3">
                  <c:v>0.625</c:v>
                </c:pt>
              </c:numCache>
            </c:numRef>
          </c:val>
          <c:extLst>
            <c:ext xmlns:c16="http://schemas.microsoft.com/office/drawing/2014/chart" uri="{C3380CC4-5D6E-409C-BE32-E72D297353CC}">
              <c16:uniqueId val="{00000000-B686-4180-8003-1552A77C7A1E}"/>
            </c:ext>
          </c:extLst>
        </c:ser>
        <c:dLbls>
          <c:showLegendKey val="0"/>
          <c:showVal val="0"/>
          <c:showCatName val="0"/>
          <c:showSerName val="0"/>
          <c:showPercent val="0"/>
          <c:showBubbleSize val="0"/>
        </c:dLbls>
        <c:gapWidth val="219"/>
        <c:overlap val="-27"/>
        <c:axId val="431141320"/>
        <c:axId val="431134656"/>
      </c:barChart>
      <c:catAx>
        <c:axId val="431141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4656"/>
        <c:crosses val="autoZero"/>
        <c:auto val="1"/>
        <c:lblAlgn val="ctr"/>
        <c:lblOffset val="100"/>
        <c:noMultiLvlLbl val="0"/>
      </c:catAx>
      <c:valAx>
        <c:axId val="431134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4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INFRAESTRUCTURA, MOVILIDAD Y ACCESIBILIDAD. PROGRAMAS.</a:t>
            </a:r>
            <a:r>
              <a:rPr lang="en-US" baseline="0"/>
              <a:t> </a:t>
            </a:r>
            <a:r>
              <a:rPr lang="en-US" sz="1400" b="1" i="0" u="none" strike="noStrike" baseline="0">
                <a:effectLst/>
              </a:rPr>
              <a:t>CORTE </a:t>
            </a:r>
            <a:r>
              <a:rPr lang="es-CO" sz="1400" b="1" i="0" u="none" strike="noStrike" baseline="0">
                <a:effectLst/>
              </a:rPr>
              <a:t> 30 DE MARZO 2026</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CONECTADA'!$E$94</c:f>
              <c:strCache>
                <c:ptCount val="1"/>
                <c:pt idx="0">
                  <c:v>AVANCE CUATRIENIO IMPULSOR DE AVANCE: INFRAESTRUCTURA, MOVILIDAD Y ACCESIBILIDAD.  CORTE 30 DE MARZO 2026</c:v>
                </c:pt>
              </c:strCache>
            </c:strRef>
          </c:tx>
          <c:spPr>
            <a:solidFill>
              <a:srgbClr val="00B05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60C6-4BE7-9189-2007AA0C52D2}"/>
              </c:ext>
            </c:extLst>
          </c:dPt>
          <c:dPt>
            <c:idx val="2"/>
            <c:invertIfNegative val="0"/>
            <c:bubble3D val="0"/>
            <c:spPr>
              <a:solidFill>
                <a:srgbClr val="FF0000"/>
              </a:solidFill>
              <a:ln>
                <a:noFill/>
              </a:ln>
              <a:effectLst/>
            </c:spPr>
            <c:extLst>
              <c:ext xmlns:c16="http://schemas.microsoft.com/office/drawing/2014/chart" uri="{C3380CC4-5D6E-409C-BE32-E72D297353CC}">
                <c16:uniqueId val="{00000005-C3FA-42D2-B644-754811F1239D}"/>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5CE0-4DB2-A4F6-A61F3A9E0D8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CONECTADA'!$E$95:$E$99</c:f>
              <c:numCache>
                <c:formatCode>0.0%</c:formatCode>
                <c:ptCount val="5"/>
                <c:pt idx="0">
                  <c:v>0.72732145894018829</c:v>
                </c:pt>
                <c:pt idx="1">
                  <c:v>1</c:v>
                </c:pt>
                <c:pt idx="2">
                  <c:v>0.19499999999999998</c:v>
                </c:pt>
                <c:pt idx="3">
                  <c:v>0.57857089722353749</c:v>
                </c:pt>
                <c:pt idx="4">
                  <c:v>0.7357149385372157</c:v>
                </c:pt>
              </c:numCache>
            </c:numRef>
          </c:val>
          <c:extLst>
            <c:ext xmlns:c16="http://schemas.microsoft.com/office/drawing/2014/chart" uri="{C3380CC4-5D6E-409C-BE32-E72D297353CC}">
              <c16:uniqueId val="{00000000-60C6-4BE7-9189-2007AA0C52D2}"/>
            </c:ext>
          </c:extLst>
        </c:ser>
        <c:dLbls>
          <c:showLegendKey val="0"/>
          <c:showVal val="0"/>
          <c:showCatName val="0"/>
          <c:showSerName val="0"/>
          <c:showPercent val="0"/>
          <c:showBubbleSize val="0"/>
        </c:dLbls>
        <c:gapWidth val="219"/>
        <c:overlap val="-27"/>
        <c:axId val="431135440"/>
        <c:axId val="431141712"/>
      </c:barChart>
      <c:catAx>
        <c:axId val="43113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41712"/>
        <c:crosses val="autoZero"/>
        <c:auto val="1"/>
        <c:lblAlgn val="ctr"/>
        <c:lblOffset val="100"/>
        <c:noMultiLvlLbl val="0"/>
      </c:catAx>
      <c:valAx>
        <c:axId val="431141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CARTAGENA ORDENADA ALREDEDOR DEL AGUA.  PROGRAMAS.</a:t>
            </a:r>
            <a:r>
              <a:rPr lang="en-US" baseline="0"/>
              <a:t> </a:t>
            </a:r>
            <a:r>
              <a:rPr lang="en-US" sz="1400" b="1" i="0" u="none" strike="noStrike" baseline="0">
                <a:effectLst/>
              </a:rPr>
              <a:t>CORTE </a:t>
            </a:r>
            <a:r>
              <a:rPr lang="es-CO" sz="1400" b="1" i="0" u="none" strike="noStrike" baseline="0">
                <a:effectLst/>
              </a:rPr>
              <a:t> 30 DE MARZO 2026</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CONECTADA'!$E$103</c:f>
              <c:strCache>
                <c:ptCount val="1"/>
                <c:pt idx="0">
                  <c:v>AVANCE CUATRIENIO IMPULSOR DE AVANCE: CARTAGENA ORDENADA ALREDEDOR DEL AGUA. CORTE 30 DE MARZO 2026</c:v>
                </c:pt>
              </c:strCache>
            </c:strRef>
          </c:tx>
          <c:spPr>
            <a:solidFill>
              <a:srgbClr val="00B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C3DF-4779-B6F1-2778FE45C48F}"/>
              </c:ext>
            </c:extLst>
          </c:dPt>
          <c:dPt>
            <c:idx val="1"/>
            <c:invertIfNegative val="0"/>
            <c:bubble3D val="0"/>
            <c:spPr>
              <a:solidFill>
                <a:srgbClr val="FF0000"/>
              </a:solidFill>
              <a:ln>
                <a:noFill/>
              </a:ln>
              <a:effectLst/>
            </c:spPr>
            <c:extLst>
              <c:ext xmlns:c16="http://schemas.microsoft.com/office/drawing/2014/chart" uri="{C3380CC4-5D6E-409C-BE32-E72D297353CC}">
                <c16:uniqueId val="{00000007-F129-442A-91B2-908969E4DFD0}"/>
              </c:ext>
            </c:extLst>
          </c:dPt>
          <c:dPt>
            <c:idx val="2"/>
            <c:invertIfNegative val="0"/>
            <c:bubble3D val="0"/>
            <c:spPr>
              <a:solidFill>
                <a:srgbClr val="00B050"/>
              </a:solidFill>
              <a:ln>
                <a:noFill/>
              </a:ln>
              <a:effectLst/>
            </c:spPr>
            <c:extLst>
              <c:ext xmlns:c16="http://schemas.microsoft.com/office/drawing/2014/chart" uri="{C3380CC4-5D6E-409C-BE32-E72D297353CC}">
                <c16:uniqueId val="{00000008-095B-41A9-A9D1-404F3E84F913}"/>
              </c:ext>
            </c:extLst>
          </c:dPt>
          <c:dPt>
            <c:idx val="3"/>
            <c:invertIfNegative val="0"/>
            <c:bubble3D val="0"/>
            <c:spPr>
              <a:solidFill>
                <a:srgbClr val="FFFF00"/>
              </a:solidFill>
              <a:ln>
                <a:noFill/>
              </a:ln>
              <a:effectLst/>
            </c:spPr>
            <c:extLst>
              <c:ext xmlns:c16="http://schemas.microsoft.com/office/drawing/2014/chart" uri="{C3380CC4-5D6E-409C-BE32-E72D297353CC}">
                <c16:uniqueId val="{00000003-F129-442A-91B2-908969E4DFD0}"/>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F129-442A-91B2-908969E4DFD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CONECTADA'!$E$104:$E$108</c:f>
              <c:numCache>
                <c:formatCode>0.0%</c:formatCode>
                <c:ptCount val="5"/>
                <c:pt idx="0">
                  <c:v>0.51927708333333333</c:v>
                </c:pt>
                <c:pt idx="1">
                  <c:v>0.21969166666666667</c:v>
                </c:pt>
                <c:pt idx="2">
                  <c:v>1</c:v>
                </c:pt>
                <c:pt idx="3">
                  <c:v>0.46200000000000002</c:v>
                </c:pt>
                <c:pt idx="4">
                  <c:v>0.39541666666666664</c:v>
                </c:pt>
              </c:numCache>
            </c:numRef>
          </c:val>
          <c:extLst>
            <c:ext xmlns:c16="http://schemas.microsoft.com/office/drawing/2014/chart" uri="{C3380CC4-5D6E-409C-BE32-E72D297353CC}">
              <c16:uniqueId val="{00000000-C3DF-4779-B6F1-2778FE45C48F}"/>
            </c:ext>
          </c:extLst>
        </c:ser>
        <c:dLbls>
          <c:showLegendKey val="0"/>
          <c:showVal val="0"/>
          <c:showCatName val="0"/>
          <c:showSerName val="0"/>
          <c:showPercent val="0"/>
          <c:showBubbleSize val="0"/>
        </c:dLbls>
        <c:gapWidth val="219"/>
        <c:overlap val="-27"/>
        <c:axId val="431139360"/>
        <c:axId val="431136616"/>
      </c:barChart>
      <c:catAx>
        <c:axId val="43113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6616"/>
        <c:crosses val="autoZero"/>
        <c:auto val="1"/>
        <c:lblAlgn val="ctr"/>
        <c:lblOffset val="100"/>
        <c:noMultiLvlLbl val="0"/>
      </c:catAx>
      <c:valAx>
        <c:axId val="431136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9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ORDENAMIENTO DEL TERRITORIO. PROGRAMAS.</a:t>
            </a:r>
            <a:r>
              <a:rPr lang="en-US" b="1" baseline="0"/>
              <a:t> </a:t>
            </a:r>
            <a:r>
              <a:rPr lang="en-US" b="1"/>
              <a:t>CORTE </a:t>
            </a:r>
            <a:r>
              <a:rPr lang="es-CO" sz="1400" b="1" i="0" u="none" strike="noStrike" baseline="0">
                <a:effectLst/>
              </a:rPr>
              <a:t> 30 DE MARZO 2026</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CONECTADA'!$E$46</c:f>
              <c:strCache>
                <c:ptCount val="1"/>
                <c:pt idx="0">
                  <c:v>AVANCE CUATRIENIO IMPULSOR DE AVANCE: ORDENAMIENTO DEL TERRITORIO. CORTE 30 DE MARZO 2026.</c:v>
                </c:pt>
              </c:strCache>
            </c:strRef>
          </c:tx>
          <c:spPr>
            <a:solidFill>
              <a:schemeClr val="accent6">
                <a:lumMod val="40000"/>
                <a:lumOff val="60000"/>
              </a:schemeClr>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2-A1DD-40C3-8E64-FABB3E7DEB2D}"/>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7A67-4C40-A9D5-F1E7E3BADDC3}"/>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0-5684-460F-AE79-3FBF9328DC1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CONECTADA'!$E$47:$E$49</c:f>
              <c:numCache>
                <c:formatCode>0.0%</c:formatCode>
                <c:ptCount val="3"/>
                <c:pt idx="0">
                  <c:v>0.47285980158730168</c:v>
                </c:pt>
                <c:pt idx="1">
                  <c:v>0.36656960317460324</c:v>
                </c:pt>
                <c:pt idx="2">
                  <c:v>0.57915000000000005</c:v>
                </c:pt>
              </c:numCache>
            </c:numRef>
          </c:val>
          <c:extLst>
            <c:ext xmlns:c16="http://schemas.microsoft.com/office/drawing/2014/chart" uri="{C3380CC4-5D6E-409C-BE32-E72D297353CC}">
              <c16:uniqueId val="{00000000-5463-4B07-A4D0-6F5F33F2DE21}"/>
            </c:ext>
          </c:extLst>
        </c:ser>
        <c:dLbls>
          <c:showLegendKey val="0"/>
          <c:showVal val="0"/>
          <c:showCatName val="0"/>
          <c:showSerName val="0"/>
          <c:showPercent val="0"/>
          <c:showBubbleSize val="0"/>
        </c:dLbls>
        <c:gapWidth val="219"/>
        <c:overlap val="-27"/>
        <c:axId val="431139752"/>
        <c:axId val="431134264"/>
      </c:barChart>
      <c:catAx>
        <c:axId val="43113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4264"/>
        <c:crosses val="autoZero"/>
        <c:auto val="1"/>
        <c:lblAlgn val="ctr"/>
        <c:lblOffset val="100"/>
        <c:noMultiLvlLbl val="0"/>
      </c:catAx>
      <c:valAx>
        <c:axId val="4311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139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500" b="1"/>
              <a:t>AVANCE RESPECTO AL CUATRIENIO DE LOS COMPONENTES IMPULSORES LINEA ESTRATÉGICA CIUDAD CONECTADA. COMPARATIVO DICIEMBRE 2025 - 3O DE MARZO DE 2026</a:t>
            </a:r>
          </a:p>
        </c:rich>
      </c:tx>
      <c:layout>
        <c:manualLayout>
          <c:xMode val="edge"/>
          <c:yMode val="edge"/>
          <c:x val="0.10282195447303445"/>
          <c:y val="8.737439930100480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2026</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0.77279219838918167</c:v>
                </c:pt>
                <c:pt idx="1">
                  <c:v>0.81703491612554102</c:v>
                </c:pt>
                <c:pt idx="2">
                  <c:v>0.61059613095238097</c:v>
                </c:pt>
                <c:pt idx="3">
                  <c:v>0.68968457619047618</c:v>
                </c:pt>
                <c:pt idx="4">
                  <c:v>0.91670476648400179</c:v>
                </c:pt>
                <c:pt idx="5">
                  <c:v>0.64279166666666665</c:v>
                </c:pt>
                <c:pt idx="6">
                  <c:v>0.99718475754512093</c:v>
                </c:pt>
                <c:pt idx="7">
                  <c:v>0.82280486111111106</c:v>
                </c:pt>
              </c:numCache>
            </c:numRef>
          </c:val>
          <c:extLst>
            <c:ext xmlns:c16="http://schemas.microsoft.com/office/drawing/2014/chart" uri="{C3380CC4-5D6E-409C-BE32-E72D297353CC}">
              <c16:uniqueId val="{00000000-CFAA-4BBB-A7CC-EB9061389E8F}"/>
            </c:ext>
          </c:extLst>
        </c:ser>
        <c:ser>
          <c:idx val="1"/>
          <c:order val="1"/>
          <c:tx>
            <c:strRef>
              <c:f>'GRAFICAS CIUDAD CONECTADA'!$E$4</c:f>
              <c:strCache>
                <c:ptCount val="1"/>
                <c:pt idx="0">
                  <c:v>LOGRO  CORTE  30 DE MARZO DE 2026 RESPECTO AL CUATRIENIO</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2-34BC-4BE7-8D8C-4DBB55BAAF5B}"/>
              </c:ext>
            </c:extLst>
          </c:dPt>
          <c:dPt>
            <c:idx val="1"/>
            <c:invertIfNegative val="0"/>
            <c:bubble3D val="0"/>
            <c:spPr>
              <a:solidFill>
                <a:srgbClr val="FFFF00"/>
              </a:solidFill>
              <a:ln>
                <a:noFill/>
              </a:ln>
              <a:effectLst/>
            </c:spPr>
            <c:extLst>
              <c:ext xmlns:c16="http://schemas.microsoft.com/office/drawing/2014/chart" uri="{C3380CC4-5D6E-409C-BE32-E72D297353CC}">
                <c16:uniqueId val="{00000003-34BC-4BE7-8D8C-4DBB55BAAF5B}"/>
              </c:ext>
            </c:extLst>
          </c:dPt>
          <c:dPt>
            <c:idx val="2"/>
            <c:invertIfNegative val="0"/>
            <c:bubble3D val="0"/>
            <c:spPr>
              <a:solidFill>
                <a:srgbClr val="FFFF00"/>
              </a:solidFill>
              <a:ln>
                <a:noFill/>
              </a:ln>
              <a:effectLst/>
            </c:spPr>
            <c:extLst>
              <c:ext xmlns:c16="http://schemas.microsoft.com/office/drawing/2014/chart" uri="{C3380CC4-5D6E-409C-BE32-E72D297353CC}">
                <c16:uniqueId val="{0000000A-368C-46D6-B5D0-FE12A40F95B8}"/>
              </c:ext>
            </c:extLst>
          </c:dPt>
          <c:dPt>
            <c:idx val="3"/>
            <c:invertIfNegative val="0"/>
            <c:bubble3D val="0"/>
            <c:spPr>
              <a:solidFill>
                <a:srgbClr val="FFFF00"/>
              </a:solidFill>
              <a:ln>
                <a:noFill/>
              </a:ln>
              <a:effectLst/>
            </c:spPr>
            <c:extLst>
              <c:ext xmlns:c16="http://schemas.microsoft.com/office/drawing/2014/chart" uri="{C3380CC4-5D6E-409C-BE32-E72D297353CC}">
                <c16:uniqueId val="{0000000C-1053-4D1D-9057-CA61474A2243}"/>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34BC-4BE7-8D8C-4DBB55BAAF5B}"/>
              </c:ext>
            </c:extLst>
          </c:dPt>
          <c:dPt>
            <c:idx val="5"/>
            <c:invertIfNegative val="0"/>
            <c:bubble3D val="0"/>
            <c:spPr>
              <a:solidFill>
                <a:srgbClr val="FFFF00"/>
              </a:solidFill>
              <a:ln>
                <a:noFill/>
              </a:ln>
              <a:effectLst/>
            </c:spPr>
            <c:extLst>
              <c:ext xmlns:c16="http://schemas.microsoft.com/office/drawing/2014/chart" uri="{C3380CC4-5D6E-409C-BE32-E72D297353CC}">
                <c16:uniqueId val="{0000000F-F3E6-4EF4-AE2D-C372B37F785E}"/>
              </c:ext>
            </c:extLst>
          </c:dPt>
          <c:dPt>
            <c:idx val="6"/>
            <c:invertIfNegative val="0"/>
            <c:bubble3D val="0"/>
            <c:spPr>
              <a:solidFill>
                <a:srgbClr val="00B050"/>
              </a:solidFill>
              <a:ln>
                <a:noFill/>
              </a:ln>
              <a:effectLst/>
            </c:spPr>
            <c:extLst>
              <c:ext xmlns:c16="http://schemas.microsoft.com/office/drawing/2014/chart" uri="{C3380CC4-5D6E-409C-BE32-E72D297353CC}">
                <c16:uniqueId val="{00000006-34BC-4BE7-8D8C-4DBB55BAAF5B}"/>
              </c:ext>
            </c:extLst>
          </c:dPt>
          <c:dPt>
            <c:idx val="7"/>
            <c:invertIfNegative val="0"/>
            <c:bubble3D val="0"/>
            <c:spPr>
              <a:solidFill>
                <a:srgbClr val="FFFF00"/>
              </a:solidFill>
              <a:ln>
                <a:noFill/>
              </a:ln>
              <a:effectLst/>
            </c:spPr>
            <c:extLst>
              <c:ext xmlns:c16="http://schemas.microsoft.com/office/drawing/2014/chart" uri="{C3380CC4-5D6E-409C-BE32-E72D297353CC}">
                <c16:uniqueId val="{00000008-34BC-4BE7-8D8C-4DBB55BAAF5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0.53358917072877365</c:v>
                </c:pt>
                <c:pt idx="1">
                  <c:v>0.47285980158730168</c:v>
                </c:pt>
                <c:pt idx="2">
                  <c:v>0.50546964285714291</c:v>
                </c:pt>
                <c:pt idx="3">
                  <c:v>0.47124168730158733</c:v>
                </c:pt>
                <c:pt idx="4">
                  <c:v>0.64844857477466167</c:v>
                </c:pt>
                <c:pt idx="5">
                  <c:v>0.36382738095238093</c:v>
                </c:pt>
                <c:pt idx="6">
                  <c:v>0.72732145894018829</c:v>
                </c:pt>
                <c:pt idx="7">
                  <c:v>0.51927708333333333</c:v>
                </c:pt>
              </c:numCache>
            </c:numRef>
          </c:val>
          <c:extLst>
            <c:ext xmlns:c16="http://schemas.microsoft.com/office/drawing/2014/chart" uri="{C3380CC4-5D6E-409C-BE32-E72D297353CC}">
              <c16:uniqueId val="{00000001-CFAA-4BBB-A7CC-EB9061389E8F}"/>
            </c:ext>
          </c:extLst>
        </c:ser>
        <c:ser>
          <c:idx val="2"/>
          <c:order val="2"/>
          <c:tx>
            <c:strRef>
              <c:f>'GRAFICAS CIUDAD CONECTADA'!$F$4</c:f>
              <c:strCache>
                <c:ptCount val="1"/>
                <c:pt idx="0">
                  <c:v>LOGRO   CORTE DICIEMBRE 31 DE 2025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CONECTADA'!$F$5:$F$12</c:f>
              <c:numCache>
                <c:formatCode>0.0%</c:formatCode>
                <c:ptCount val="8"/>
                <c:pt idx="0">
                  <c:v>0.48114752787939219</c:v>
                </c:pt>
                <c:pt idx="1">
                  <c:v>0.45684270833333329</c:v>
                </c:pt>
                <c:pt idx="2">
                  <c:v>0.40500089285714286</c:v>
                </c:pt>
                <c:pt idx="3">
                  <c:v>0.37340679841269842</c:v>
                </c:pt>
                <c:pt idx="4">
                  <c:v>0.6222393044098441</c:v>
                </c:pt>
                <c:pt idx="5">
                  <c:v>0.33279166666666665</c:v>
                </c:pt>
                <c:pt idx="6">
                  <c:v>0.63722474587285305</c:v>
                </c:pt>
                <c:pt idx="7">
                  <c:v>0.51947152777777772</c:v>
                </c:pt>
              </c:numCache>
            </c:numRef>
          </c:val>
          <c:extLst>
            <c:ext xmlns:c16="http://schemas.microsoft.com/office/drawing/2014/chart" uri="{C3380CC4-5D6E-409C-BE32-E72D297353CC}">
              <c16:uniqueId val="{00000002-CFAA-4BBB-A7CC-EB9061389E8F}"/>
            </c:ext>
          </c:extLst>
        </c:ser>
        <c:dLbls>
          <c:showLegendKey val="0"/>
          <c:showVal val="0"/>
          <c:showCatName val="0"/>
          <c:showSerName val="0"/>
          <c:showPercent val="0"/>
          <c:showBubbleSize val="0"/>
        </c:dLbls>
        <c:gapWidth val="219"/>
        <c:overlap val="-27"/>
        <c:axId val="431140536"/>
        <c:axId val="432684888"/>
      </c:barChart>
      <c:catAx>
        <c:axId val="4311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4888"/>
        <c:crosses val="autoZero"/>
        <c:auto val="1"/>
        <c:lblAlgn val="ctr"/>
        <c:lblOffset val="100"/>
        <c:noMultiLvlLbl val="0"/>
      </c:catAx>
      <c:valAx>
        <c:axId val="432684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1140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CONECTADA'!$E$54</c:f>
              <c:strCache>
                <c:ptCount val="1"/>
                <c:pt idx="0">
                  <c:v>AVANCE CUATRIENIO IMPULSOR DE AVANCE: CONTROL URBANISTICO. CORTE 30 DE MARZO 2026</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4-C7CF-4DD4-9817-1883B688708F}"/>
              </c:ext>
            </c:extLst>
          </c:dPt>
          <c:dPt>
            <c:idx val="1"/>
            <c:invertIfNegative val="0"/>
            <c:bubble3D val="0"/>
            <c:spPr>
              <a:solidFill>
                <a:srgbClr val="FFFF00"/>
              </a:solidFill>
              <a:ln>
                <a:noFill/>
              </a:ln>
              <a:effectLst/>
            </c:spPr>
            <c:extLst>
              <c:ext xmlns:c16="http://schemas.microsoft.com/office/drawing/2014/chart" uri="{C3380CC4-5D6E-409C-BE32-E72D297353CC}">
                <c16:uniqueId val="{0000000A-C7CF-4DD4-9817-1883B688708F}"/>
              </c:ext>
            </c:extLst>
          </c:dPt>
          <c:dPt>
            <c:idx val="2"/>
            <c:invertIfNegative val="0"/>
            <c:bubble3D val="0"/>
            <c:spPr>
              <a:solidFill>
                <a:srgbClr val="FFFF00"/>
              </a:solidFill>
              <a:ln>
                <a:noFill/>
              </a:ln>
              <a:effectLst/>
            </c:spPr>
            <c:extLst>
              <c:ext xmlns:c16="http://schemas.microsoft.com/office/drawing/2014/chart" uri="{C3380CC4-5D6E-409C-BE32-E72D297353CC}">
                <c16:uniqueId val="{00000013-C7CF-4DD4-9817-1883B688708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CONECTADA'!$C$55:$C$57</c:f>
              <c:strCache>
                <c:ptCount val="3"/>
                <c:pt idx="0">
                  <c:v> Control Urbanístico y Territorial
</c:v>
                </c:pt>
                <c:pt idx="1">
                  <c:v> CARTAGENA AVANZA EN EL FORTALECIMIENTO DEL PLAN DE NORMALIZACIÓN URBANÍSTICA</c:v>
                </c:pt>
                <c:pt idx="2">
                  <c:v> RECUPERANDO LA GOBERNANZA URBANÍSTICA, CARTAGENA VUELVE A BRILLAR</c:v>
                </c:pt>
              </c:strCache>
            </c:strRef>
          </c:cat>
          <c:val>
            <c:numRef>
              <c:f>'GRAFICAS CIUDAD CONECTADA'!$E$55:$E$57</c:f>
              <c:numCache>
                <c:formatCode>0.0%</c:formatCode>
                <c:ptCount val="3"/>
                <c:pt idx="0">
                  <c:v>0.50546964285714291</c:v>
                </c:pt>
                <c:pt idx="1">
                  <c:v>0.46093928571428572</c:v>
                </c:pt>
                <c:pt idx="2">
                  <c:v>0.55000000000000004</c:v>
                </c:pt>
              </c:numCache>
            </c:numRef>
          </c:val>
          <c:extLst>
            <c:ext xmlns:c16="http://schemas.microsoft.com/office/drawing/2014/chart" uri="{C3380CC4-5D6E-409C-BE32-E72D297353CC}">
              <c16:uniqueId val="{00000000-C7CF-4DD4-9817-1883B688708F}"/>
            </c:ext>
          </c:extLst>
        </c:ser>
        <c:dLbls>
          <c:showLegendKey val="0"/>
          <c:showVal val="0"/>
          <c:showCatName val="0"/>
          <c:showSerName val="0"/>
          <c:showPercent val="0"/>
          <c:showBubbleSize val="0"/>
        </c:dLbls>
        <c:gapWidth val="219"/>
        <c:overlap val="-27"/>
        <c:axId val="432688416"/>
        <c:axId val="432686064"/>
      </c:barChart>
      <c:catAx>
        <c:axId val="43268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86064"/>
        <c:crosses val="autoZero"/>
        <c:auto val="1"/>
        <c:lblAlgn val="ctr"/>
        <c:lblOffset val="100"/>
        <c:noMultiLvlLbl val="0"/>
      </c:catAx>
      <c:valAx>
        <c:axId val="432686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32688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CONECTADA'!$E$70</c:f>
              <c:strCache>
                <c:ptCount val="1"/>
                <c:pt idx="0">
                  <c:v>AVANCE CUATRIENIO IMPULSOR DE AVANCE: CARTAGENA ADAPTADA AL CLIMA Y RESILIENTE. CORTE 30 DE MARZO 2026</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7A18-4B95-BEB8-3FD875E0A15E}"/>
              </c:ext>
            </c:extLst>
          </c:dPt>
          <c:dPt>
            <c:idx val="1"/>
            <c:invertIfNegative val="0"/>
            <c:bubble3D val="0"/>
            <c:spPr>
              <a:solidFill>
                <a:srgbClr val="FFFF00"/>
              </a:solidFill>
              <a:ln>
                <a:noFill/>
              </a:ln>
              <a:effectLst/>
            </c:spPr>
            <c:extLst>
              <c:ext xmlns:c16="http://schemas.microsoft.com/office/drawing/2014/chart" uri="{C3380CC4-5D6E-409C-BE32-E72D297353CC}">
                <c16:uniqueId val="{00000003-7A18-4B95-BEB8-3FD875E0A15E}"/>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7A18-4B95-BEB8-3FD875E0A15E}"/>
              </c:ext>
            </c:extLst>
          </c:dPt>
          <c:dPt>
            <c:idx val="3"/>
            <c:invertIfNegative val="0"/>
            <c:bubble3D val="0"/>
            <c:spPr>
              <a:solidFill>
                <a:srgbClr val="00B050"/>
              </a:solidFill>
              <a:ln>
                <a:noFill/>
              </a:ln>
              <a:effectLst/>
            </c:spPr>
            <c:extLst>
              <c:ext xmlns:c16="http://schemas.microsoft.com/office/drawing/2014/chart" uri="{C3380CC4-5D6E-409C-BE32-E72D297353CC}">
                <c16:uniqueId val="{0000000F-EBAF-48FD-8A7F-D3EB57D8494A}"/>
              </c:ext>
            </c:extLst>
          </c:dPt>
          <c:dPt>
            <c:idx val="4"/>
            <c:invertIfNegative val="0"/>
            <c:bubble3D val="0"/>
            <c:spPr>
              <a:solidFill>
                <a:srgbClr val="00B050"/>
              </a:solidFill>
              <a:ln>
                <a:noFill/>
              </a:ln>
              <a:effectLst/>
            </c:spPr>
            <c:extLst>
              <c:ext xmlns:c16="http://schemas.microsoft.com/office/drawing/2014/chart" uri="{C3380CC4-5D6E-409C-BE32-E72D297353CC}">
                <c16:uniqueId val="{00000007-7A18-4B95-BEB8-3FD875E0A15E}"/>
              </c:ext>
            </c:extLst>
          </c:dPt>
          <c:dPt>
            <c:idx val="5"/>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7A18-4B95-BEB8-3FD875E0A15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CONECTADA'!$E$71:$E$77</c:f>
              <c:numCache>
                <c:formatCode>0.0%</c:formatCode>
                <c:ptCount val="7"/>
                <c:pt idx="0">
                  <c:v>0.64844857477466167</c:v>
                </c:pt>
                <c:pt idx="1">
                  <c:v>0.44166666666666665</c:v>
                </c:pt>
                <c:pt idx="2">
                  <c:v>0.67886363636363634</c:v>
                </c:pt>
                <c:pt idx="3">
                  <c:v>0.77294685990338163</c:v>
                </c:pt>
                <c:pt idx="4">
                  <c:v>0.92649999999999999</c:v>
                </c:pt>
                <c:pt idx="5">
                  <c:v>0.36571428571428571</c:v>
                </c:pt>
                <c:pt idx="6">
                  <c:v>0.70499999999999996</c:v>
                </c:pt>
              </c:numCache>
            </c:numRef>
          </c:val>
          <c:extLst>
            <c:ext xmlns:c16="http://schemas.microsoft.com/office/drawing/2014/chart" uri="{C3380CC4-5D6E-409C-BE32-E72D297353CC}">
              <c16:uniqueId val="{0000000A-7A18-4B95-BEB8-3FD875E0A15E}"/>
            </c:ext>
          </c:extLst>
        </c:ser>
        <c:dLbls>
          <c:showLegendKey val="0"/>
          <c:showVal val="0"/>
          <c:showCatName val="0"/>
          <c:showSerName val="0"/>
          <c:showPercent val="0"/>
          <c:showBubbleSize val="0"/>
        </c:dLbls>
        <c:gapWidth val="219"/>
        <c:overlap val="-27"/>
        <c:axId val="432684104"/>
        <c:axId val="432687632"/>
      </c:barChart>
      <c:catAx>
        <c:axId val="43268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7632"/>
        <c:crosses val="autoZero"/>
        <c:auto val="1"/>
        <c:lblAlgn val="ctr"/>
        <c:lblOffset val="100"/>
        <c:noMultiLvlLbl val="0"/>
      </c:catAx>
      <c:valAx>
        <c:axId val="432687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4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r>
              <a:rPr lang="es-CO" sz="1100" b="1"/>
              <a:t>AVANCE </a:t>
            </a:r>
            <a:r>
              <a:rPr lang="es-CO" sz="1100" b="1" i="0" u="none" strike="noStrike" kern="1200" spc="0" baseline="0">
                <a:solidFill>
                  <a:srgbClr val="000000">
                    <a:lumMod val="65000"/>
                    <a:lumOff val="35000"/>
                  </a:srgbClr>
                </a:solidFill>
                <a:latin typeface="+mn-lt"/>
                <a:ea typeface="+mn-ea"/>
                <a:cs typeface="+mn-cs"/>
              </a:rPr>
              <a:t>RESPECTO AL CUATRIENIO DE LOS COMPONENTES IMPULSORES LINEA ESTRATEGICA SEGURIDAD HUMANA  30 DE MARZO 2026. PONDERADO.</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HUMANA'!$R$4</c:f>
              <c:strCache>
                <c:ptCount val="1"/>
                <c:pt idx="0">
                  <c:v>ESPERADO VIGENCIA  2026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HUMANA'!$R$5:$R$10</c:f>
              <c:numCache>
                <c:formatCode>0.0%</c:formatCode>
                <c:ptCount val="6"/>
                <c:pt idx="0">
                  <c:v>0.44946141749228297</c:v>
                </c:pt>
                <c:pt idx="1">
                  <c:v>0.63330030900374967</c:v>
                </c:pt>
                <c:pt idx="2">
                  <c:v>0.43724234496124026</c:v>
                </c:pt>
                <c:pt idx="3">
                  <c:v>0.52883823529411766</c:v>
                </c:pt>
                <c:pt idx="4">
                  <c:v>0.49009351856437344</c:v>
                </c:pt>
                <c:pt idx="5">
                  <c:v>0.43445002459917403</c:v>
                </c:pt>
              </c:numCache>
            </c:numRef>
          </c:val>
          <c:extLst>
            <c:ext xmlns:c16="http://schemas.microsoft.com/office/drawing/2014/chart" uri="{C3380CC4-5D6E-409C-BE32-E72D297353CC}">
              <c16:uniqueId val="{00000000-7F56-45D2-93AE-5A4564E1B2B4}"/>
            </c:ext>
          </c:extLst>
        </c:ser>
        <c:ser>
          <c:idx val="1"/>
          <c:order val="1"/>
          <c:tx>
            <c:strRef>
              <c:f>'GRAFICAS SEGURIDAD HUMANA'!$S$4</c:f>
              <c:strCache>
                <c:ptCount val="1"/>
                <c:pt idx="0">
                  <c:v>LOGRO CORTE  30 DE MARZO DE 2026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HUMANA'!$S$5:$S$10</c:f>
              <c:numCache>
                <c:formatCode>0.0%</c:formatCode>
                <c:ptCount val="6"/>
                <c:pt idx="0">
                  <c:v>0.52120742165003209</c:v>
                </c:pt>
                <c:pt idx="1">
                  <c:v>0.57576906657050364</c:v>
                </c:pt>
                <c:pt idx="2">
                  <c:v>0.54219734284707533</c:v>
                </c:pt>
                <c:pt idx="3">
                  <c:v>0.47208931869570703</c:v>
                </c:pt>
                <c:pt idx="4">
                  <c:v>0.52726154508305056</c:v>
                </c:pt>
                <c:pt idx="5">
                  <c:v>0.50644210731584249</c:v>
                </c:pt>
              </c:numCache>
            </c:numRef>
          </c:val>
          <c:extLst>
            <c:ext xmlns:c16="http://schemas.microsoft.com/office/drawing/2014/chart" uri="{C3380CC4-5D6E-409C-BE32-E72D297353CC}">
              <c16:uniqueId val="{00000001-7F56-45D2-93AE-5A4564E1B2B4}"/>
            </c:ext>
          </c:extLst>
        </c:ser>
        <c:dLbls>
          <c:showLegendKey val="0"/>
          <c:showVal val="0"/>
          <c:showCatName val="0"/>
          <c:showSerName val="0"/>
          <c:showPercent val="0"/>
          <c:showBubbleSize val="0"/>
        </c:dLbls>
        <c:gapWidth val="219"/>
        <c:overlap val="-27"/>
        <c:axId val="428036688"/>
        <c:axId val="428036296"/>
      </c:barChart>
      <c:catAx>
        <c:axId val="42803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6296"/>
        <c:crosses val="autoZero"/>
        <c:auto val="1"/>
        <c:lblAlgn val="ctr"/>
        <c:lblOffset val="100"/>
        <c:noMultiLvlLbl val="0"/>
      </c:catAx>
      <c:valAx>
        <c:axId val="428036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6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LINEA ESTRATEGICA INNOVACIÓN Y PARTICIPACIÓN.</a:t>
            </a:r>
            <a:r>
              <a:rPr lang="es-CO" baseline="0"/>
              <a:t> 30 DE MARZO DE 2026</a:t>
            </a:r>
            <a:endParaRPr lang="es-CO"/>
          </a:p>
        </c:rich>
      </c:tx>
      <c:overlay val="0"/>
      <c:spPr>
        <a:noFill/>
        <a:ln>
          <a:noFill/>
        </a:ln>
        <a:effectLst/>
      </c:spPr>
      <c:txPr>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2173814017049522E-2"/>
          <c:y val="0.15184659911439732"/>
          <c:w val="0.92445720202573123"/>
          <c:h val="0.52954857369365627"/>
        </c:manualLayout>
      </c:layout>
      <c:barChart>
        <c:barDir val="col"/>
        <c:grouping val="clustered"/>
        <c:varyColors val="0"/>
        <c:ser>
          <c:idx val="0"/>
          <c:order val="0"/>
          <c:tx>
            <c:strRef>
              <c:f>'GRAFICAS INNOVACIÓN Y PARTICIPA'!$D$4</c:f>
              <c:strCache>
                <c:ptCount val="1"/>
                <c:pt idx="0">
                  <c:v>ESPERADO  AL CUATRIENIO CORTE DICIEMBRE 2026</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5B-44C3-AD7C-974C33D8D331}"/>
                </c:ext>
              </c:extLst>
            </c:dLbl>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0.83819641214294427</c:v>
                </c:pt>
                <c:pt idx="1">
                  <c:v>0.6911759259259258</c:v>
                </c:pt>
                <c:pt idx="2">
                  <c:v>0.78791252215759355</c:v>
                </c:pt>
                <c:pt idx="3">
                  <c:v>1</c:v>
                </c:pt>
                <c:pt idx="4">
                  <c:v>0.78367528616265114</c:v>
                </c:pt>
                <c:pt idx="5">
                  <c:v>0.68441839317500752</c:v>
                </c:pt>
                <c:pt idx="6">
                  <c:v>0.91855138888888888</c:v>
                </c:pt>
              </c:numCache>
            </c:numRef>
          </c:val>
          <c:extLst>
            <c:ext xmlns:c16="http://schemas.microsoft.com/office/drawing/2014/chart" uri="{C3380CC4-5D6E-409C-BE32-E72D297353CC}">
              <c16:uniqueId val="{00000001-BA5B-44C3-AD7C-974C33D8D331}"/>
            </c:ext>
          </c:extLst>
        </c:ser>
        <c:ser>
          <c:idx val="1"/>
          <c:order val="1"/>
          <c:tx>
            <c:strRef>
              <c:f>'GRAFICAS INNOVACIÓN Y PARTICIPA'!$E$4</c:f>
              <c:strCache>
                <c:ptCount val="1"/>
                <c:pt idx="0">
                  <c:v>LOGRO  CORTE  30 DE MARZO DE 2026 RESPECTO AL CUATRIENIO</c:v>
                </c:pt>
              </c:strCache>
            </c:strRef>
          </c:tx>
          <c:spPr>
            <a:solidFill>
              <a:srgbClr val="FFFF0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0-E8A1-4F05-AD95-03154DD19C70}"/>
              </c:ext>
            </c:extLst>
          </c:dPt>
          <c:dPt>
            <c:idx val="1"/>
            <c:invertIfNegative val="0"/>
            <c:bubble3D val="0"/>
            <c:spPr>
              <a:solidFill>
                <a:srgbClr val="FFFF00"/>
              </a:solidFill>
              <a:ln>
                <a:noFill/>
              </a:ln>
              <a:effectLst/>
            </c:spPr>
            <c:extLst>
              <c:ext xmlns:c16="http://schemas.microsoft.com/office/drawing/2014/chart" uri="{C3380CC4-5D6E-409C-BE32-E72D297353CC}">
                <c16:uniqueId val="{00000001-E8A1-4F05-AD95-03154DD19C70}"/>
              </c:ext>
            </c:extLst>
          </c:dPt>
          <c:dPt>
            <c:idx val="2"/>
            <c:invertIfNegative val="0"/>
            <c:bubble3D val="0"/>
            <c:spPr>
              <a:solidFill>
                <a:srgbClr val="FFFF00"/>
              </a:solidFill>
              <a:ln>
                <a:noFill/>
              </a:ln>
              <a:effectLst/>
            </c:spPr>
            <c:extLst>
              <c:ext xmlns:c16="http://schemas.microsoft.com/office/drawing/2014/chart" uri="{C3380CC4-5D6E-409C-BE32-E72D297353CC}">
                <c16:uniqueId val="{00000004-E8A1-4F05-AD95-03154DD19C70}"/>
              </c:ext>
            </c:extLst>
          </c:dPt>
          <c:dPt>
            <c:idx val="3"/>
            <c:invertIfNegative val="0"/>
            <c:bubble3D val="0"/>
            <c:spPr>
              <a:solidFill>
                <a:srgbClr val="00B050"/>
              </a:solidFill>
              <a:ln>
                <a:noFill/>
              </a:ln>
              <a:effectLst/>
            </c:spPr>
            <c:extLst>
              <c:ext xmlns:c16="http://schemas.microsoft.com/office/drawing/2014/chart" uri="{C3380CC4-5D6E-409C-BE32-E72D297353CC}">
                <c16:uniqueId val="{00000005-E8A1-4F05-AD95-03154DD19C70}"/>
              </c:ext>
            </c:extLst>
          </c:dPt>
          <c:dPt>
            <c:idx val="4"/>
            <c:invertIfNegative val="0"/>
            <c:bubble3D val="0"/>
            <c:spPr>
              <a:solidFill>
                <a:srgbClr val="FFFF00"/>
              </a:solidFill>
              <a:ln>
                <a:noFill/>
              </a:ln>
              <a:effectLst/>
            </c:spPr>
            <c:extLst>
              <c:ext xmlns:c16="http://schemas.microsoft.com/office/drawing/2014/chart" uri="{C3380CC4-5D6E-409C-BE32-E72D297353CC}">
                <c16:uniqueId val="{00000007-E8A1-4F05-AD95-03154DD19C70}"/>
              </c:ext>
            </c:extLst>
          </c:dPt>
          <c:dPt>
            <c:idx val="5"/>
            <c:invertIfNegative val="0"/>
            <c:bubble3D val="0"/>
            <c:spPr>
              <a:solidFill>
                <a:srgbClr val="FFFF00"/>
              </a:solidFill>
              <a:ln>
                <a:noFill/>
              </a:ln>
              <a:effectLst/>
            </c:spPr>
            <c:extLst>
              <c:ext xmlns:c16="http://schemas.microsoft.com/office/drawing/2014/chart" uri="{C3380CC4-5D6E-409C-BE32-E72D297353CC}">
                <c16:uniqueId val="{00000008-E8A1-4F05-AD95-03154DD19C70}"/>
              </c:ext>
            </c:extLst>
          </c:dPt>
          <c:dPt>
            <c:idx val="6"/>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E8A1-4F05-AD95-03154DD19C70}"/>
              </c:ext>
            </c:extLst>
          </c:dPt>
          <c:dLbls>
            <c:dLbl>
              <c:idx val="0"/>
              <c:layout>
                <c:manualLayout>
                  <c:x val="8.90471950133570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A1-4F05-AD95-03154DD19C70}"/>
                </c:ext>
              </c:extLst>
            </c:dLbl>
            <c:dLbl>
              <c:idx val="6"/>
              <c:layout>
                <c:manualLayout>
                  <c:x val="1.1130899376669634E-2"/>
                  <c:y val="-4.63777423413832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A1-4F05-AD95-03154DD19C70}"/>
                </c:ext>
              </c:extLst>
            </c:dLbl>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0.58485635336926378</c:v>
                </c:pt>
                <c:pt idx="1">
                  <c:v>0.43897222222222226</c:v>
                </c:pt>
                <c:pt idx="2">
                  <c:v>0.53328062515392005</c:v>
                </c:pt>
                <c:pt idx="3">
                  <c:v>0.79732721065676904</c:v>
                </c:pt>
                <c:pt idx="4">
                  <c:v>0.54786459841621493</c:v>
                </c:pt>
                <c:pt idx="5">
                  <c:v>0.50034498493047785</c:v>
                </c:pt>
                <c:pt idx="6">
                  <c:v>0.62134847883597877</c:v>
                </c:pt>
              </c:numCache>
            </c:numRef>
          </c:val>
          <c:extLst>
            <c:ext xmlns:c16="http://schemas.microsoft.com/office/drawing/2014/chart" uri="{C3380CC4-5D6E-409C-BE32-E72D297353CC}">
              <c16:uniqueId val="{00000002-BA5B-44C3-AD7C-974C33D8D331}"/>
            </c:ext>
          </c:extLst>
        </c:ser>
        <c:dLbls>
          <c:showLegendKey val="0"/>
          <c:showVal val="0"/>
          <c:showCatName val="0"/>
          <c:showSerName val="0"/>
          <c:showPercent val="0"/>
          <c:showBubbleSize val="0"/>
        </c:dLbls>
        <c:gapWidth val="219"/>
        <c:overlap val="-27"/>
        <c:axId val="432690376"/>
        <c:axId val="432681752"/>
      </c:barChart>
      <c:catAx>
        <c:axId val="43269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2681752"/>
        <c:crosses val="autoZero"/>
        <c:auto val="1"/>
        <c:lblAlgn val="ctr"/>
        <c:lblOffset val="100"/>
        <c:noMultiLvlLbl val="0"/>
      </c:catAx>
      <c:valAx>
        <c:axId val="432681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2690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b="1"/>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s-CO" sz="1400" b="1"/>
              <a:t>AVANCE RESPECTO AL CUATRIENIO DE </a:t>
            </a:r>
            <a:r>
              <a:rPr lang="es-CO" sz="1400" b="1" i="0" u="none" strike="noStrike" kern="1200" spc="0" baseline="0">
                <a:solidFill>
                  <a:srgbClr val="000000">
                    <a:lumMod val="65000"/>
                    <a:lumOff val="35000"/>
                  </a:srgbClr>
                </a:solidFill>
                <a:latin typeface="+mn-lt"/>
                <a:ea typeface="+mn-ea"/>
                <a:cs typeface="+mn-cs"/>
              </a:rPr>
              <a:t>LOS COMPONENTES IMPULSORES LINEA ESTRATEGICA INNOVACIÓN Y PARTICIPACIÓN.  </a:t>
            </a:r>
            <a:r>
              <a:rPr lang="en-US" sz="1400" b="1" i="0" u="none" strike="noStrike" kern="1200" spc="0" baseline="0">
                <a:solidFill>
                  <a:srgbClr val="000000">
                    <a:lumMod val="65000"/>
                    <a:lumOff val="35000"/>
                  </a:srgbClr>
                </a:solidFill>
                <a:latin typeface="+mn-lt"/>
                <a:ea typeface="+mn-ea"/>
                <a:cs typeface="+mn-cs"/>
              </a:rPr>
              <a:t>CORTE </a:t>
            </a:r>
            <a:r>
              <a:rPr lang="es-CO" sz="1400" b="1" i="0" u="none" strike="noStrike" kern="1200" spc="0" baseline="0">
                <a:solidFill>
                  <a:srgbClr val="000000">
                    <a:lumMod val="65000"/>
                    <a:lumOff val="35000"/>
                  </a:srgbClr>
                </a:solidFill>
                <a:latin typeface="+mn-lt"/>
                <a:ea typeface="+mn-ea"/>
                <a:cs typeface="+mn-cs"/>
              </a:rPr>
              <a:t> 30  DE MARZO DE 2026. PONDERADO</a:t>
            </a:r>
          </a:p>
        </c:rich>
      </c:tx>
      <c:layout>
        <c:manualLayout>
          <c:xMode val="edge"/>
          <c:yMode val="edge"/>
          <c:x val="0.14576947040498442"/>
          <c:y val="1.6129032258064516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PARTICIPA'!$N$4</c:f>
              <c:strCache>
                <c:ptCount val="1"/>
                <c:pt idx="0">
                  <c:v>ESPERADO VIGENCIA  2026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PARTICIPA'!$N$5:$N$11</c:f>
              <c:numCache>
                <c:formatCode>0.0%</c:formatCode>
                <c:ptCount val="7"/>
                <c:pt idx="0">
                  <c:v>0.47689119792639012</c:v>
                </c:pt>
                <c:pt idx="1">
                  <c:v>0.51641666666666663</c:v>
                </c:pt>
                <c:pt idx="2">
                  <c:v>0.51859130733767023</c:v>
                </c:pt>
                <c:pt idx="3">
                  <c:v>0.48003771902475223</c:v>
                </c:pt>
                <c:pt idx="4">
                  <c:v>0.49487648191372924</c:v>
                </c:pt>
                <c:pt idx="5">
                  <c:v>0.59884896226070028</c:v>
                </c:pt>
                <c:pt idx="6">
                  <c:v>0.49006150793650793</c:v>
                </c:pt>
              </c:numCache>
            </c:numRef>
          </c:val>
          <c:extLst>
            <c:ext xmlns:c16="http://schemas.microsoft.com/office/drawing/2014/chart" uri="{C3380CC4-5D6E-409C-BE32-E72D297353CC}">
              <c16:uniqueId val="{00000000-AE55-4F74-8B0B-FFA018C92E44}"/>
            </c:ext>
          </c:extLst>
        </c:ser>
        <c:ser>
          <c:idx val="1"/>
          <c:order val="1"/>
          <c:tx>
            <c:strRef>
              <c:f>'GRAFICAS INNOVACIÓN Y PARTICIPA'!$O$4</c:f>
              <c:strCache>
                <c:ptCount val="1"/>
                <c:pt idx="0">
                  <c:v>LOGRO CORTE 30 DE MARZO DE 2026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PARTICIPA'!$O$5:$O$11</c:f>
              <c:numCache>
                <c:formatCode>0.0%</c:formatCode>
                <c:ptCount val="7"/>
                <c:pt idx="0">
                  <c:v>0.54894144575815218</c:v>
                </c:pt>
                <c:pt idx="1">
                  <c:v>0.44303999999999999</c:v>
                </c:pt>
                <c:pt idx="2">
                  <c:v>0.57272250232279487</c:v>
                </c:pt>
                <c:pt idx="3">
                  <c:v>0.56985589212523613</c:v>
                </c:pt>
                <c:pt idx="4">
                  <c:v>0.59328721616159619</c:v>
                </c:pt>
                <c:pt idx="5">
                  <c:v>0.5322047461270204</c:v>
                </c:pt>
                <c:pt idx="6">
                  <c:v>0.57405166666666663</c:v>
                </c:pt>
              </c:numCache>
            </c:numRef>
          </c:val>
          <c:extLst>
            <c:ext xmlns:c16="http://schemas.microsoft.com/office/drawing/2014/chart" uri="{C3380CC4-5D6E-409C-BE32-E72D297353CC}">
              <c16:uniqueId val="{00000001-AE55-4F74-8B0B-FFA018C92E44}"/>
            </c:ext>
          </c:extLst>
        </c:ser>
        <c:dLbls>
          <c:showLegendKey val="0"/>
          <c:showVal val="0"/>
          <c:showCatName val="0"/>
          <c:showSerName val="0"/>
          <c:showPercent val="0"/>
          <c:showBubbleSize val="0"/>
        </c:dLbls>
        <c:gapWidth val="219"/>
        <c:overlap val="-27"/>
        <c:axId val="432685672"/>
        <c:axId val="432691552"/>
      </c:barChart>
      <c:catAx>
        <c:axId val="43268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91552"/>
        <c:crosses val="autoZero"/>
        <c:auto val="1"/>
        <c:lblAlgn val="ctr"/>
        <c:lblOffset val="100"/>
        <c:noMultiLvlLbl val="0"/>
      </c:catAx>
      <c:valAx>
        <c:axId val="4326915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5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a:t>AVANCE   LINEA ESTRATEGICA INNOVACIÓN Y PARTICIPACIÓN VIGENCIA.</a:t>
            </a:r>
            <a:r>
              <a:rPr lang="en-US" baseline="0"/>
              <a:t> </a:t>
            </a:r>
            <a:r>
              <a:rPr lang="en-US" sz="1440" b="1" i="0" u="none" strike="noStrike" kern="1200" spc="0" baseline="0">
                <a:solidFill>
                  <a:srgbClr val="000000">
                    <a:lumMod val="65000"/>
                    <a:lumOff val="35000"/>
                  </a:srgbClr>
                </a:solidFill>
                <a:latin typeface="+mn-lt"/>
                <a:ea typeface="+mn-ea"/>
                <a:cs typeface="+mn-cs"/>
              </a:rPr>
              <a:t>CORTE </a:t>
            </a:r>
            <a:r>
              <a:rPr lang="es-CO" sz="1440" b="1" i="0" u="none" strike="noStrike" kern="1200" spc="0" baseline="0">
                <a:solidFill>
                  <a:srgbClr val="000000">
                    <a:lumMod val="65000"/>
                    <a:lumOff val="35000"/>
                  </a:srgbClr>
                </a:solidFill>
                <a:latin typeface="+mn-lt"/>
                <a:ea typeface="+mn-ea"/>
                <a:cs typeface="+mn-cs"/>
              </a:rPr>
              <a:t> 30  DE MARZO DE 2026</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PARTICIPA'!$D$108</c:f>
              <c:strCache>
                <c:ptCount val="1"/>
                <c:pt idx="0">
                  <c:v>AVANCE  PARCIAL VIGENCIA  CORTE 30 DE MARZO DE 2026</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B52B-4260-AA99-EC5F5FDB3DEB}"/>
              </c:ext>
            </c:extLst>
          </c:dPt>
          <c:dPt>
            <c:idx val="1"/>
            <c:invertIfNegative val="0"/>
            <c:bubble3D val="0"/>
            <c:spPr>
              <a:solidFill>
                <a:srgbClr val="00B050"/>
              </a:solidFill>
              <a:ln>
                <a:noFill/>
              </a:ln>
              <a:effectLst/>
            </c:spPr>
            <c:extLst>
              <c:ext xmlns:c16="http://schemas.microsoft.com/office/drawing/2014/chart" uri="{C3380CC4-5D6E-409C-BE32-E72D297353CC}">
                <c16:uniqueId val="{00000003-B52B-4260-AA99-EC5F5FDB3DEB}"/>
              </c:ext>
            </c:extLst>
          </c:dPt>
          <c:dPt>
            <c:idx val="2"/>
            <c:invertIfNegative val="0"/>
            <c:bubble3D val="0"/>
            <c:spPr>
              <a:solidFill>
                <a:srgbClr val="00B050"/>
              </a:solidFill>
              <a:ln>
                <a:noFill/>
              </a:ln>
              <a:effectLst/>
            </c:spPr>
            <c:extLst>
              <c:ext xmlns:c16="http://schemas.microsoft.com/office/drawing/2014/chart" uri="{C3380CC4-5D6E-409C-BE32-E72D297353CC}">
                <c16:uniqueId val="{00000005-B52B-4260-AA99-EC5F5FDB3DEB}"/>
              </c:ext>
            </c:extLst>
          </c:dPt>
          <c:dPt>
            <c:idx val="3"/>
            <c:invertIfNegative val="0"/>
            <c:bubble3D val="0"/>
            <c:spPr>
              <a:solidFill>
                <a:srgbClr val="00B050"/>
              </a:solidFill>
              <a:ln>
                <a:noFill/>
              </a:ln>
              <a:effectLst/>
            </c:spPr>
            <c:extLst>
              <c:ext xmlns:c16="http://schemas.microsoft.com/office/drawing/2014/chart" uri="{C3380CC4-5D6E-409C-BE32-E72D297353CC}">
                <c16:uniqueId val="{00000007-B52B-4260-AA99-EC5F5FDB3DEB}"/>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B52B-4260-AA99-EC5F5FDB3DEB}"/>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B-B52B-4260-AA99-EC5F5FDB3DEB}"/>
              </c:ext>
            </c:extLst>
          </c:dPt>
          <c:dPt>
            <c:idx val="6"/>
            <c:invertIfNegative val="0"/>
            <c:bubble3D val="0"/>
            <c:spPr>
              <a:solidFill>
                <a:srgbClr val="00B050"/>
              </a:solidFill>
              <a:ln>
                <a:noFill/>
              </a:ln>
              <a:effectLst/>
            </c:spPr>
            <c:extLst>
              <c:ext xmlns:c16="http://schemas.microsoft.com/office/drawing/2014/chart" uri="{C3380CC4-5D6E-409C-BE32-E72D297353CC}">
                <c16:uniqueId val="{0000000D-B52B-4260-AA99-EC5F5FDB3DEB}"/>
              </c:ext>
            </c:extLst>
          </c:dPt>
          <c:dPt>
            <c:idx val="7"/>
            <c:invertIfNegative val="0"/>
            <c:bubble3D val="0"/>
            <c:spPr>
              <a:solidFill>
                <a:srgbClr val="00B050"/>
              </a:solidFill>
              <a:ln>
                <a:noFill/>
              </a:ln>
              <a:effectLst/>
            </c:spPr>
            <c:extLst>
              <c:ext xmlns:c16="http://schemas.microsoft.com/office/drawing/2014/chart" uri="{C3380CC4-5D6E-409C-BE32-E72D297353CC}">
                <c16:uniqueId val="{0000000F-B52B-4260-AA99-EC5F5FDB3DEB}"/>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PARTICIPA'!$C$109:$C$115</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PARTICIPA'!$D$109:$D$115</c:f>
              <c:numCache>
                <c:formatCode>0.0%</c:formatCode>
                <c:ptCount val="7"/>
                <c:pt idx="0">
                  <c:v>0.25770144245140841</c:v>
                </c:pt>
                <c:pt idx="1">
                  <c:v>0.3129365079365079</c:v>
                </c:pt>
                <c:pt idx="2">
                  <c:v>0.2321691666666667</c:v>
                </c:pt>
                <c:pt idx="3">
                  <c:v>0.40019861695551479</c:v>
                </c:pt>
                <c:pt idx="4">
                  <c:v>9.7906759906759913E-2</c:v>
                </c:pt>
                <c:pt idx="5">
                  <c:v>0.1985061146051712</c:v>
                </c:pt>
                <c:pt idx="6">
                  <c:v>0.3044914886378301</c:v>
                </c:pt>
              </c:numCache>
            </c:numRef>
          </c:val>
          <c:extLst>
            <c:ext xmlns:c16="http://schemas.microsoft.com/office/drawing/2014/chart" uri="{C3380CC4-5D6E-409C-BE32-E72D297353CC}">
              <c16:uniqueId val="{00000010-B52B-4260-AA99-EC5F5FDB3DEB}"/>
            </c:ext>
          </c:extLst>
        </c:ser>
        <c:dLbls>
          <c:showLegendKey val="0"/>
          <c:showVal val="0"/>
          <c:showCatName val="0"/>
          <c:showSerName val="0"/>
          <c:showPercent val="0"/>
          <c:showBubbleSize val="0"/>
        </c:dLbls>
        <c:gapWidth val="219"/>
        <c:overlap val="-27"/>
        <c:axId val="432692728"/>
        <c:axId val="432684496"/>
      </c:barChart>
      <c:catAx>
        <c:axId val="432692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84496"/>
        <c:crosses val="autoZero"/>
        <c:auto val="1"/>
        <c:lblAlgn val="ctr"/>
        <c:lblOffset val="100"/>
        <c:noMultiLvlLbl val="0"/>
      </c:catAx>
      <c:valAx>
        <c:axId val="432684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92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Transparencia y </a:t>
            </a:r>
            <a:r>
              <a:rPr lang="en-US" sz="1800" b="1" i="0" u="none" strike="noStrike" kern="1200" spc="0" baseline="0">
                <a:solidFill>
                  <a:srgbClr val="000000">
                    <a:lumMod val="65000"/>
                    <a:lumOff val="35000"/>
                  </a:srgbClr>
                </a:solidFill>
                <a:effectLst/>
                <a:latin typeface="+mn-lt"/>
                <a:ea typeface="+mn-ea"/>
                <a:cs typeface="+mn-cs"/>
              </a:rPr>
              <a:t>Gobierno Abierto. Avance ponderado corte  </a:t>
            </a:r>
            <a:r>
              <a:rPr lang="es-CO" sz="1800" b="1" i="0" u="none" strike="noStrike" kern="1200" spc="0" baseline="0">
                <a:solidFill>
                  <a:srgbClr val="000000">
                    <a:lumMod val="65000"/>
                    <a:lumOff val="35000"/>
                  </a:srgbClr>
                </a:solidFill>
                <a:effectLst/>
                <a:latin typeface="+mn-lt"/>
                <a:ea typeface="+mn-ea"/>
                <a:cs typeface="+mn-cs"/>
              </a:rPr>
              <a:t>30 de marzo de 2026.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PARTICIPA'!$D$45</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PARTICIPA'!$D$46:$D$49</c:f>
              <c:numCache>
                <c:formatCode>0.0%</c:formatCode>
                <c:ptCount val="4"/>
                <c:pt idx="0">
                  <c:v>0.44303999999999999</c:v>
                </c:pt>
                <c:pt idx="1">
                  <c:v>0.61250000000000004</c:v>
                </c:pt>
                <c:pt idx="2">
                  <c:v>0.12249999999999998</c:v>
                </c:pt>
                <c:pt idx="3">
                  <c:v>0.53763333333333341</c:v>
                </c:pt>
              </c:numCache>
            </c:numRef>
          </c:val>
          <c:extLst>
            <c:ext xmlns:c16="http://schemas.microsoft.com/office/drawing/2014/chart" uri="{C3380CC4-5D6E-409C-BE32-E72D297353CC}">
              <c16:uniqueId val="{00000000-B5C8-4817-A533-EBBC5B3499EF}"/>
            </c:ext>
          </c:extLst>
        </c:ser>
        <c:dLbls>
          <c:showLegendKey val="0"/>
          <c:showVal val="0"/>
          <c:showCatName val="0"/>
          <c:showSerName val="0"/>
          <c:showPercent val="0"/>
          <c:showBubbleSize val="0"/>
        </c:dLbls>
        <c:gapWidth val="219"/>
        <c:overlap val="-27"/>
        <c:axId val="432688808"/>
        <c:axId val="432682144"/>
      </c:barChart>
      <c:catAx>
        <c:axId val="432688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2144"/>
        <c:crosses val="autoZero"/>
        <c:auto val="1"/>
        <c:lblAlgn val="ctr"/>
        <c:lblOffset val="100"/>
        <c:noMultiLvlLbl val="0"/>
      </c:catAx>
      <c:valAx>
        <c:axId val="432682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8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a:t>
            </a:r>
            <a:r>
              <a:rPr lang="en-US" sz="1800" b="1" i="0" u="none" strike="noStrike" kern="1200" spc="0" baseline="0">
                <a:solidFill>
                  <a:srgbClr val="000000">
                    <a:lumMod val="65000"/>
                    <a:lumOff val="35000"/>
                  </a:srgbClr>
                </a:solidFill>
                <a:effectLst/>
                <a:latin typeface="+mn-lt"/>
                <a:ea typeface="+mn-ea"/>
                <a:cs typeface="+mn-cs"/>
              </a:rPr>
              <a:t>Fortalecimiento Institucional e Innovación Administrativa. Avance ponderado corte  </a:t>
            </a:r>
            <a:r>
              <a:rPr lang="es-CO" sz="1800" b="1" i="0" baseline="0">
                <a:effectLst/>
              </a:rPr>
              <a:t>30 de marzo de 2026.</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PARTICIPA'!$D$55</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PARTICIPA'!$D$56:$D$64</c:f>
              <c:numCache>
                <c:formatCode>0.0%</c:formatCode>
                <c:ptCount val="9"/>
                <c:pt idx="0">
                  <c:v>0.57272250232279487</c:v>
                </c:pt>
                <c:pt idx="1">
                  <c:v>0.75575999999999999</c:v>
                </c:pt>
                <c:pt idx="2">
                  <c:v>0.61</c:v>
                </c:pt>
                <c:pt idx="3">
                  <c:v>0.64214198401504463</c:v>
                </c:pt>
                <c:pt idx="4">
                  <c:v>0.65019760000000004</c:v>
                </c:pt>
                <c:pt idx="5">
                  <c:v>0.67999999999999994</c:v>
                </c:pt>
                <c:pt idx="6">
                  <c:v>0.52974999999999994</c:v>
                </c:pt>
                <c:pt idx="7">
                  <c:v>0.05</c:v>
                </c:pt>
                <c:pt idx="8">
                  <c:v>0.28255550346523994</c:v>
                </c:pt>
              </c:numCache>
            </c:numRef>
          </c:val>
          <c:extLst>
            <c:ext xmlns:c16="http://schemas.microsoft.com/office/drawing/2014/chart" uri="{C3380CC4-5D6E-409C-BE32-E72D297353CC}">
              <c16:uniqueId val="{00000000-B3D5-4498-A27B-E59E7ABE205E}"/>
            </c:ext>
          </c:extLst>
        </c:ser>
        <c:dLbls>
          <c:showLegendKey val="0"/>
          <c:showVal val="0"/>
          <c:showCatName val="0"/>
          <c:showSerName val="0"/>
          <c:showPercent val="0"/>
          <c:showBubbleSize val="0"/>
        </c:dLbls>
        <c:gapWidth val="219"/>
        <c:overlap val="-27"/>
        <c:axId val="432685280"/>
        <c:axId val="432689200"/>
      </c:barChart>
      <c:catAx>
        <c:axId val="43268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32689200"/>
        <c:crosses val="autoZero"/>
        <c:auto val="1"/>
        <c:lblAlgn val="ctr"/>
        <c:lblOffset val="100"/>
        <c:noMultiLvlLbl val="0"/>
      </c:catAx>
      <c:valAx>
        <c:axId val="432689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Cultura Ciudadana. Avance ponderado </a:t>
            </a:r>
            <a:r>
              <a:rPr lang="en-US" sz="1800" b="1" i="0" u="none" strike="noStrike" kern="1200" spc="0" baseline="0">
                <a:solidFill>
                  <a:srgbClr val="000000">
                    <a:lumMod val="65000"/>
                    <a:lumOff val="35000"/>
                  </a:srgbClr>
                </a:solidFill>
                <a:effectLst/>
                <a:latin typeface="+mn-lt"/>
                <a:ea typeface="+mn-ea"/>
                <a:cs typeface="+mn-cs"/>
              </a:rPr>
              <a:t>corte  </a:t>
            </a:r>
            <a:r>
              <a:rPr lang="es-CO" sz="1800" b="1" i="0" baseline="0">
                <a:effectLst/>
              </a:rPr>
              <a:t>30 de marzo de 2026.</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PARTICIPA'!$D$73</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PARTICIPA'!$D$74:$D$79</c:f>
              <c:numCache>
                <c:formatCode>0.0%</c:formatCode>
                <c:ptCount val="6"/>
                <c:pt idx="0">
                  <c:v>0.59328721616159619</c:v>
                </c:pt>
                <c:pt idx="1">
                  <c:v>0.73980664240218386</c:v>
                </c:pt>
                <c:pt idx="2">
                  <c:v>0.64127499999999993</c:v>
                </c:pt>
                <c:pt idx="3">
                  <c:v>0.54749999999999999</c:v>
                </c:pt>
                <c:pt idx="4" formatCode="0.00%">
                  <c:v>0.47727355072463767</c:v>
                </c:pt>
                <c:pt idx="5">
                  <c:v>0.51500000000000001</c:v>
                </c:pt>
              </c:numCache>
            </c:numRef>
          </c:val>
          <c:extLst>
            <c:ext xmlns:c16="http://schemas.microsoft.com/office/drawing/2014/chart" uri="{C3380CC4-5D6E-409C-BE32-E72D297353CC}">
              <c16:uniqueId val="{00000000-DF12-40A1-A175-FFA28A8AAAC7}"/>
            </c:ext>
          </c:extLst>
        </c:ser>
        <c:dLbls>
          <c:showLegendKey val="0"/>
          <c:showVal val="0"/>
          <c:showCatName val="0"/>
          <c:showSerName val="0"/>
          <c:showPercent val="0"/>
          <c:showBubbleSize val="0"/>
        </c:dLbls>
        <c:gapWidth val="219"/>
        <c:overlap val="-27"/>
        <c:axId val="432686456"/>
        <c:axId val="432691160"/>
      </c:barChart>
      <c:catAx>
        <c:axId val="43268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2691160"/>
        <c:crosses val="autoZero"/>
        <c:auto val="1"/>
        <c:lblAlgn val="ctr"/>
        <c:lblOffset val="100"/>
        <c:noMultiLvlLbl val="0"/>
      </c:catAx>
      <c:valAx>
        <c:axId val="432691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6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400" b="1" i="0" u="none" strike="noStrike" kern="1200" spc="0" baseline="0">
                <a:solidFill>
                  <a:srgbClr val="000000">
                    <a:lumMod val="65000"/>
                    <a:lumOff val="35000"/>
                  </a:srgbClr>
                </a:solidFill>
                <a:effectLst/>
                <a:latin typeface="+mn-lt"/>
                <a:ea typeface="+mn-ea"/>
                <a:cs typeface="+mn-cs"/>
              </a:rPr>
              <a:t>Componente Impulsor de avance: Participación Ciudadana y Acción Comunal. </a:t>
            </a:r>
            <a:r>
              <a:rPr lang="en-US" sz="1400" b="1" i="0" u="none" strike="noStrike" baseline="0">
                <a:effectLst/>
              </a:rPr>
              <a:t>Avance </a:t>
            </a:r>
            <a:r>
              <a:rPr lang="en-US" sz="1400" b="1" i="0" u="none" strike="noStrike" kern="1200" spc="0" baseline="0">
                <a:solidFill>
                  <a:srgbClr val="000000">
                    <a:lumMod val="65000"/>
                    <a:lumOff val="35000"/>
                  </a:srgbClr>
                </a:solidFill>
                <a:effectLst/>
                <a:latin typeface="+mn-lt"/>
                <a:ea typeface="+mn-ea"/>
                <a:cs typeface="+mn-cs"/>
              </a:rPr>
              <a:t>ponderado corte  </a:t>
            </a:r>
            <a:r>
              <a:rPr lang="es-CO" sz="1400" b="1" i="0" u="none" strike="noStrike" kern="1200" spc="0" baseline="0">
                <a:solidFill>
                  <a:srgbClr val="000000">
                    <a:lumMod val="65000"/>
                    <a:lumOff val="35000"/>
                  </a:srgbClr>
                </a:solidFill>
                <a:effectLst/>
                <a:latin typeface="+mn-lt"/>
                <a:ea typeface="+mn-ea"/>
                <a:cs typeface="+mn-cs"/>
              </a:rPr>
              <a:t>30 de marzo de 2026.</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PARTICIPA'!$D$85</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PARTICIPA'!$D$86:$D$91</c:f>
              <c:numCache>
                <c:formatCode>0.0%</c:formatCode>
                <c:ptCount val="6"/>
                <c:pt idx="0">
                  <c:v>0.5322047461270204</c:v>
                </c:pt>
                <c:pt idx="1">
                  <c:v>0.8250464186245805</c:v>
                </c:pt>
                <c:pt idx="2">
                  <c:v>0.27799999999999997</c:v>
                </c:pt>
                <c:pt idx="3">
                  <c:v>0.50796600000000003</c:v>
                </c:pt>
                <c:pt idx="4">
                  <c:v>0.71401250000000005</c:v>
                </c:pt>
                <c:pt idx="5">
                  <c:v>0.76026666666666665</c:v>
                </c:pt>
              </c:numCache>
            </c:numRef>
          </c:val>
          <c:extLst>
            <c:ext xmlns:c16="http://schemas.microsoft.com/office/drawing/2014/chart" uri="{C3380CC4-5D6E-409C-BE32-E72D297353CC}">
              <c16:uniqueId val="{00000000-B54F-48B1-B6BF-1C18D244D274}"/>
            </c:ext>
          </c:extLst>
        </c:ser>
        <c:dLbls>
          <c:showLegendKey val="0"/>
          <c:showVal val="0"/>
          <c:showCatName val="0"/>
          <c:showSerName val="0"/>
          <c:showPercent val="0"/>
          <c:showBubbleSize val="0"/>
        </c:dLbls>
        <c:gapWidth val="219"/>
        <c:overlap val="-27"/>
        <c:axId val="432686848"/>
        <c:axId val="432688024"/>
      </c:barChart>
      <c:catAx>
        <c:axId val="43268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2688024"/>
        <c:crosses val="autoZero"/>
        <c:auto val="1"/>
        <c:lblAlgn val="ctr"/>
        <c:lblOffset val="100"/>
        <c:noMultiLvlLbl val="0"/>
      </c:catAx>
      <c:valAx>
        <c:axId val="432688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6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r>
              <a:rPr lang="en-US" sz="1300" b="1"/>
              <a:t>AVANCE CUATRIENIO IMPULSOR DE AVANCE: TRANSPARENCIA Y GOBIERNO ABIERTO.  PROGRAMAS. CORTE </a:t>
            </a:r>
            <a:r>
              <a:rPr lang="es-CO" sz="1300" b="1" i="0" baseline="0">
                <a:effectLst/>
              </a:rPr>
              <a:t> </a:t>
            </a:r>
            <a:r>
              <a:rPr lang="es-CO" sz="1300" b="1" i="0" u="none" strike="noStrike" baseline="0">
                <a:effectLst/>
              </a:rPr>
              <a:t>30  DE MARZO DE 2026</a:t>
            </a:r>
            <a:endParaRPr lang="en-US" sz="13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PARTICIPA'!$E$45</c:f>
              <c:strCache>
                <c:ptCount val="1"/>
                <c:pt idx="0">
                  <c:v>AVANCE CUATRIENIO IMPULSOR DE AVANCE: TRANSPARENCIA Y GOBIERNO ABIERTO. CORTE 30 DE MARZO DE 2026</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941E-4C4B-8CFC-6A6A8FA0F59A}"/>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C-019E-4500-AA48-E0D030DC21AC}"/>
              </c:ext>
            </c:extLst>
          </c:dPt>
          <c:dPt>
            <c:idx val="2"/>
            <c:invertIfNegative val="0"/>
            <c:bubble3D val="0"/>
            <c:spPr>
              <a:solidFill>
                <a:srgbClr val="FF0000"/>
              </a:solidFill>
              <a:ln>
                <a:noFill/>
              </a:ln>
              <a:effectLst/>
            </c:spPr>
            <c:extLst>
              <c:ext xmlns:c16="http://schemas.microsoft.com/office/drawing/2014/chart" uri="{C3380CC4-5D6E-409C-BE32-E72D297353CC}">
                <c16:uniqueId val="{00000002-01B3-4897-B5E8-20D7C834EED2}"/>
              </c:ext>
            </c:extLst>
          </c:dPt>
          <c:dPt>
            <c:idx val="3"/>
            <c:invertIfNegative val="0"/>
            <c:bubble3D val="0"/>
            <c:spPr>
              <a:solidFill>
                <a:srgbClr val="FFFF00"/>
              </a:solidFill>
              <a:ln>
                <a:noFill/>
              </a:ln>
              <a:effectLst/>
            </c:spPr>
            <c:extLst>
              <c:ext xmlns:c16="http://schemas.microsoft.com/office/drawing/2014/chart" uri="{C3380CC4-5D6E-409C-BE32-E72D297353CC}">
                <c16:uniqueId val="{00000009-B819-4398-8C8B-8C32127D26B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PARTICIPA'!$E$46:$E$49</c:f>
              <c:numCache>
                <c:formatCode>0.0%</c:formatCode>
                <c:ptCount val="4"/>
                <c:pt idx="0">
                  <c:v>0.43897222222222226</c:v>
                </c:pt>
                <c:pt idx="1">
                  <c:v>0.6875</c:v>
                </c:pt>
                <c:pt idx="2">
                  <c:v>0.11666666666666665</c:v>
                </c:pt>
                <c:pt idx="3">
                  <c:v>0.51275000000000004</c:v>
                </c:pt>
              </c:numCache>
            </c:numRef>
          </c:val>
          <c:extLst>
            <c:ext xmlns:c16="http://schemas.microsoft.com/office/drawing/2014/chart" uri="{C3380CC4-5D6E-409C-BE32-E72D297353CC}">
              <c16:uniqueId val="{00000000-941E-4C4B-8CFC-6A6A8FA0F59A}"/>
            </c:ext>
          </c:extLst>
        </c:ser>
        <c:dLbls>
          <c:showLegendKey val="0"/>
          <c:showVal val="0"/>
          <c:showCatName val="0"/>
          <c:showSerName val="0"/>
          <c:showPercent val="0"/>
          <c:showBubbleSize val="0"/>
        </c:dLbls>
        <c:gapWidth val="219"/>
        <c:overlap val="-27"/>
        <c:axId val="432689984"/>
        <c:axId val="432693120"/>
      </c:barChart>
      <c:catAx>
        <c:axId val="4326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3120"/>
        <c:crosses val="autoZero"/>
        <c:auto val="1"/>
        <c:lblAlgn val="ctr"/>
        <c:lblOffset val="100"/>
        <c:noMultiLvlLbl val="0"/>
      </c:catAx>
      <c:valAx>
        <c:axId val="432693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9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r>
              <a:rPr lang="en-US"/>
              <a:t>AVANCE CUATRIENIO IMPULSOR DE AVANCE: </a:t>
            </a:r>
            <a:r>
              <a:rPr lang="en-US" sz="1200" b="1" i="0" u="none" strike="noStrike" kern="1200" spc="0" baseline="0">
                <a:solidFill>
                  <a:srgbClr val="000000">
                    <a:lumMod val="65000"/>
                    <a:lumOff val="35000"/>
                  </a:srgbClr>
                </a:solidFill>
                <a:latin typeface="+mn-lt"/>
                <a:ea typeface="+mn-ea"/>
                <a:cs typeface="+mn-cs"/>
              </a:rPr>
              <a:t>FORTALECIMIENTO INSTITUCIONAL E INNOVACIÓN ADMINISTRATIVACORTE </a:t>
            </a:r>
            <a:r>
              <a:rPr lang="es-CO" sz="1200" b="1" i="0" u="none" strike="noStrike" kern="1200" spc="0" baseline="0">
                <a:solidFill>
                  <a:srgbClr val="000000">
                    <a:lumMod val="65000"/>
                    <a:lumOff val="35000"/>
                  </a:srgbClr>
                </a:solidFill>
                <a:latin typeface="+mn-lt"/>
                <a:ea typeface="+mn-ea"/>
                <a:cs typeface="+mn-cs"/>
              </a:rPr>
              <a:t> 30  DE MARZO DE 2026</a:t>
            </a:r>
          </a:p>
          <a:p>
            <a:pPr marL="0" marR="0" indent="0" algn="ctr" defTabSz="914400" rtl="0" eaLnBrk="1" fontAlgn="auto" latinLnBrk="0" hangingPunct="1">
              <a:lnSpc>
                <a:spcPct val="100000"/>
              </a:lnSpc>
              <a:spcBef>
                <a:spcPts val="0"/>
              </a:spcBef>
              <a:spcAft>
                <a:spcPts val="0"/>
              </a:spcAft>
              <a:buClrTx/>
              <a:buSzTx/>
              <a:buFontTx/>
              <a:buNone/>
              <a:tabLst/>
              <a:defRPr sz="1200" b="1">
                <a:solidFill>
                  <a:srgbClr val="000000">
                    <a:lumMod val="65000"/>
                    <a:lumOff val="35000"/>
                  </a:srgbClr>
                </a:solidFill>
              </a:defRPr>
            </a:pPr>
            <a:endParaRPr lang="en-US"/>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PARTICIPA'!$E$55</c:f>
              <c:strCache>
                <c:ptCount val="1"/>
                <c:pt idx="0">
                  <c:v>AVANCE CUATRIENIO IMPULSOR DE AVANCE: FORTALECIMIENTO INSTITUCIONAL. CORTE 30 DE MARZO DE 2026</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2046-4CCE-9C45-613420468A21}"/>
              </c:ext>
            </c:extLst>
          </c:dPt>
          <c:dPt>
            <c:idx val="1"/>
            <c:invertIfNegative val="0"/>
            <c:bubble3D val="0"/>
            <c:spPr>
              <a:solidFill>
                <a:srgbClr val="00B050"/>
              </a:solidFill>
              <a:ln>
                <a:noFill/>
              </a:ln>
              <a:effectLst/>
            </c:spPr>
            <c:extLst>
              <c:ext xmlns:c16="http://schemas.microsoft.com/office/drawing/2014/chart" uri="{C3380CC4-5D6E-409C-BE32-E72D297353CC}">
                <c16:uniqueId val="{00000002-F15D-4CF9-A746-E57DAE027BE7}"/>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F15D-4CF9-A746-E57DAE027BE7}"/>
              </c:ext>
            </c:extLst>
          </c:dPt>
          <c:dPt>
            <c:idx val="3"/>
            <c:invertIfNegative val="0"/>
            <c:bubble3D val="0"/>
            <c:spPr>
              <a:solidFill>
                <a:srgbClr val="00B050"/>
              </a:solidFill>
              <a:ln>
                <a:noFill/>
              </a:ln>
              <a:effectLst/>
            </c:spPr>
            <c:extLst>
              <c:ext xmlns:c16="http://schemas.microsoft.com/office/drawing/2014/chart" uri="{C3380CC4-5D6E-409C-BE32-E72D297353CC}">
                <c16:uniqueId val="{00000004-F15D-4CF9-A746-E57DAE027BE7}"/>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F15D-4CF9-A746-E57DAE027BE7}"/>
              </c:ext>
            </c:extLst>
          </c:dPt>
          <c:dPt>
            <c:idx val="5"/>
            <c:invertIfNegative val="0"/>
            <c:bubble3D val="0"/>
            <c:spPr>
              <a:solidFill>
                <a:srgbClr val="00B050"/>
              </a:solidFill>
              <a:ln>
                <a:noFill/>
              </a:ln>
              <a:effectLst/>
            </c:spPr>
            <c:extLst>
              <c:ext xmlns:c16="http://schemas.microsoft.com/office/drawing/2014/chart" uri="{C3380CC4-5D6E-409C-BE32-E72D297353CC}">
                <c16:uniqueId val="{00000007-F15D-4CF9-A746-E57DAE027BE7}"/>
              </c:ext>
            </c:extLst>
          </c:dPt>
          <c:dPt>
            <c:idx val="6"/>
            <c:invertIfNegative val="0"/>
            <c:bubble3D val="0"/>
            <c:spPr>
              <a:solidFill>
                <a:srgbClr val="FFFF00"/>
              </a:solidFill>
              <a:ln>
                <a:noFill/>
              </a:ln>
              <a:effectLst/>
            </c:spPr>
            <c:extLst>
              <c:ext xmlns:c16="http://schemas.microsoft.com/office/drawing/2014/chart" uri="{C3380CC4-5D6E-409C-BE32-E72D297353CC}">
                <c16:uniqueId val="{00000009-F15D-4CF9-A746-E57DAE027BE7}"/>
              </c:ext>
            </c:extLst>
          </c:dPt>
          <c:dPt>
            <c:idx val="7"/>
            <c:invertIfNegative val="0"/>
            <c:bubble3D val="0"/>
            <c:spPr>
              <a:solidFill>
                <a:srgbClr val="FF0000"/>
              </a:solidFill>
              <a:ln>
                <a:noFill/>
              </a:ln>
              <a:effectLst/>
            </c:spPr>
            <c:extLst>
              <c:ext xmlns:c16="http://schemas.microsoft.com/office/drawing/2014/chart" uri="{C3380CC4-5D6E-409C-BE32-E72D297353CC}">
                <c16:uniqueId val="{00000010-8F76-45F0-B7D9-012B2C588B2A}"/>
              </c:ext>
            </c:extLst>
          </c:dPt>
          <c:dPt>
            <c:idx val="8"/>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A010-4337-A633-40A83106568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PARTICIPA'!$E$56:$E$64</c:f>
              <c:numCache>
                <c:formatCode>0.0%</c:formatCode>
                <c:ptCount val="9"/>
                <c:pt idx="0">
                  <c:v>0.53328062515392005</c:v>
                </c:pt>
                <c:pt idx="1">
                  <c:v>0.76317499999999994</c:v>
                </c:pt>
                <c:pt idx="2">
                  <c:v>0.56874999999999998</c:v>
                </c:pt>
                <c:pt idx="3">
                  <c:v>0.74498354489891871</c:v>
                </c:pt>
                <c:pt idx="4">
                  <c:v>0.65019760000000004</c:v>
                </c:pt>
                <c:pt idx="5">
                  <c:v>0.73333333333333339</c:v>
                </c:pt>
                <c:pt idx="6">
                  <c:v>0.4956666666666667</c:v>
                </c:pt>
                <c:pt idx="7">
                  <c:v>0.05</c:v>
                </c:pt>
                <c:pt idx="8">
                  <c:v>0.2601388563324416</c:v>
                </c:pt>
              </c:numCache>
            </c:numRef>
          </c:val>
          <c:extLst>
            <c:ext xmlns:c16="http://schemas.microsoft.com/office/drawing/2014/chart" uri="{C3380CC4-5D6E-409C-BE32-E72D297353CC}">
              <c16:uniqueId val="{00000000-2046-4CCE-9C45-613420468A21}"/>
            </c:ext>
          </c:extLst>
        </c:ser>
        <c:dLbls>
          <c:showLegendKey val="0"/>
          <c:showVal val="0"/>
          <c:showCatName val="0"/>
          <c:showSerName val="0"/>
          <c:showPercent val="0"/>
          <c:showBubbleSize val="0"/>
        </c:dLbls>
        <c:gapWidth val="219"/>
        <c:overlap val="-27"/>
        <c:axId val="432694688"/>
        <c:axId val="432697432"/>
      </c:barChart>
      <c:catAx>
        <c:axId val="43269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32697432"/>
        <c:crosses val="autoZero"/>
        <c:auto val="1"/>
        <c:lblAlgn val="ctr"/>
        <c:lblOffset val="100"/>
        <c:noMultiLvlLbl val="0"/>
      </c:catAx>
      <c:valAx>
        <c:axId val="432697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4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r>
              <a:rPr lang="en-US"/>
              <a:t>AVANCE CUATRIENIO IMPULSOR DE AVANCE: </a:t>
            </a:r>
            <a:r>
              <a:rPr lang="en-US" sz="1200" b="1" i="0" u="none" strike="noStrike" kern="1200" spc="0" baseline="0">
                <a:solidFill>
                  <a:srgbClr val="000000">
                    <a:lumMod val="65000"/>
                    <a:lumOff val="35000"/>
                  </a:srgbClr>
                </a:solidFill>
                <a:latin typeface="+mn-lt"/>
                <a:ea typeface="+mn-ea"/>
                <a:cs typeface="+mn-cs"/>
              </a:rPr>
              <a:t>PARTICIPACIÓN CIUDADANA Y ACCIÓN COMUNAL.  PROGRAMAS. CORTE </a:t>
            </a:r>
            <a:r>
              <a:rPr lang="es-CO" sz="1200" b="1" i="0" u="none" strike="noStrike" kern="1200" spc="0" baseline="0">
                <a:solidFill>
                  <a:srgbClr val="000000">
                    <a:lumMod val="65000"/>
                    <a:lumOff val="35000"/>
                  </a:srgbClr>
                </a:solidFill>
                <a:latin typeface="+mn-lt"/>
                <a:ea typeface="+mn-ea"/>
                <a:cs typeface="+mn-cs"/>
              </a:rPr>
              <a:t> 30  DE MARZO DE 2026</a:t>
            </a:r>
          </a:p>
          <a:p>
            <a:pPr marL="0" marR="0" indent="0" algn="ctr" defTabSz="914400" rtl="0" eaLnBrk="1" fontAlgn="auto" latinLnBrk="0" hangingPunct="1">
              <a:lnSpc>
                <a:spcPct val="100000"/>
              </a:lnSpc>
              <a:spcBef>
                <a:spcPts val="0"/>
              </a:spcBef>
              <a:spcAft>
                <a:spcPts val="0"/>
              </a:spcAft>
              <a:buClrTx/>
              <a:buSzTx/>
              <a:buFontTx/>
              <a:buNone/>
              <a:tabLst/>
              <a:defRPr sz="1200" b="1">
                <a:solidFill>
                  <a:srgbClr val="000000">
                    <a:lumMod val="65000"/>
                    <a:lumOff val="35000"/>
                  </a:srgbClr>
                </a:solidFill>
              </a:defRPr>
            </a:pPr>
            <a:endParaRPr lang="en-US" sz="12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PARTICIPA'!$E$85</c:f>
              <c:strCache>
                <c:ptCount val="1"/>
                <c:pt idx="0">
                  <c:v>AVANCE CUATRIENIO IMPULSOR DE AVANCE: PARTICIPACIÓN CIUDADANA Y ACCIÓN COMUNAL. CORTE 30 DE MARZO DE 2026</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EE4D-4EA7-93E7-5000B990A582}"/>
              </c:ext>
            </c:extLst>
          </c:dPt>
          <c:dPt>
            <c:idx val="1"/>
            <c:invertIfNegative val="0"/>
            <c:bubble3D val="0"/>
            <c:spPr>
              <a:solidFill>
                <a:srgbClr val="00B050"/>
              </a:solidFill>
              <a:ln>
                <a:noFill/>
              </a:ln>
              <a:effectLst/>
            </c:spPr>
            <c:extLst>
              <c:ext xmlns:c16="http://schemas.microsoft.com/office/drawing/2014/chart" uri="{C3380CC4-5D6E-409C-BE32-E72D297353CC}">
                <c16:uniqueId val="{00000006-6902-4F01-8D9C-E069CCE3CBF9}"/>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3912-4580-B880-FA6D04A34252}"/>
              </c:ext>
            </c:extLst>
          </c:dPt>
          <c:dPt>
            <c:idx val="3"/>
            <c:invertIfNegative val="0"/>
            <c:bubble3D val="0"/>
            <c:spPr>
              <a:solidFill>
                <a:srgbClr val="FFFF00"/>
              </a:solidFill>
              <a:ln>
                <a:noFill/>
              </a:ln>
              <a:effectLst/>
            </c:spPr>
            <c:extLst>
              <c:ext xmlns:c16="http://schemas.microsoft.com/office/drawing/2014/chart" uri="{C3380CC4-5D6E-409C-BE32-E72D297353CC}">
                <c16:uniqueId val="{0000000A-D651-47EB-8F86-B57709D9A702}"/>
              </c:ext>
            </c:extLst>
          </c:dPt>
          <c:dPt>
            <c:idx val="4"/>
            <c:invertIfNegative val="0"/>
            <c:bubble3D val="0"/>
            <c:spPr>
              <a:solidFill>
                <a:srgbClr val="00B050"/>
              </a:solidFill>
              <a:ln>
                <a:noFill/>
              </a:ln>
              <a:effectLst/>
            </c:spPr>
            <c:extLst>
              <c:ext xmlns:c16="http://schemas.microsoft.com/office/drawing/2014/chart" uri="{C3380CC4-5D6E-409C-BE32-E72D297353CC}">
                <c16:uniqueId val="{00000004-3912-4580-B880-FA6D04A34252}"/>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6902-4F01-8D9C-E069CCE3CBF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PARTICIPA'!$E$86:$E$91</c:f>
              <c:numCache>
                <c:formatCode>0.0%</c:formatCode>
                <c:ptCount val="6"/>
                <c:pt idx="0">
                  <c:v>0.50034498493047785</c:v>
                </c:pt>
                <c:pt idx="1">
                  <c:v>0.8144960206939782</c:v>
                </c:pt>
                <c:pt idx="2">
                  <c:v>0.26916666666666672</c:v>
                </c:pt>
                <c:pt idx="3">
                  <c:v>0.47061000000000003</c:v>
                </c:pt>
                <c:pt idx="4">
                  <c:v>0.77257500000000001</c:v>
                </c:pt>
                <c:pt idx="5">
                  <c:v>0.67522222222222217</c:v>
                </c:pt>
              </c:numCache>
            </c:numRef>
          </c:val>
          <c:extLst>
            <c:ext xmlns:c16="http://schemas.microsoft.com/office/drawing/2014/chart" uri="{C3380CC4-5D6E-409C-BE32-E72D297353CC}">
              <c16:uniqueId val="{00000000-EE4D-4EA7-93E7-5000B990A582}"/>
            </c:ext>
          </c:extLst>
        </c:ser>
        <c:dLbls>
          <c:showLegendKey val="0"/>
          <c:showVal val="0"/>
          <c:showCatName val="0"/>
          <c:showSerName val="0"/>
          <c:showPercent val="0"/>
          <c:showBubbleSize val="0"/>
        </c:dLbls>
        <c:gapWidth val="219"/>
        <c:overlap val="-27"/>
        <c:axId val="432697040"/>
        <c:axId val="432696256"/>
      </c:barChart>
      <c:catAx>
        <c:axId val="43269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6256"/>
        <c:crosses val="autoZero"/>
        <c:auto val="1"/>
        <c:lblAlgn val="ctr"/>
        <c:lblOffset val="100"/>
        <c:noMultiLvlLbl val="0"/>
      </c:catAx>
      <c:valAx>
        <c:axId val="432696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7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rgbClr val="000000">
                    <a:lumMod val="65000"/>
                    <a:lumOff val="35000"/>
                  </a:srgbClr>
                </a:solidFill>
                <a:latin typeface="+mn-lt"/>
                <a:ea typeface="+mn-ea"/>
                <a:cs typeface="+mn-cs"/>
              </a:defRPr>
            </a:pPr>
            <a:r>
              <a:rPr lang="es-CO" sz="1200" b="1" i="0" u="none" strike="noStrike" kern="1200" spc="0" baseline="0">
                <a:solidFill>
                  <a:srgbClr val="000000">
                    <a:lumMod val="65000"/>
                    <a:lumOff val="35000"/>
                  </a:srgbClr>
                </a:solidFill>
                <a:effectLst/>
                <a:latin typeface="+mn-lt"/>
                <a:ea typeface="+mn-ea"/>
                <a:cs typeface="+mn-cs"/>
              </a:rPr>
              <a:t>AVANCE  PARCIAL LINEA ESTRATEGICA SEGURIDAD HUMANA. COMPONENTES IMPULSORES DE AVANCE.  VIGENCIA 2025. CORTE  30 DE MARZO 2026</a:t>
            </a:r>
          </a:p>
          <a:p>
            <a:pPr marL="0" marR="0" indent="0" algn="ctr" defTabSz="914400" rtl="0" eaLnBrk="1" fontAlgn="auto" latinLnBrk="0" hangingPunct="1">
              <a:lnSpc>
                <a:spcPct val="100000"/>
              </a:lnSpc>
              <a:spcBef>
                <a:spcPts val="0"/>
              </a:spcBef>
              <a:spcAft>
                <a:spcPts val="0"/>
              </a:spcAft>
              <a:buClrTx/>
              <a:buSzTx/>
              <a:buFontTx/>
              <a:buNone/>
              <a:tabLst/>
              <a:defRPr sz="1200">
                <a:solidFill>
                  <a:srgbClr val="000000">
                    <a:lumMod val="65000"/>
                    <a:lumOff val="35000"/>
                  </a:srgbClr>
                </a:solidFill>
              </a:defRPr>
            </a:pPr>
            <a:endParaRPr lang="es-CO" sz="1200" b="1" i="0" u="none" strike="noStrike" kern="1200" spc="0" baseline="0">
              <a:solidFill>
                <a:srgbClr val="000000">
                  <a:lumMod val="65000"/>
                  <a:lumOff val="35000"/>
                </a:srgbClr>
              </a:solidFill>
              <a:effectLst/>
              <a:latin typeface="+mn-lt"/>
              <a:ea typeface="+mn-ea"/>
              <a:cs typeface="+mn-cs"/>
            </a:endParaRPr>
          </a:p>
        </c:rich>
      </c:tx>
      <c:layout>
        <c:manualLayout>
          <c:xMode val="edge"/>
          <c:yMode val="edge"/>
          <c:x val="0.12103242979758053"/>
          <c:y val="7.3994608119363949E-3"/>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manualLayout>
          <c:layoutTarget val="inner"/>
          <c:xMode val="edge"/>
          <c:yMode val="edge"/>
          <c:x val="5.8010071159874776E-2"/>
          <c:y val="0.17507210805228032"/>
          <c:w val="0.93527723174714594"/>
          <c:h val="0.61160031959186867"/>
        </c:manualLayout>
      </c:layout>
      <c:barChart>
        <c:barDir val="col"/>
        <c:grouping val="clustered"/>
        <c:varyColors val="0"/>
        <c:ser>
          <c:idx val="0"/>
          <c:order val="0"/>
          <c:tx>
            <c:strRef>
              <c:f>'GRAFICAS SEGURIDAD HUMANA'!$D$96</c:f>
              <c:strCache>
                <c:ptCount val="1"/>
                <c:pt idx="0">
                  <c:v>AVANCE  PARCIAL VIGENCIA  CORTE  30 DE MARZO DE 2026</c:v>
                </c:pt>
              </c:strCache>
            </c:strRef>
          </c:tx>
          <c:spPr>
            <a:solidFill>
              <a:schemeClr val="accent6">
                <a:lumMod val="60000"/>
                <a:lumOff val="40000"/>
              </a:schemeClr>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4288-459A-8F06-D3EBB40AB465}"/>
              </c:ext>
            </c:extLst>
          </c:dPt>
          <c:dPt>
            <c:idx val="1"/>
            <c:invertIfNegative val="0"/>
            <c:bubble3D val="0"/>
            <c:spPr>
              <a:solidFill>
                <a:srgbClr val="FF0000"/>
              </a:solidFill>
              <a:ln>
                <a:noFill/>
              </a:ln>
              <a:effectLst/>
            </c:spPr>
            <c:extLst>
              <c:ext xmlns:c16="http://schemas.microsoft.com/office/drawing/2014/chart" uri="{C3380CC4-5D6E-409C-BE32-E72D297353CC}">
                <c16:uniqueId val="{00000002-4288-459A-8F06-D3EBB40AB465}"/>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4288-459A-8F06-D3EBB40AB465}"/>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4288-459A-8F06-D3EBB40AB465}"/>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288-459A-8F06-D3EBB40AB465}"/>
              </c:ext>
            </c:extLst>
          </c:dPt>
          <c:dPt>
            <c:idx val="5"/>
            <c:invertIfNegative val="0"/>
            <c:bubble3D val="0"/>
            <c:spPr>
              <a:solidFill>
                <a:srgbClr val="FFFF00"/>
              </a:solidFill>
              <a:ln>
                <a:noFill/>
              </a:ln>
              <a:effectLst/>
            </c:spPr>
            <c:extLst>
              <c:ext xmlns:c16="http://schemas.microsoft.com/office/drawing/2014/chart" uri="{C3380CC4-5D6E-409C-BE32-E72D297353CC}">
                <c16:uniqueId val="{00000008-4288-459A-8F06-D3EBB40AB46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HUMANA'!$C$97:$C$102</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HUMANA'!$D$97:$D$102</c:f>
              <c:numCache>
                <c:formatCode>0.0%</c:formatCode>
                <c:ptCount val="6"/>
                <c:pt idx="0">
                  <c:v>0.19121125187168028</c:v>
                </c:pt>
                <c:pt idx="1">
                  <c:v>2.600938597354862E-2</c:v>
                </c:pt>
                <c:pt idx="2">
                  <c:v>8.0256403164495699E-2</c:v>
                </c:pt>
                <c:pt idx="3">
                  <c:v>0.21561724085353823</c:v>
                </c:pt>
                <c:pt idx="4">
                  <c:v>0.21435420408027589</c:v>
                </c:pt>
                <c:pt idx="5">
                  <c:v>0.17870705917192112</c:v>
                </c:pt>
              </c:numCache>
            </c:numRef>
          </c:val>
          <c:extLst>
            <c:ext xmlns:c16="http://schemas.microsoft.com/office/drawing/2014/chart" uri="{C3380CC4-5D6E-409C-BE32-E72D297353CC}">
              <c16:uniqueId val="{00000000-4288-459A-8F06-D3EBB40AB465}"/>
            </c:ext>
          </c:extLst>
        </c:ser>
        <c:dLbls>
          <c:showLegendKey val="0"/>
          <c:showVal val="0"/>
          <c:showCatName val="0"/>
          <c:showSerName val="0"/>
          <c:showPercent val="0"/>
          <c:showBubbleSize val="0"/>
        </c:dLbls>
        <c:gapWidth val="219"/>
        <c:overlap val="-27"/>
        <c:axId val="428039824"/>
        <c:axId val="428035904"/>
      </c:barChart>
      <c:catAx>
        <c:axId val="42803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28035904"/>
        <c:crosses val="autoZero"/>
        <c:auto val="1"/>
        <c:lblAlgn val="ctr"/>
        <c:lblOffset val="100"/>
        <c:noMultiLvlLbl val="0"/>
      </c:catAx>
      <c:valAx>
        <c:axId val="4280359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9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CULTURA CIUDADANA. </a:t>
            </a:r>
            <a:r>
              <a:rPr lang="en-US" sz="1400"/>
              <a:t>PROGRAMAS. </a:t>
            </a:r>
            <a:r>
              <a:rPr lang="en-US" sz="1400" b="1" i="0" u="none" strike="noStrike" kern="1200" spc="0" baseline="0">
                <a:solidFill>
                  <a:srgbClr val="000000">
                    <a:lumMod val="65000"/>
                    <a:lumOff val="35000"/>
                  </a:srgbClr>
                </a:solidFill>
                <a:latin typeface="+mn-lt"/>
                <a:ea typeface="+mn-ea"/>
                <a:cs typeface="+mn-cs"/>
              </a:rPr>
              <a:t>CORTE </a:t>
            </a:r>
            <a:r>
              <a:rPr lang="es-CO" sz="1400" b="1" i="0" u="none" strike="noStrike" kern="1200" spc="0" baseline="0">
                <a:solidFill>
                  <a:srgbClr val="000000">
                    <a:lumMod val="65000"/>
                    <a:lumOff val="35000"/>
                  </a:srgbClr>
                </a:solidFill>
                <a:latin typeface="+mn-lt"/>
                <a:ea typeface="+mn-ea"/>
                <a:cs typeface="+mn-cs"/>
              </a:rPr>
              <a:t> 30  DE MARZO DE 2026</a:t>
            </a:r>
          </a:p>
        </c:rich>
      </c:tx>
      <c:layout>
        <c:manualLayout>
          <c:xMode val="edge"/>
          <c:yMode val="edge"/>
          <c:x val="0.11979188907682224"/>
          <c:y val="1.981069777679947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PARTICIPA'!$E$73</c:f>
              <c:strCache>
                <c:ptCount val="1"/>
                <c:pt idx="0">
                  <c:v>AVANCE CUATRIENIO IMPULSOR DE AVANCE: CULTURA CIUDADANA. CORTE 30 DE MARZO DE 2026</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01B0-4197-9726-F8C8C5665729}"/>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85D2-4714-9203-75C0D038BD91}"/>
              </c:ext>
            </c:extLst>
          </c:dPt>
          <c:dPt>
            <c:idx val="2"/>
            <c:invertIfNegative val="0"/>
            <c:bubble3D val="0"/>
            <c:spPr>
              <a:solidFill>
                <a:srgbClr val="FFFF00"/>
              </a:solidFill>
              <a:ln>
                <a:noFill/>
              </a:ln>
              <a:effectLst/>
            </c:spPr>
            <c:extLst>
              <c:ext xmlns:c16="http://schemas.microsoft.com/office/drawing/2014/chart" uri="{C3380CC4-5D6E-409C-BE32-E72D297353CC}">
                <c16:uniqueId val="{00000007-E543-4718-BEAE-65A00454833E}"/>
              </c:ext>
            </c:extLst>
          </c:dPt>
          <c:dPt>
            <c:idx val="3"/>
            <c:invertIfNegative val="0"/>
            <c:bubble3D val="0"/>
            <c:spPr>
              <a:solidFill>
                <a:srgbClr val="FFFF00"/>
              </a:solidFill>
              <a:ln>
                <a:noFill/>
              </a:ln>
              <a:effectLst/>
            </c:spPr>
            <c:extLst>
              <c:ext xmlns:c16="http://schemas.microsoft.com/office/drawing/2014/chart" uri="{C3380CC4-5D6E-409C-BE32-E72D297353CC}">
                <c16:uniqueId val="{00000009-379E-4F3C-BF35-904665980981}"/>
              </c:ext>
            </c:extLst>
          </c:dPt>
          <c:dPt>
            <c:idx val="4"/>
            <c:invertIfNegative val="0"/>
            <c:bubble3D val="0"/>
            <c:spPr>
              <a:solidFill>
                <a:srgbClr val="FFFF00"/>
              </a:solidFill>
              <a:ln>
                <a:noFill/>
              </a:ln>
              <a:effectLst/>
            </c:spPr>
            <c:extLst>
              <c:ext xmlns:c16="http://schemas.microsoft.com/office/drawing/2014/chart" uri="{C3380CC4-5D6E-409C-BE32-E72D297353CC}">
                <c16:uniqueId val="{00000003-3B93-46C8-A282-D1DE008C819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PARTICIPA'!$E$74:$E$79</c:f>
              <c:numCache>
                <c:formatCode>0.0%</c:formatCode>
                <c:ptCount val="6"/>
                <c:pt idx="0">
                  <c:v>0.54786459841621493</c:v>
                </c:pt>
                <c:pt idx="1">
                  <c:v>0.65456665150136484</c:v>
                </c:pt>
                <c:pt idx="2">
                  <c:v>0.53493749999999995</c:v>
                </c:pt>
                <c:pt idx="3">
                  <c:v>0.54749999999999999</c:v>
                </c:pt>
                <c:pt idx="4">
                  <c:v>0.48731884057971014</c:v>
                </c:pt>
                <c:pt idx="5">
                  <c:v>0.51500000000000001</c:v>
                </c:pt>
              </c:numCache>
            </c:numRef>
          </c:val>
          <c:extLst>
            <c:ext xmlns:c16="http://schemas.microsoft.com/office/drawing/2014/chart" uri="{C3380CC4-5D6E-409C-BE32-E72D297353CC}">
              <c16:uniqueId val="{00000000-01B0-4197-9726-F8C8C5665729}"/>
            </c:ext>
          </c:extLst>
        </c:ser>
        <c:dLbls>
          <c:showLegendKey val="0"/>
          <c:showVal val="0"/>
          <c:showCatName val="0"/>
          <c:showSerName val="0"/>
          <c:showPercent val="0"/>
          <c:showBubbleSize val="0"/>
        </c:dLbls>
        <c:gapWidth val="219"/>
        <c:overlap val="-27"/>
        <c:axId val="432696648"/>
        <c:axId val="432695472"/>
      </c:barChart>
      <c:catAx>
        <c:axId val="43269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5472"/>
        <c:crosses val="autoZero"/>
        <c:auto val="1"/>
        <c:lblAlgn val="ctr"/>
        <c:lblOffset val="100"/>
        <c:noMultiLvlLbl val="0"/>
      </c:catAx>
      <c:valAx>
        <c:axId val="43269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6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s-CO" sz="1500" b="1"/>
              <a:t>AVANCE RESPECTO AL CUATRIENIO DE LOS COMPONENTES IMPULSORES LINEA ESTRATÉGICA INNOVACIÓN Y PARTICIPACIÓN. COMPARATIVO DICIEMBRE 2025 - 3O DE MARZO DE 2026</a:t>
            </a:r>
            <a:endParaRPr lang="es-CO" sz="15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3166325688546572E-2"/>
          <c:y val="9.8100104931210214E-2"/>
          <c:w val="0.94682639629107501"/>
          <c:h val="0.63326333280450231"/>
        </c:manualLayout>
      </c:layout>
      <c:barChart>
        <c:barDir val="col"/>
        <c:grouping val="clustered"/>
        <c:varyColors val="0"/>
        <c:ser>
          <c:idx val="0"/>
          <c:order val="0"/>
          <c:tx>
            <c:strRef>
              <c:f>'GRAFICAS INNOVACIÓN Y PARTICIPA'!$D$4</c:f>
              <c:strCache>
                <c:ptCount val="1"/>
                <c:pt idx="0">
                  <c:v>ESPERADO  AL CUATRIENIO CORTE DICIEMBRE 2026</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0.83819641214294427</c:v>
                </c:pt>
                <c:pt idx="1">
                  <c:v>0.6911759259259258</c:v>
                </c:pt>
                <c:pt idx="2">
                  <c:v>0.78791252215759355</c:v>
                </c:pt>
                <c:pt idx="3">
                  <c:v>1</c:v>
                </c:pt>
                <c:pt idx="4">
                  <c:v>0.78367528616265114</c:v>
                </c:pt>
                <c:pt idx="5">
                  <c:v>0.68441839317500752</c:v>
                </c:pt>
                <c:pt idx="6">
                  <c:v>0.91855138888888888</c:v>
                </c:pt>
              </c:numCache>
            </c:numRef>
          </c:val>
          <c:extLst>
            <c:ext xmlns:c16="http://schemas.microsoft.com/office/drawing/2014/chart" uri="{C3380CC4-5D6E-409C-BE32-E72D297353CC}">
              <c16:uniqueId val="{00000000-125E-4083-82CC-469450A6180B}"/>
            </c:ext>
          </c:extLst>
        </c:ser>
        <c:ser>
          <c:idx val="1"/>
          <c:order val="1"/>
          <c:tx>
            <c:strRef>
              <c:f>'GRAFICAS INNOVACIÓN Y PARTICIPA'!$E$4</c:f>
              <c:strCache>
                <c:ptCount val="1"/>
                <c:pt idx="0">
                  <c:v>LOGRO  CORTE  30 DE MARZO DE 2026 RESPECTO AL CUATRIENIO</c:v>
                </c:pt>
              </c:strCache>
            </c:strRef>
          </c:tx>
          <c:spPr>
            <a:solidFill>
              <a:srgbClr val="FFFF0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55DF-4B6F-835B-72A17ED96A7C}"/>
              </c:ext>
            </c:extLst>
          </c:dPt>
          <c:dPt>
            <c:idx val="1"/>
            <c:invertIfNegative val="0"/>
            <c:bubble3D val="0"/>
            <c:spPr>
              <a:solidFill>
                <a:srgbClr val="FFFF00"/>
              </a:solidFill>
              <a:ln>
                <a:noFill/>
              </a:ln>
              <a:effectLst/>
            </c:spPr>
            <c:extLst>
              <c:ext xmlns:c16="http://schemas.microsoft.com/office/drawing/2014/chart" uri="{C3380CC4-5D6E-409C-BE32-E72D297353CC}">
                <c16:uniqueId val="{00000008-86A9-4335-A7BD-AC48D9867D80}"/>
              </c:ext>
            </c:extLst>
          </c:dPt>
          <c:dPt>
            <c:idx val="2"/>
            <c:invertIfNegative val="0"/>
            <c:bubble3D val="0"/>
            <c:spPr>
              <a:solidFill>
                <a:srgbClr val="FFFF00"/>
              </a:solidFill>
              <a:ln>
                <a:noFill/>
              </a:ln>
              <a:effectLst/>
            </c:spPr>
            <c:extLst>
              <c:ext xmlns:c16="http://schemas.microsoft.com/office/drawing/2014/chart" uri="{C3380CC4-5D6E-409C-BE32-E72D297353CC}">
                <c16:uniqueId val="{00000009-86A9-4335-A7BD-AC48D9867D80}"/>
              </c:ext>
            </c:extLst>
          </c:dPt>
          <c:dPt>
            <c:idx val="3"/>
            <c:invertIfNegative val="0"/>
            <c:bubble3D val="0"/>
            <c:spPr>
              <a:solidFill>
                <a:srgbClr val="00B050"/>
              </a:solidFill>
              <a:ln>
                <a:noFill/>
              </a:ln>
              <a:effectLst/>
            </c:spPr>
            <c:extLst>
              <c:ext xmlns:c16="http://schemas.microsoft.com/office/drawing/2014/chart" uri="{C3380CC4-5D6E-409C-BE32-E72D297353CC}">
                <c16:uniqueId val="{00000004-CF26-4AF9-9871-BF63DC4B1D54}"/>
              </c:ext>
            </c:extLst>
          </c:dPt>
          <c:dPt>
            <c:idx val="4"/>
            <c:invertIfNegative val="0"/>
            <c:bubble3D val="0"/>
            <c:spPr>
              <a:solidFill>
                <a:srgbClr val="FFFF00"/>
              </a:solidFill>
              <a:ln>
                <a:noFill/>
              </a:ln>
              <a:effectLst/>
            </c:spPr>
            <c:extLst>
              <c:ext xmlns:c16="http://schemas.microsoft.com/office/drawing/2014/chart" uri="{C3380CC4-5D6E-409C-BE32-E72D297353CC}">
                <c16:uniqueId val="{00000000-6B9C-4488-A5D8-BFCAE3172664}"/>
              </c:ext>
            </c:extLst>
          </c:dPt>
          <c:dPt>
            <c:idx val="5"/>
            <c:invertIfNegative val="0"/>
            <c:bubble3D val="0"/>
            <c:spPr>
              <a:solidFill>
                <a:srgbClr val="FFFF00"/>
              </a:solidFill>
              <a:ln>
                <a:noFill/>
              </a:ln>
              <a:effectLst/>
            </c:spPr>
            <c:extLst>
              <c:ext xmlns:c16="http://schemas.microsoft.com/office/drawing/2014/chart" uri="{C3380CC4-5D6E-409C-BE32-E72D297353CC}">
                <c16:uniqueId val="{0000000A-86A9-4335-A7BD-AC48D9867D80}"/>
              </c:ext>
            </c:extLst>
          </c:dPt>
          <c:dPt>
            <c:idx val="6"/>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6B9C-4488-A5D8-BFCAE317266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0.58485635336926378</c:v>
                </c:pt>
                <c:pt idx="1">
                  <c:v>0.43897222222222226</c:v>
                </c:pt>
                <c:pt idx="2">
                  <c:v>0.53328062515392005</c:v>
                </c:pt>
                <c:pt idx="3">
                  <c:v>0.79732721065676904</c:v>
                </c:pt>
                <c:pt idx="4">
                  <c:v>0.54786459841621493</c:v>
                </c:pt>
                <c:pt idx="5">
                  <c:v>0.50034498493047785</c:v>
                </c:pt>
                <c:pt idx="6">
                  <c:v>0.62134847883597877</c:v>
                </c:pt>
              </c:numCache>
            </c:numRef>
          </c:val>
          <c:extLst>
            <c:ext xmlns:c16="http://schemas.microsoft.com/office/drawing/2014/chart" uri="{C3380CC4-5D6E-409C-BE32-E72D297353CC}">
              <c16:uniqueId val="{00000001-125E-4083-82CC-469450A6180B}"/>
            </c:ext>
          </c:extLst>
        </c:ser>
        <c:ser>
          <c:idx val="2"/>
          <c:order val="2"/>
          <c:tx>
            <c:strRef>
              <c:f>'GRAFICAS INNOVACIÓN Y PARTICIPA'!$F$4</c:f>
              <c:strCache>
                <c:ptCount val="1"/>
                <c:pt idx="0">
                  <c:v>LOGRO   CORTE DICIEMBRE 31 DE 2025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PARTICIPA'!$F$5:$F$11</c:f>
              <c:numCache>
                <c:formatCode>0.0%</c:formatCode>
                <c:ptCount val="7"/>
                <c:pt idx="0">
                  <c:v>0.54534437455673601</c:v>
                </c:pt>
                <c:pt idx="1">
                  <c:v>0.40580555555555553</c:v>
                </c:pt>
                <c:pt idx="2">
                  <c:v>0.46666914224150913</c:v>
                </c:pt>
                <c:pt idx="3">
                  <c:v>0.77712521124768763</c:v>
                </c:pt>
                <c:pt idx="4">
                  <c:v>0.52344420487663357</c:v>
                </c:pt>
                <c:pt idx="5">
                  <c:v>0.4683245805089773</c:v>
                </c:pt>
                <c:pt idx="6">
                  <c:v>0.56069755291005297</c:v>
                </c:pt>
              </c:numCache>
            </c:numRef>
          </c:val>
          <c:extLst>
            <c:ext xmlns:c16="http://schemas.microsoft.com/office/drawing/2014/chart" uri="{C3380CC4-5D6E-409C-BE32-E72D297353CC}">
              <c16:uniqueId val="{00000002-125E-4083-82CC-469450A6180B}"/>
            </c:ext>
          </c:extLst>
        </c:ser>
        <c:dLbls>
          <c:showLegendKey val="0"/>
          <c:showVal val="0"/>
          <c:showCatName val="0"/>
          <c:showSerName val="0"/>
          <c:showPercent val="0"/>
          <c:showBubbleSize val="0"/>
        </c:dLbls>
        <c:gapWidth val="219"/>
        <c:overlap val="-27"/>
        <c:axId val="456094968"/>
        <c:axId val="456088696"/>
      </c:barChart>
      <c:catAx>
        <c:axId val="456094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56088696"/>
        <c:crosses val="autoZero"/>
        <c:auto val="1"/>
        <c:lblAlgn val="ctr"/>
        <c:lblOffset val="100"/>
        <c:noMultiLvlLbl val="0"/>
      </c:catAx>
      <c:valAx>
        <c:axId val="456088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4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9620509849362688"/>
          <c:y val="1.130582249858677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2067605830847043E-2"/>
          <c:y val="8.4984381972333795E-2"/>
          <c:w val="0.95344803727459904"/>
          <c:h val="0.75500444472553385"/>
        </c:manualLayout>
      </c:layout>
      <c:barChart>
        <c:barDir val="col"/>
        <c:grouping val="clustered"/>
        <c:varyColors val="0"/>
        <c:ser>
          <c:idx val="0"/>
          <c:order val="0"/>
          <c:tx>
            <c:strRef>
              <c:f>'GRAFICAS INNOVACIÓN Y PARTICIPA'!$E$94</c:f>
              <c:strCache>
                <c:ptCount val="1"/>
                <c:pt idx="0">
                  <c:v>AVANCE CUATRIENIO IMPULSOR DE AVANCE: SISTEMA DE PLANEACIÓN DISTRITAL. CORTE 30 DE MARZO DE 2026</c:v>
                </c:pt>
              </c:strCache>
            </c:strRef>
          </c:tx>
          <c:spPr>
            <a:solidFill>
              <a:srgbClr val="00B05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8B3E-4E9A-B096-2B5C60A1A296}"/>
              </c:ext>
            </c:extLst>
          </c:dPt>
          <c:dPt>
            <c:idx val="1"/>
            <c:invertIfNegative val="0"/>
            <c:bubble3D val="0"/>
            <c:spPr>
              <a:solidFill>
                <a:srgbClr val="00B050"/>
              </a:solidFill>
              <a:ln>
                <a:noFill/>
              </a:ln>
              <a:effectLst/>
            </c:spPr>
            <c:extLst>
              <c:ext xmlns:c16="http://schemas.microsoft.com/office/drawing/2014/chart" uri="{C3380CC4-5D6E-409C-BE32-E72D297353CC}">
                <c16:uniqueId val="{00000002-F0DC-4B6A-8D1C-769DF6F5CF73}"/>
              </c:ext>
            </c:extLst>
          </c:dPt>
          <c:dPt>
            <c:idx val="2"/>
            <c:invertIfNegative val="0"/>
            <c:bubble3D val="0"/>
            <c:spPr>
              <a:solidFill>
                <a:srgbClr val="FFFF00"/>
              </a:solidFill>
              <a:ln>
                <a:noFill/>
              </a:ln>
              <a:effectLst/>
            </c:spPr>
            <c:extLst>
              <c:ext xmlns:c16="http://schemas.microsoft.com/office/drawing/2014/chart" uri="{C3380CC4-5D6E-409C-BE32-E72D297353CC}">
                <c16:uniqueId val="{00000003-F0DC-4B6A-8D1C-769DF6F5CF73}"/>
              </c:ext>
            </c:extLst>
          </c:dPt>
          <c:dPt>
            <c:idx val="3"/>
            <c:invertIfNegative val="0"/>
            <c:bubble3D val="0"/>
            <c:spPr>
              <a:solidFill>
                <a:srgbClr val="FFFF00"/>
              </a:solidFill>
              <a:ln>
                <a:noFill/>
              </a:ln>
              <a:effectLst/>
            </c:spPr>
            <c:extLst>
              <c:ext xmlns:c16="http://schemas.microsoft.com/office/drawing/2014/chart" uri="{C3380CC4-5D6E-409C-BE32-E72D297353CC}">
                <c16:uniqueId val="{0000000D-B2E2-4D08-BE5B-AD4C196C1AE2}"/>
              </c:ext>
            </c:extLst>
          </c:dPt>
          <c:dPt>
            <c:idx val="4"/>
            <c:invertIfNegative val="0"/>
            <c:bubble3D val="0"/>
            <c:spPr>
              <a:solidFill>
                <a:srgbClr val="00B050"/>
              </a:solidFill>
              <a:ln>
                <a:noFill/>
              </a:ln>
              <a:effectLst/>
            </c:spPr>
            <c:extLst>
              <c:ext xmlns:c16="http://schemas.microsoft.com/office/drawing/2014/chart" uri="{C3380CC4-5D6E-409C-BE32-E72D297353CC}">
                <c16:uniqueId val="{0000000A-DD68-440A-AFA6-6E5A21EF514D}"/>
              </c:ext>
            </c:extLst>
          </c:dPt>
          <c:dPt>
            <c:idx val="5"/>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F0DC-4B6A-8D1C-769DF6F5CF73}"/>
              </c:ext>
            </c:extLst>
          </c:dPt>
          <c:dPt>
            <c:idx val="6"/>
            <c:invertIfNegative val="0"/>
            <c:bubble3D val="0"/>
            <c:spPr>
              <a:solidFill>
                <a:srgbClr val="FFFF00"/>
              </a:solidFill>
              <a:ln>
                <a:noFill/>
              </a:ln>
              <a:effectLst/>
            </c:spPr>
            <c:extLst>
              <c:ext xmlns:c16="http://schemas.microsoft.com/office/drawing/2014/chart" uri="{C3380CC4-5D6E-409C-BE32-E72D297353CC}">
                <c16:uniqueId val="{00000005-F0DC-4B6A-8D1C-769DF6F5CF7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PARTICIPA'!$E$95:$E$101</c:f>
              <c:numCache>
                <c:formatCode>0.0%</c:formatCode>
                <c:ptCount val="7"/>
                <c:pt idx="0">
                  <c:v>0.62134847883597877</c:v>
                </c:pt>
                <c:pt idx="1">
                  <c:v>0.9</c:v>
                </c:pt>
                <c:pt idx="2">
                  <c:v>0.51005833333333328</c:v>
                </c:pt>
                <c:pt idx="3">
                  <c:v>0.51190476190476197</c:v>
                </c:pt>
                <c:pt idx="4">
                  <c:v>0.77777777777777779</c:v>
                </c:pt>
                <c:pt idx="5">
                  <c:v>0.38750000000000001</c:v>
                </c:pt>
                <c:pt idx="6">
                  <c:v>0.46</c:v>
                </c:pt>
              </c:numCache>
            </c:numRef>
          </c:val>
          <c:extLst>
            <c:ext xmlns:c16="http://schemas.microsoft.com/office/drawing/2014/chart" uri="{C3380CC4-5D6E-409C-BE32-E72D297353CC}">
              <c16:uniqueId val="{00000000-F0DC-4B6A-8D1C-769DF6F5CF73}"/>
            </c:ext>
          </c:extLst>
        </c:ser>
        <c:dLbls>
          <c:showLegendKey val="0"/>
          <c:showVal val="0"/>
          <c:showCatName val="0"/>
          <c:showSerName val="0"/>
          <c:showPercent val="0"/>
          <c:showBubbleSize val="0"/>
        </c:dLbls>
        <c:gapWidth val="219"/>
        <c:overlap val="-27"/>
        <c:axId val="456092616"/>
        <c:axId val="456096928"/>
      </c:barChart>
      <c:catAx>
        <c:axId val="45609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6928"/>
        <c:crosses val="autoZero"/>
        <c:auto val="1"/>
        <c:lblAlgn val="ctr"/>
        <c:lblOffset val="100"/>
        <c:noMultiLvlLbl val="0"/>
      </c:catAx>
      <c:valAx>
        <c:axId val="4560969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2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 avance: Sistema de Planeación Distrital. Avance ponderado </a:t>
            </a:r>
            <a:r>
              <a:rPr lang="en-US" sz="1800" b="1" i="0" u="none" strike="noStrike" kern="1200" spc="0" baseline="0">
                <a:solidFill>
                  <a:srgbClr val="000000">
                    <a:lumMod val="65000"/>
                    <a:lumOff val="35000"/>
                  </a:srgbClr>
                </a:solidFill>
                <a:effectLst/>
                <a:latin typeface="+mn-lt"/>
                <a:ea typeface="+mn-ea"/>
                <a:cs typeface="+mn-cs"/>
              </a:rPr>
              <a:t>corte  </a:t>
            </a:r>
            <a:r>
              <a:rPr lang="es-CO" sz="1800" b="1" i="0" baseline="0">
                <a:effectLst/>
              </a:rPr>
              <a:t>30 de marzo de 2026.</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PARTICIPA'!$D$94</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PARTICIPA'!$D$95:$D$101</c:f>
              <c:numCache>
                <c:formatCode>0.0%</c:formatCode>
                <c:ptCount val="7"/>
                <c:pt idx="0">
                  <c:v>0.57405166666666663</c:v>
                </c:pt>
                <c:pt idx="1">
                  <c:v>0.77500000000000002</c:v>
                </c:pt>
                <c:pt idx="2">
                  <c:v>0.47858750000000005</c:v>
                </c:pt>
                <c:pt idx="3">
                  <c:v>0.54895833333333333</c:v>
                </c:pt>
                <c:pt idx="4">
                  <c:v>0.73333333333333339</c:v>
                </c:pt>
                <c:pt idx="5">
                  <c:v>0.35750000000000004</c:v>
                </c:pt>
                <c:pt idx="6">
                  <c:v>0.64085000000000003</c:v>
                </c:pt>
              </c:numCache>
            </c:numRef>
          </c:val>
          <c:extLst>
            <c:ext xmlns:c16="http://schemas.microsoft.com/office/drawing/2014/chart" uri="{C3380CC4-5D6E-409C-BE32-E72D297353CC}">
              <c16:uniqueId val="{00000000-0ACD-4C28-B868-A47967C61A2E}"/>
            </c:ext>
          </c:extLst>
        </c:ser>
        <c:dLbls>
          <c:showLegendKey val="0"/>
          <c:showVal val="0"/>
          <c:showCatName val="0"/>
          <c:showSerName val="0"/>
          <c:showPercent val="0"/>
          <c:showBubbleSize val="0"/>
        </c:dLbls>
        <c:gapWidth val="219"/>
        <c:overlap val="-27"/>
        <c:axId val="456096144"/>
        <c:axId val="456096536"/>
      </c:barChart>
      <c:catAx>
        <c:axId val="45609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6536"/>
        <c:crosses val="autoZero"/>
        <c:auto val="1"/>
        <c:lblAlgn val="ctr"/>
        <c:lblOffset val="100"/>
        <c:noMultiLvlLbl val="0"/>
      </c:catAx>
      <c:valAx>
        <c:axId val="456096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6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154895636551555E-2"/>
          <c:y val="2.2913833324577942E-2"/>
          <c:w val="0.93184508186476689"/>
          <c:h val="0.77591922454303985"/>
        </c:manualLayout>
      </c:layout>
      <c:bar3DChart>
        <c:barDir val="col"/>
        <c:grouping val="clustered"/>
        <c:varyColors val="0"/>
        <c:ser>
          <c:idx val="0"/>
          <c:order val="0"/>
          <c:tx>
            <c:strRef>
              <c:f>'GRAFICAS INNOVACIÓN Y PARTICIPA'!$E$67</c:f>
              <c:strCache>
                <c:ptCount val="1"/>
                <c:pt idx="0">
                  <c:v>AVANCE CUATRIENIO IMPULSOR DE AVANCE: FINANZAS PÚBLICAS. CORTE 30 DE MARZO DE 2026</c:v>
                </c:pt>
              </c:strCache>
            </c:strRef>
          </c:tx>
          <c:spPr>
            <a:solidFill>
              <a:srgbClr val="00B050"/>
            </a:solidFill>
            <a:ln>
              <a:noFill/>
            </a:ln>
            <a:effectLst/>
            <a:sp3d/>
          </c:spPr>
          <c:invertIfNegative val="0"/>
          <c:dPt>
            <c:idx val="0"/>
            <c:invertIfNegative val="0"/>
            <c:bubble3D val="0"/>
            <c:spPr>
              <a:solidFill>
                <a:srgbClr val="00B050"/>
              </a:solidFill>
              <a:ln>
                <a:noFill/>
              </a:ln>
              <a:effectLst/>
              <a:sp3d/>
            </c:spPr>
            <c:extLst>
              <c:ext xmlns:c16="http://schemas.microsoft.com/office/drawing/2014/chart" uri="{C3380CC4-5D6E-409C-BE32-E72D297353CC}">
                <c16:uniqueId val="{00000003-6972-4705-8D41-5EDBDDDF0ABD}"/>
              </c:ext>
            </c:extLst>
          </c:dPt>
          <c:dPt>
            <c:idx val="1"/>
            <c:invertIfNegative val="0"/>
            <c:bubble3D val="0"/>
            <c:spPr>
              <a:solidFill>
                <a:schemeClr val="accent6">
                  <a:lumMod val="40000"/>
                  <a:lumOff val="60000"/>
                </a:schemeClr>
              </a:solidFill>
              <a:ln>
                <a:noFill/>
              </a:ln>
              <a:effectLst/>
              <a:sp3d/>
            </c:spPr>
            <c:extLst>
              <c:ext xmlns:c16="http://schemas.microsoft.com/office/drawing/2014/chart" uri="{C3380CC4-5D6E-409C-BE32-E72D297353CC}">
                <c16:uniqueId val="{00000006-6972-4705-8D41-5EDBDDDF0ABD}"/>
              </c:ext>
            </c:extLst>
          </c:dPt>
          <c:dPt>
            <c:idx val="2"/>
            <c:invertIfNegative val="0"/>
            <c:bubble3D val="0"/>
            <c:spPr>
              <a:solidFill>
                <a:srgbClr val="00B050"/>
              </a:solidFill>
              <a:ln>
                <a:noFill/>
              </a:ln>
              <a:effectLst/>
              <a:sp3d/>
            </c:spPr>
            <c:extLst>
              <c:ext xmlns:c16="http://schemas.microsoft.com/office/drawing/2014/chart" uri="{C3380CC4-5D6E-409C-BE32-E72D297353CC}">
                <c16:uniqueId val="{00000008-6972-4705-8D41-5EDBDDDF0ABD}"/>
              </c:ext>
            </c:extLst>
          </c:dPt>
          <c:dLbls>
            <c:dLbl>
              <c:idx val="0"/>
              <c:layout>
                <c:manualLayout>
                  <c:x val="-2.976190476190476E-3"/>
                  <c:y val="0.107285429141716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72-4705-8D41-5EDBDDDF0ABD}"/>
                </c:ext>
              </c:extLst>
            </c:dLbl>
            <c:dLbl>
              <c:idx val="1"/>
              <c:layout>
                <c:manualLayout>
                  <c:x val="-1.9841269841270569E-3"/>
                  <c:y val="8.982035928143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72-4705-8D41-5EDBDDDF0ABD}"/>
                </c:ext>
              </c:extLst>
            </c:dLbl>
            <c:dLbl>
              <c:idx val="2"/>
              <c:layout>
                <c:manualLayout>
                  <c:x val="9.9206349206349201E-4"/>
                  <c:y val="0.129740518962075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72-4705-8D41-5EDBDDDF0ABD}"/>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PARTICIPA'!$C$68:$C$70</c:f>
              <c:strCache>
                <c:ptCount val="3"/>
                <c:pt idx="0">
                  <c:v> Finanzas Públicas
</c:v>
                </c:pt>
                <c:pt idx="1">
                  <c:v> GESTIÓN FISCAL Y FINANCIERA OPORTUNA</c:v>
                </c:pt>
                <c:pt idx="2">
                  <c:v> HACIENDA MODERNA Y DIGITAL</c:v>
                </c:pt>
              </c:strCache>
            </c:strRef>
          </c:cat>
          <c:val>
            <c:numRef>
              <c:f>'GRAFICAS INNOVACIÓN Y PARTICIPA'!$E$68:$E$70</c:f>
              <c:numCache>
                <c:formatCode>0.0%</c:formatCode>
                <c:ptCount val="3"/>
                <c:pt idx="0">
                  <c:v>0.79732721065676904</c:v>
                </c:pt>
                <c:pt idx="1">
                  <c:v>0.59465442131353807</c:v>
                </c:pt>
                <c:pt idx="2">
                  <c:v>1</c:v>
                </c:pt>
              </c:numCache>
            </c:numRef>
          </c:val>
          <c:extLst>
            <c:ext xmlns:c16="http://schemas.microsoft.com/office/drawing/2014/chart" uri="{C3380CC4-5D6E-409C-BE32-E72D297353CC}">
              <c16:uniqueId val="{00000000-6972-4705-8D41-5EDBDDDF0ABD}"/>
            </c:ext>
          </c:extLst>
        </c:ser>
        <c:dLbls>
          <c:showLegendKey val="0"/>
          <c:showVal val="0"/>
          <c:showCatName val="0"/>
          <c:showSerName val="0"/>
          <c:showPercent val="0"/>
          <c:showBubbleSize val="0"/>
        </c:dLbls>
        <c:gapWidth val="150"/>
        <c:shape val="box"/>
        <c:axId val="305697872"/>
        <c:axId val="305696624"/>
        <c:axId val="0"/>
      </c:bar3DChart>
      <c:catAx>
        <c:axId val="305697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305696624"/>
        <c:crosses val="autoZero"/>
        <c:auto val="1"/>
        <c:lblAlgn val="ctr"/>
        <c:lblOffset val="100"/>
        <c:noMultiLvlLbl val="0"/>
      </c:catAx>
      <c:valAx>
        <c:axId val="305696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30569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500" b="1"/>
              <a:t>AVANCE RESPECTO AL CUATRIENIO DE LOS COMPONENTES IMPULSORES CAPITULO</a:t>
            </a:r>
            <a:r>
              <a:rPr lang="es-CO" sz="1500" b="1" baseline="0"/>
              <a:t> ETNICO. </a:t>
            </a:r>
            <a:r>
              <a:rPr lang="es-ES" sz="1500" b="1" i="0" u="none" strike="noStrike" baseline="0">
                <a:effectLst/>
              </a:rPr>
              <a:t>30 DE MARZO DE 2026</a:t>
            </a:r>
            <a:endParaRPr lang="es-CO" sz="1500" b="1"/>
          </a:p>
        </c:rich>
      </c:tx>
      <c:layout>
        <c:manualLayout>
          <c:xMode val="edge"/>
          <c:yMode val="edge"/>
          <c:x val="0.19926083152649396"/>
          <c:y val="1.32890365448504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2026</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C9-44F4-85AF-15022E80278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0.75826724587141259</c:v>
                </c:pt>
                <c:pt idx="1">
                  <c:v>0.73731072631072636</c:v>
                </c:pt>
                <c:pt idx="2">
                  <c:v>0.77922376543209881</c:v>
                </c:pt>
              </c:numCache>
            </c:numRef>
          </c:val>
          <c:extLst>
            <c:ext xmlns:c16="http://schemas.microsoft.com/office/drawing/2014/chart" uri="{C3380CC4-5D6E-409C-BE32-E72D297353CC}">
              <c16:uniqueId val="{00000001-7BC9-44F4-85AF-15022E80278B}"/>
            </c:ext>
          </c:extLst>
        </c:ser>
        <c:ser>
          <c:idx val="1"/>
          <c:order val="1"/>
          <c:tx>
            <c:strRef>
              <c:f>'GRAFICAS CAPITULO ETNICO'!$E$4</c:f>
              <c:strCache>
                <c:ptCount val="1"/>
                <c:pt idx="0">
                  <c:v>LOGRO  CORTE  30 DE MARZO DE 2026 RESPECTO AL CUATRIENIO</c:v>
                </c:pt>
              </c:strCache>
            </c:strRef>
          </c:tx>
          <c:spPr>
            <a:solidFill>
              <a:schemeClr val="accent2">
                <a:lumMod val="40000"/>
                <a:lumOff val="60000"/>
              </a:schemeClr>
            </a:solidFill>
            <a:ln>
              <a:noFill/>
            </a:ln>
            <a:effectLst/>
          </c:spPr>
          <c:invertIfNegative val="0"/>
          <c:dPt>
            <c:idx val="0"/>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5B74-4EE9-B6C7-31A574A6A036}"/>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0DCB-43DD-A2D3-3DC5D2BC4390}"/>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5CE8-440B-8FAC-BDEE12B73496}"/>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0.37655873466810963</c:v>
                </c:pt>
                <c:pt idx="1">
                  <c:v>0.36015103415103411</c:v>
                </c:pt>
                <c:pt idx="2">
                  <c:v>0.39296643518518515</c:v>
                </c:pt>
              </c:numCache>
            </c:numRef>
          </c:val>
          <c:extLst>
            <c:ext xmlns:c16="http://schemas.microsoft.com/office/drawing/2014/chart" uri="{C3380CC4-5D6E-409C-BE32-E72D297353CC}">
              <c16:uniqueId val="{00000002-7BC9-44F4-85AF-15022E80278B}"/>
            </c:ext>
          </c:extLst>
        </c:ser>
        <c:dLbls>
          <c:showLegendKey val="0"/>
          <c:showVal val="0"/>
          <c:showCatName val="0"/>
          <c:showSerName val="0"/>
          <c:showPercent val="0"/>
          <c:showBubbleSize val="0"/>
        </c:dLbls>
        <c:gapWidth val="219"/>
        <c:overlap val="-27"/>
        <c:axId val="456090656"/>
        <c:axId val="456092224"/>
      </c:barChart>
      <c:catAx>
        <c:axId val="45609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56092224"/>
        <c:crosses val="autoZero"/>
        <c:auto val="1"/>
        <c:lblAlgn val="ctr"/>
        <c:lblOffset val="100"/>
        <c:noMultiLvlLbl val="0"/>
      </c:catAx>
      <c:valAx>
        <c:axId val="456092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s-CO" sz="1300" b="1"/>
              <a:t>AVANCE RESPECTO AL CUATRIENIO DE LOS COMPONENTES IMPULSORES CAPITULO </a:t>
            </a:r>
            <a:r>
              <a:rPr lang="es-CO" sz="1300" b="1" i="0" u="none" strike="noStrike" kern="1200" spc="0" baseline="0">
                <a:solidFill>
                  <a:srgbClr val="000000">
                    <a:lumMod val="65000"/>
                    <a:lumOff val="35000"/>
                  </a:srgbClr>
                </a:solidFill>
                <a:latin typeface="+mn-lt"/>
                <a:ea typeface="+mn-ea"/>
                <a:cs typeface="+mn-cs"/>
              </a:rPr>
              <a:t>ETNICO  </a:t>
            </a:r>
            <a:r>
              <a:rPr lang="es-ES" sz="1400" b="1" i="0" u="none" strike="noStrike" baseline="0">
                <a:effectLst/>
              </a:rPr>
              <a:t>31 DE DICIEMBRE DE 2025.</a:t>
            </a:r>
            <a:r>
              <a:rPr lang="es-CO" sz="1300" b="1" i="0" u="none" strike="noStrike" kern="1200" spc="0" baseline="0">
                <a:solidFill>
                  <a:srgbClr val="000000">
                    <a:lumMod val="65000"/>
                    <a:lumOff val="35000"/>
                  </a:srgbClr>
                </a:solidFill>
                <a:latin typeface="+mn-lt"/>
                <a:ea typeface="+mn-ea"/>
                <a:cs typeface="+mn-cs"/>
              </a:rPr>
              <a:t>  PONDERADO</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ETNICO'!$L$4</c:f>
              <c:strCache>
                <c:ptCount val="1"/>
                <c:pt idx="0">
                  <c:v>ESPERADO VIGENCIA  2026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ETNICO'!$L$5:$L$7</c:f>
              <c:numCache>
                <c:formatCode>0.0%</c:formatCode>
                <c:ptCount val="3"/>
                <c:pt idx="0">
                  <c:v>0.31579166666666669</c:v>
                </c:pt>
                <c:pt idx="1">
                  <c:v>0.25497222222222221</c:v>
                </c:pt>
                <c:pt idx="2">
                  <c:v>0.98472222222222217</c:v>
                </c:pt>
              </c:numCache>
            </c:numRef>
          </c:val>
          <c:extLst>
            <c:ext xmlns:c16="http://schemas.microsoft.com/office/drawing/2014/chart" uri="{C3380CC4-5D6E-409C-BE32-E72D297353CC}">
              <c16:uniqueId val="{00000000-78A2-414D-B5B1-570AF4D2AB9E}"/>
            </c:ext>
          </c:extLst>
        </c:ser>
        <c:ser>
          <c:idx val="1"/>
          <c:order val="1"/>
          <c:tx>
            <c:strRef>
              <c:f>'GRAFICAS CAPITULO ETNICO'!$M$4</c:f>
              <c:strCache>
                <c:ptCount val="1"/>
                <c:pt idx="0">
                  <c:v>LOGRO CORTE 15 DE SEPTIEMBRE DE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ETNICO'!$M$5:$M$7</c:f>
              <c:numCache>
                <c:formatCode>0.0%</c:formatCode>
                <c:ptCount val="3"/>
                <c:pt idx="0">
                  <c:v>0.36127683238636366</c:v>
                </c:pt>
                <c:pt idx="1">
                  <c:v>0.36487348484848486</c:v>
                </c:pt>
                <c:pt idx="2">
                  <c:v>0.35048687500000003</c:v>
                </c:pt>
              </c:numCache>
            </c:numRef>
          </c:val>
          <c:extLst>
            <c:ext xmlns:c16="http://schemas.microsoft.com/office/drawing/2014/chart" uri="{C3380CC4-5D6E-409C-BE32-E72D297353CC}">
              <c16:uniqueId val="{00000001-78A2-414D-B5B1-570AF4D2AB9E}"/>
            </c:ext>
          </c:extLst>
        </c:ser>
        <c:dLbls>
          <c:showLegendKey val="0"/>
          <c:showVal val="0"/>
          <c:showCatName val="0"/>
          <c:showSerName val="0"/>
          <c:showPercent val="0"/>
          <c:showBubbleSize val="0"/>
        </c:dLbls>
        <c:gapWidth val="219"/>
        <c:overlap val="-27"/>
        <c:axId val="456091048"/>
        <c:axId val="456094576"/>
      </c:barChart>
      <c:catAx>
        <c:axId val="45609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4576"/>
        <c:crosses val="autoZero"/>
        <c:auto val="1"/>
        <c:lblAlgn val="ctr"/>
        <c:lblOffset val="100"/>
        <c:noMultiLvlLbl val="0"/>
      </c:catAx>
      <c:valAx>
        <c:axId val="456094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1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rgbClr val="000000">
                    <a:lumMod val="65000"/>
                    <a:lumOff val="35000"/>
                  </a:srgbClr>
                </a:solidFill>
                <a:latin typeface="+mn-lt"/>
                <a:ea typeface="+mn-ea"/>
                <a:cs typeface="+mn-cs"/>
              </a:defRPr>
            </a:pPr>
            <a:r>
              <a:rPr lang="en-US" sz="1500" b="1" i="0" baseline="0">
                <a:effectLst/>
              </a:rPr>
              <a:t>AVANCE  PARCIAL CAPITULO ETNICO VIGENCIA </a:t>
            </a:r>
            <a:r>
              <a:rPr lang="en-US" sz="1500" b="1" i="0" u="none" strike="noStrike" kern="1200" spc="0" baseline="0">
                <a:solidFill>
                  <a:srgbClr val="000000">
                    <a:lumMod val="65000"/>
                    <a:lumOff val="35000"/>
                  </a:srgbClr>
                </a:solidFill>
                <a:effectLst/>
                <a:latin typeface="+mn-lt"/>
                <a:ea typeface="+mn-ea"/>
                <a:cs typeface="+mn-cs"/>
              </a:rPr>
              <a:t>CORTE  </a:t>
            </a:r>
            <a:r>
              <a:rPr lang="es-ES" sz="1500" b="1" i="0" u="none" strike="noStrike" baseline="0">
                <a:effectLst/>
              </a:rPr>
              <a:t>30 DE  MARZO DE 2026</a:t>
            </a:r>
            <a:endParaRPr lang="es-CO" sz="1500" b="1" i="0" u="none" strike="noStrike" kern="1200" spc="0" baseline="0">
              <a:solidFill>
                <a:srgbClr val="000000">
                  <a:lumMod val="65000"/>
                  <a:lumOff val="35000"/>
                </a:srgbClr>
              </a:solidFill>
              <a:effectLst/>
              <a:latin typeface="+mn-lt"/>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500">
                <a:solidFill>
                  <a:srgbClr val="000000">
                    <a:lumMod val="65000"/>
                    <a:lumOff val="35000"/>
                  </a:srgbClr>
                </a:solidFill>
              </a:defRPr>
            </a:pPr>
            <a:endParaRPr lang="es-CO" sz="15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ETNICO'!$D$61</c:f>
              <c:strCache>
                <c:ptCount val="1"/>
                <c:pt idx="0">
                  <c:v>AVANCE  PARCIAL VIGENCIA  CORTE 30 DE MARZO DE 2026</c:v>
                </c:pt>
              </c:strCache>
            </c:strRef>
          </c:tx>
          <c:spPr>
            <a:solidFill>
              <a:srgbClr val="FF000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D08E-4BD8-AF81-D6638A8F143B}"/>
              </c:ext>
            </c:extLst>
          </c:dPt>
          <c:dPt>
            <c:idx val="1"/>
            <c:invertIfNegative val="0"/>
            <c:bubble3D val="0"/>
            <c:spPr>
              <a:solidFill>
                <a:srgbClr val="FF0000"/>
              </a:solidFill>
              <a:ln>
                <a:noFill/>
              </a:ln>
              <a:effectLst/>
            </c:spPr>
            <c:extLst>
              <c:ext xmlns:c16="http://schemas.microsoft.com/office/drawing/2014/chart" uri="{C3380CC4-5D6E-409C-BE32-E72D297353CC}">
                <c16:uniqueId val="{00000003-D08E-4BD8-AF81-D6638A8F143B}"/>
              </c:ext>
            </c:extLst>
          </c:dPt>
          <c:dPt>
            <c:idx val="2"/>
            <c:invertIfNegative val="0"/>
            <c:bubble3D val="0"/>
            <c:spPr>
              <a:solidFill>
                <a:srgbClr val="FF0000"/>
              </a:solidFill>
              <a:ln>
                <a:noFill/>
              </a:ln>
              <a:effectLst/>
            </c:spPr>
            <c:extLst>
              <c:ext xmlns:c16="http://schemas.microsoft.com/office/drawing/2014/chart" uri="{C3380CC4-5D6E-409C-BE32-E72D297353CC}">
                <c16:uniqueId val="{00000005-D08E-4BD8-AF81-D6638A8F143B}"/>
              </c:ext>
            </c:extLst>
          </c:dPt>
          <c:dPt>
            <c:idx val="3"/>
            <c:invertIfNegative val="0"/>
            <c:bubble3D val="0"/>
            <c:spPr>
              <a:solidFill>
                <a:srgbClr val="FF0000"/>
              </a:solidFill>
              <a:ln>
                <a:noFill/>
              </a:ln>
              <a:effectLst/>
            </c:spPr>
            <c:extLst>
              <c:ext xmlns:c16="http://schemas.microsoft.com/office/drawing/2014/chart" uri="{C3380CC4-5D6E-409C-BE32-E72D297353CC}">
                <c16:uniqueId val="{00000007-D08E-4BD8-AF81-D6638A8F143B}"/>
              </c:ext>
            </c:extLst>
          </c:dPt>
          <c:dPt>
            <c:idx val="4"/>
            <c:invertIfNegative val="0"/>
            <c:bubble3D val="0"/>
            <c:spPr>
              <a:solidFill>
                <a:srgbClr val="FF0000"/>
              </a:solidFill>
              <a:ln>
                <a:noFill/>
              </a:ln>
              <a:effectLst/>
            </c:spPr>
            <c:extLst>
              <c:ext xmlns:c16="http://schemas.microsoft.com/office/drawing/2014/chart" uri="{C3380CC4-5D6E-409C-BE32-E72D297353CC}">
                <c16:uniqueId val="{00000009-D08E-4BD8-AF81-D6638A8F143B}"/>
              </c:ext>
            </c:extLst>
          </c:dPt>
          <c:dPt>
            <c:idx val="5"/>
            <c:invertIfNegative val="0"/>
            <c:bubble3D val="0"/>
            <c:spPr>
              <a:solidFill>
                <a:srgbClr val="FF0000"/>
              </a:solidFill>
              <a:ln>
                <a:noFill/>
              </a:ln>
              <a:effectLst/>
            </c:spPr>
            <c:extLst>
              <c:ext xmlns:c16="http://schemas.microsoft.com/office/drawing/2014/chart" uri="{C3380CC4-5D6E-409C-BE32-E72D297353CC}">
                <c16:uniqueId val="{0000000B-D08E-4BD8-AF81-D6638A8F143B}"/>
              </c:ext>
            </c:extLst>
          </c:dPt>
          <c:dPt>
            <c:idx val="6"/>
            <c:invertIfNegative val="0"/>
            <c:bubble3D val="0"/>
            <c:spPr>
              <a:solidFill>
                <a:srgbClr val="FF0000"/>
              </a:solidFill>
              <a:ln>
                <a:noFill/>
              </a:ln>
              <a:effectLst/>
            </c:spPr>
            <c:extLst>
              <c:ext xmlns:c16="http://schemas.microsoft.com/office/drawing/2014/chart" uri="{C3380CC4-5D6E-409C-BE32-E72D297353CC}">
                <c16:uniqueId val="{0000000D-D08E-4BD8-AF81-D6638A8F143B}"/>
              </c:ext>
            </c:extLst>
          </c:dPt>
          <c:dPt>
            <c:idx val="7"/>
            <c:invertIfNegative val="0"/>
            <c:bubble3D val="0"/>
            <c:spPr>
              <a:solidFill>
                <a:srgbClr val="FF0000"/>
              </a:solidFill>
              <a:ln>
                <a:noFill/>
              </a:ln>
              <a:effectLst/>
            </c:spPr>
            <c:extLst>
              <c:ext xmlns:c16="http://schemas.microsoft.com/office/drawing/2014/chart" uri="{C3380CC4-5D6E-409C-BE32-E72D297353CC}">
                <c16:uniqueId val="{0000000F-D08E-4BD8-AF81-D6638A8F143B}"/>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ETNICO'!$C$62:$C$64</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ETNICO'!$D$62:$D$64</c:f>
              <c:numCache>
                <c:formatCode>0.0%</c:formatCode>
                <c:ptCount val="3"/>
                <c:pt idx="0">
                  <c:v>3.8722256579399435E-2</c:v>
                </c:pt>
                <c:pt idx="1">
                  <c:v>4.5037105751391464E-2</c:v>
                </c:pt>
                <c:pt idx="2">
                  <c:v>0</c:v>
                </c:pt>
              </c:numCache>
            </c:numRef>
          </c:val>
          <c:extLst>
            <c:ext xmlns:c16="http://schemas.microsoft.com/office/drawing/2014/chart" uri="{C3380CC4-5D6E-409C-BE32-E72D297353CC}">
              <c16:uniqueId val="{00000010-D08E-4BD8-AF81-D6638A8F143B}"/>
            </c:ext>
          </c:extLst>
        </c:ser>
        <c:dLbls>
          <c:showLegendKey val="0"/>
          <c:showVal val="0"/>
          <c:showCatName val="0"/>
          <c:showSerName val="0"/>
          <c:showPercent val="0"/>
          <c:showBubbleSize val="0"/>
        </c:dLbls>
        <c:gapWidth val="219"/>
        <c:overlap val="-27"/>
        <c:axId val="456087912"/>
        <c:axId val="456093008"/>
      </c:barChart>
      <c:catAx>
        <c:axId val="456087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56093008"/>
        <c:crosses val="autoZero"/>
        <c:auto val="1"/>
        <c:lblAlgn val="ctr"/>
        <c:lblOffset val="100"/>
        <c:noMultiLvlLbl val="0"/>
      </c:catAx>
      <c:valAx>
        <c:axId val="4560930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5608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 avance: Fortalecimiento al Desarrollo Afro-Territorial de la Población Negra, Afrocolombiana, Raizal y Palenquera. Avance ponderado. Corte 30 de marzo de 2026</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ETNICO'!$D$41</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ETNICO'!$D$42:$D$45</c:f>
              <c:numCache>
                <c:formatCode>0.00%</c:formatCode>
                <c:ptCount val="4"/>
                <c:pt idx="0">
                  <c:v>0.36487348484848486</c:v>
                </c:pt>
                <c:pt idx="1">
                  <c:v>0.3525151515151515</c:v>
                </c:pt>
                <c:pt idx="2">
                  <c:v>0.53312500000000007</c:v>
                </c:pt>
                <c:pt idx="3">
                  <c:v>0.29310606060606059</c:v>
                </c:pt>
              </c:numCache>
            </c:numRef>
          </c:val>
          <c:extLst>
            <c:ext xmlns:c16="http://schemas.microsoft.com/office/drawing/2014/chart" uri="{C3380CC4-5D6E-409C-BE32-E72D297353CC}">
              <c16:uniqueId val="{00000000-5730-495B-9878-03F8C91CE12C}"/>
            </c:ext>
          </c:extLst>
        </c:ser>
        <c:dLbls>
          <c:showLegendKey val="0"/>
          <c:showVal val="0"/>
          <c:showCatName val="0"/>
          <c:showSerName val="0"/>
          <c:showPercent val="0"/>
          <c:showBubbleSize val="0"/>
        </c:dLbls>
        <c:gapWidth val="219"/>
        <c:overlap val="-27"/>
        <c:axId val="456097712"/>
        <c:axId val="456087520"/>
      </c:barChart>
      <c:catAx>
        <c:axId val="45609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7520"/>
        <c:crosses val="autoZero"/>
        <c:auto val="1"/>
        <c:lblAlgn val="ctr"/>
        <c:lblOffset val="100"/>
        <c:noMultiLvlLbl val="0"/>
      </c:catAx>
      <c:valAx>
        <c:axId val="456087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7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Fortalecimiento Institucional e Innovación Administrativa. Avance ponderado corte  30 de marzo de 2026</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ETNICO'!$D$51</c:f>
              <c:strCache>
                <c:ptCount val="1"/>
                <c:pt idx="0">
                  <c:v>AVANCE PONDERADO CORTE 30 DE MARZO DE 2026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ETNICO'!$D$52:$D$55</c:f>
              <c:numCache>
                <c:formatCode>0.0%</c:formatCode>
                <c:ptCount val="4"/>
                <c:pt idx="0">
                  <c:v>0.35048687500000003</c:v>
                </c:pt>
                <c:pt idx="1">
                  <c:v>0.18588958333333333</c:v>
                </c:pt>
                <c:pt idx="2">
                  <c:v>0.34739999999999999</c:v>
                </c:pt>
                <c:pt idx="3">
                  <c:v>0.47625000000000006</c:v>
                </c:pt>
              </c:numCache>
            </c:numRef>
          </c:val>
          <c:extLst>
            <c:ext xmlns:c16="http://schemas.microsoft.com/office/drawing/2014/chart" uri="{C3380CC4-5D6E-409C-BE32-E72D297353CC}">
              <c16:uniqueId val="{00000000-169F-46A0-B982-F1AA2EBBF0BC}"/>
            </c:ext>
          </c:extLst>
        </c:ser>
        <c:dLbls>
          <c:showLegendKey val="0"/>
          <c:showVal val="0"/>
          <c:showCatName val="0"/>
          <c:showSerName val="0"/>
          <c:showPercent val="0"/>
          <c:showBubbleSize val="0"/>
        </c:dLbls>
        <c:gapWidth val="219"/>
        <c:overlap val="-27"/>
        <c:axId val="456094184"/>
        <c:axId val="456089088"/>
      </c:barChart>
      <c:catAx>
        <c:axId val="456094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9088"/>
        <c:crosses val="autoZero"/>
        <c:auto val="1"/>
        <c:lblAlgn val="ctr"/>
        <c:lblOffset val="100"/>
        <c:noMultiLvlLbl val="0"/>
      </c:catAx>
      <c:valAx>
        <c:axId val="456089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4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a:t>AVANCE CUATRIENIO COMPONENTE IMPULSOR SEGURIDAD CIUDADANA Y ORDEN PÚBLICO.</a:t>
            </a:r>
            <a:r>
              <a:rPr lang="en-US" sz="1600" baseline="0"/>
              <a:t> </a:t>
            </a:r>
            <a:r>
              <a:rPr lang="en-US" sz="1600" b="1" i="0" u="none" strike="noStrike" kern="1200" spc="0" baseline="0">
                <a:solidFill>
                  <a:srgbClr val="000000">
                    <a:lumMod val="65000"/>
                    <a:lumOff val="35000"/>
                  </a:srgbClr>
                </a:solidFill>
                <a:latin typeface="+mn-lt"/>
                <a:ea typeface="+mn-ea"/>
                <a:cs typeface="+mn-cs"/>
              </a:rPr>
              <a:t>PROGRAMAS. CORTE </a:t>
            </a:r>
            <a:r>
              <a:rPr lang="es-CO" sz="1600" b="1" i="0" u="none" strike="noStrike" kern="1200" spc="0" baseline="0">
                <a:solidFill>
                  <a:srgbClr val="000000">
                    <a:lumMod val="65000"/>
                    <a:lumOff val="35000"/>
                  </a:srgbClr>
                </a:solidFill>
                <a:latin typeface="+mn-lt"/>
                <a:ea typeface="+mn-ea"/>
                <a:cs typeface="+mn-cs"/>
              </a:rPr>
              <a:t> 30 DE MARZO 2026</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7626403025454091E-2"/>
          <c:y val="0.13902812969092279"/>
          <c:w val="0.96420652188591971"/>
          <c:h val="0.69604346992630561"/>
        </c:manualLayout>
      </c:layout>
      <c:barChart>
        <c:barDir val="col"/>
        <c:grouping val="clustered"/>
        <c:varyColors val="0"/>
        <c:ser>
          <c:idx val="0"/>
          <c:order val="0"/>
          <c:tx>
            <c:strRef>
              <c:f>'GRAFICAS SEGURIDAD HUMANA'!$E$31</c:f>
              <c:strCache>
                <c:ptCount val="1"/>
                <c:pt idx="0">
                  <c:v>AVANCE CUATRIENIO COMPONENTE IMPULSOR SEGURIDAD CIUDADANA Y ORDEN PÚBLICO  CORTE  30 DE MARZO DE 2026</c:v>
                </c:pt>
              </c:strCache>
            </c:strRef>
          </c:tx>
          <c:spPr>
            <a:solidFill>
              <a:srgbClr val="00B05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2-EB02-4835-B231-E773302B08F3}"/>
              </c:ext>
            </c:extLst>
          </c:dPt>
          <c:dPt>
            <c:idx val="1"/>
            <c:invertIfNegative val="0"/>
            <c:bubble3D val="0"/>
            <c:spPr>
              <a:solidFill>
                <a:srgbClr val="FFFF00"/>
              </a:solidFill>
              <a:ln>
                <a:noFill/>
              </a:ln>
              <a:effectLst/>
            </c:spPr>
            <c:extLst>
              <c:ext xmlns:c16="http://schemas.microsoft.com/office/drawing/2014/chart" uri="{C3380CC4-5D6E-409C-BE32-E72D297353CC}">
                <c16:uniqueId val="{0000000C-4F92-49D6-A3B7-7B633E2924A7}"/>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E80F-40A1-8607-EC5039BC63C9}"/>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D297-4E27-B366-2A166E20B44A}"/>
              </c:ext>
            </c:extLst>
          </c:dPt>
          <c:dPt>
            <c:idx val="4"/>
            <c:invertIfNegative val="0"/>
            <c:bubble3D val="0"/>
            <c:spPr>
              <a:solidFill>
                <a:srgbClr val="00B050"/>
              </a:solidFill>
              <a:ln>
                <a:noFill/>
              </a:ln>
              <a:effectLst/>
            </c:spPr>
            <c:extLst>
              <c:ext xmlns:c16="http://schemas.microsoft.com/office/drawing/2014/chart" uri="{C3380CC4-5D6E-409C-BE32-E72D297353CC}">
                <c16:uniqueId val="{00000008-E80F-40A1-8607-EC5039BC63C9}"/>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5377-4A02-A8E8-88F3984DE62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HUMANA'!$E$32:$E$37</c:f>
              <c:numCache>
                <c:formatCode>0.0%</c:formatCode>
                <c:ptCount val="6"/>
                <c:pt idx="0">
                  <c:v>0.65510371930358957</c:v>
                </c:pt>
                <c:pt idx="1">
                  <c:v>0.43249999999999994</c:v>
                </c:pt>
                <c:pt idx="2">
                  <c:v>0.66666666666666663</c:v>
                </c:pt>
                <c:pt idx="3">
                  <c:v>0.70675054096239232</c:v>
                </c:pt>
                <c:pt idx="4">
                  <c:v>0.75</c:v>
                </c:pt>
                <c:pt idx="5">
                  <c:v>0.71960138888888892</c:v>
                </c:pt>
              </c:numCache>
            </c:numRef>
          </c:val>
          <c:extLst>
            <c:ext xmlns:c16="http://schemas.microsoft.com/office/drawing/2014/chart" uri="{C3380CC4-5D6E-409C-BE32-E72D297353CC}">
              <c16:uniqueId val="{00000000-EB02-4835-B231-E773302B08F3}"/>
            </c:ext>
          </c:extLst>
        </c:ser>
        <c:dLbls>
          <c:showLegendKey val="0"/>
          <c:showVal val="0"/>
          <c:showCatName val="0"/>
          <c:showSerName val="0"/>
          <c:showPercent val="0"/>
          <c:showBubbleSize val="0"/>
        </c:dLbls>
        <c:gapWidth val="219"/>
        <c:overlap val="-27"/>
        <c:axId val="428039432"/>
        <c:axId val="428037080"/>
      </c:barChart>
      <c:catAx>
        <c:axId val="428039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28037080"/>
        <c:crosses val="autoZero"/>
        <c:auto val="1"/>
        <c:lblAlgn val="ctr"/>
        <c:lblOffset val="100"/>
        <c:noMultiLvlLbl val="0"/>
      </c:catAx>
      <c:valAx>
        <c:axId val="428037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039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FORTALECIMIENTO AL DESARROLLO AFRO-TERRITORIAL DE LA POBLACIÓN NEGRA, AFROCOLOMBIANA, RAIZAL Y PALENQUERA.  </a:t>
            </a:r>
            <a:r>
              <a:rPr lang="en-US" sz="1200"/>
              <a:t>PROGRAMAS</a:t>
            </a:r>
            <a:r>
              <a:rPr lang="en-US" sz="1200" b="1" i="0" u="none" strike="noStrike" kern="1200" spc="0" baseline="0">
                <a:solidFill>
                  <a:srgbClr val="000000">
                    <a:lumMod val="65000"/>
                    <a:lumOff val="35000"/>
                  </a:srgbClr>
                </a:solidFill>
                <a:latin typeface="+mn-lt"/>
                <a:ea typeface="+mn-ea"/>
                <a:cs typeface="+mn-cs"/>
              </a:rPr>
              <a:t>. CORTE </a:t>
            </a:r>
            <a:r>
              <a:rPr lang="es-CO" sz="1200" b="1" i="0" u="none" strike="noStrike" kern="1200" spc="0" baseline="0">
                <a:solidFill>
                  <a:srgbClr val="000000">
                    <a:lumMod val="65000"/>
                    <a:lumOff val="35000"/>
                  </a:srgbClr>
                </a:solidFill>
                <a:latin typeface="+mn-lt"/>
                <a:ea typeface="+mn-ea"/>
                <a:cs typeface="+mn-cs"/>
              </a:rPr>
              <a:t> </a:t>
            </a:r>
            <a:r>
              <a:rPr lang="es-ES" sz="1200" b="1" i="0" u="none" strike="noStrike" baseline="0">
                <a:effectLst/>
              </a:rPr>
              <a:t>30 DE MARZO DE 2026</a:t>
            </a:r>
            <a:endParaRPr lang="es-CO" sz="12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ETNICO'!$E$41</c:f>
              <c:strCache>
                <c:ptCount val="1"/>
                <c:pt idx="0">
                  <c:v>AVANCE CUATRIENIO IMPULSOR DE AVANCE: FORTALECIMIENTO AL DESARROLLO AFRO-TERRITORIAL DE LA POBLACIÓN NEGRA, AFROCOLOMBIANA, RAIZAL Y PALENQUERA. CORTE 30 DE MARZO DE 2026</c:v>
                </c:pt>
              </c:strCache>
            </c:strRef>
          </c:tx>
          <c:spPr>
            <a:solidFill>
              <a:schemeClr val="accent2">
                <a:lumMod val="40000"/>
                <a:lumOff val="60000"/>
              </a:schemeClr>
            </a:solidFill>
            <a:ln>
              <a:noFill/>
            </a:ln>
            <a:effectLst/>
          </c:spPr>
          <c:invertIfNegative val="0"/>
          <c:dPt>
            <c:idx val="0"/>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44B9-4AAB-858C-C23AC5ED01EE}"/>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BE1B-4D67-AFB7-79D547AE7DF4}"/>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12E3-4E03-9A6C-163E55A0883D}"/>
              </c:ext>
            </c:extLst>
          </c:dPt>
          <c:dPt>
            <c:idx val="3"/>
            <c:invertIfNegative val="0"/>
            <c:bubble3D val="0"/>
            <c:spPr>
              <a:solidFill>
                <a:srgbClr val="FFFF00"/>
              </a:solidFill>
              <a:ln>
                <a:noFill/>
              </a:ln>
              <a:effectLst/>
            </c:spPr>
            <c:extLst>
              <c:ext xmlns:c16="http://schemas.microsoft.com/office/drawing/2014/chart" uri="{C3380CC4-5D6E-409C-BE32-E72D297353CC}">
                <c16:uniqueId val="{00000006-E560-4029-8BC9-ABC7B4D3BFA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ETNICO'!$E$42:$E$45</c:f>
              <c:numCache>
                <c:formatCode>0.0%</c:formatCode>
                <c:ptCount val="4"/>
                <c:pt idx="0">
                  <c:v>0.36015103415103411</c:v>
                </c:pt>
                <c:pt idx="1">
                  <c:v>0.30754545454545457</c:v>
                </c:pt>
                <c:pt idx="2">
                  <c:v>0.35</c:v>
                </c:pt>
                <c:pt idx="3">
                  <c:v>0.4229076479076479</c:v>
                </c:pt>
              </c:numCache>
            </c:numRef>
          </c:val>
          <c:extLst>
            <c:ext xmlns:c16="http://schemas.microsoft.com/office/drawing/2014/chart" uri="{C3380CC4-5D6E-409C-BE32-E72D297353CC}">
              <c16:uniqueId val="{00000000-44B9-4AAB-858C-C23AC5ED01EE}"/>
            </c:ext>
          </c:extLst>
        </c:ser>
        <c:dLbls>
          <c:showLegendKey val="0"/>
          <c:showVal val="0"/>
          <c:showCatName val="0"/>
          <c:showSerName val="0"/>
          <c:showPercent val="0"/>
          <c:showBubbleSize val="0"/>
        </c:dLbls>
        <c:gapWidth val="219"/>
        <c:overlap val="-27"/>
        <c:axId val="456085952"/>
        <c:axId val="456086344"/>
      </c:barChart>
      <c:catAx>
        <c:axId val="45608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6344"/>
        <c:crosses val="autoZero"/>
        <c:auto val="1"/>
        <c:lblAlgn val="ctr"/>
        <c:lblOffset val="100"/>
        <c:noMultiLvlLbl val="0"/>
      </c:catAx>
      <c:valAx>
        <c:axId val="456086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ETNICO'!$E$51</c:f>
              <c:strCache>
                <c:ptCount val="1"/>
                <c:pt idx="0">
                  <c:v>AVANCE CUATRIENIO IMPULSOR DE AVANCE: TERRITORIO SITIO DE PAZ Y PENSAMIENTO COLECTIVO. CORTE 30 DE MARZO DE 2026</c:v>
                </c:pt>
              </c:strCache>
            </c:strRef>
          </c:tx>
          <c:spPr>
            <a:solidFill>
              <a:schemeClr val="accent2">
                <a:lumMod val="40000"/>
                <a:lumOff val="60000"/>
              </a:schemeClr>
            </a:solidFill>
            <a:ln>
              <a:noFill/>
            </a:ln>
            <a:effectLst/>
          </c:spPr>
          <c:invertIfNegative val="0"/>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8-07EB-4A05-B07F-295B3CF199E0}"/>
              </c:ext>
            </c:extLst>
          </c:dPt>
          <c:dPt>
            <c:idx val="3"/>
            <c:invertIfNegative val="0"/>
            <c:bubble3D val="0"/>
            <c:spPr>
              <a:solidFill>
                <a:srgbClr val="FFFF00"/>
              </a:solidFill>
              <a:ln>
                <a:noFill/>
              </a:ln>
              <a:effectLst/>
            </c:spPr>
            <c:extLst>
              <c:ext xmlns:c16="http://schemas.microsoft.com/office/drawing/2014/chart" uri="{C3380CC4-5D6E-409C-BE32-E72D297353CC}">
                <c16:uniqueId val="{00000003-6579-41AF-9350-2A6130FB9E2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ETNICO'!$E$52:$E$55</c:f>
              <c:numCache>
                <c:formatCode>0.0%</c:formatCode>
                <c:ptCount val="4"/>
                <c:pt idx="0">
                  <c:v>0.39296643518518515</c:v>
                </c:pt>
                <c:pt idx="1">
                  <c:v>0.34012152777777777</c:v>
                </c:pt>
                <c:pt idx="2">
                  <c:v>0.37177777777777776</c:v>
                </c:pt>
                <c:pt idx="3">
                  <c:v>0.46699999999999997</c:v>
                </c:pt>
              </c:numCache>
            </c:numRef>
          </c:val>
          <c:extLst>
            <c:ext xmlns:c16="http://schemas.microsoft.com/office/drawing/2014/chart" uri="{C3380CC4-5D6E-409C-BE32-E72D297353CC}">
              <c16:uniqueId val="{00000000-EB71-48E6-8DC4-3BA42952AD2C}"/>
            </c:ext>
          </c:extLst>
        </c:ser>
        <c:dLbls>
          <c:showLegendKey val="0"/>
          <c:showVal val="0"/>
          <c:showCatName val="0"/>
          <c:showSerName val="0"/>
          <c:showPercent val="0"/>
          <c:showBubbleSize val="0"/>
        </c:dLbls>
        <c:gapWidth val="219"/>
        <c:overlap val="-27"/>
        <c:axId val="456088304"/>
        <c:axId val="456089480"/>
      </c:barChart>
      <c:catAx>
        <c:axId val="45608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56089480"/>
        <c:crosses val="autoZero"/>
        <c:auto val="1"/>
        <c:lblAlgn val="ctr"/>
        <c:lblOffset val="100"/>
        <c:noMultiLvlLbl val="0"/>
      </c:catAx>
      <c:valAx>
        <c:axId val="456089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  AVANCE RESPECTO AL CUATRIENIO DE LOS COMPONENTES IMPULSORES CAPÍTULO DE LOS PUEBLOS Y COMUNIDADES ÉTNICAS. COMPARATIVO DICIEMBRE 2025 - 3O DE MARZO DE 2026</a:t>
            </a:r>
            <a:endParaRPr lang="es-CO" sz="1400" b="1" i="0" u="none" strike="noStrike" kern="1200" spc="0" baseline="0">
              <a:solidFill>
                <a:srgbClr val="000000">
                  <a:lumMod val="65000"/>
                  <a:lumOff val="35000"/>
                </a:srgbClr>
              </a:solidFill>
              <a:latin typeface="+mn-lt"/>
              <a:ea typeface="+mn-ea"/>
              <a:cs typeface="+mn-cs"/>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2026</c:v>
                </c:pt>
              </c:strCache>
            </c:strRef>
          </c:tx>
          <c:spPr>
            <a:solidFill>
              <a:schemeClr val="accent1"/>
            </a:solidFill>
            <a:ln>
              <a:noFill/>
            </a:ln>
            <a:effectLst/>
          </c:spPr>
          <c:invertIfNegative val="0"/>
          <c:dPt>
            <c:idx val="0"/>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6-03F0-45E6-A96E-78083860E09B}"/>
              </c:ext>
            </c:extLst>
          </c:dPt>
          <c:dPt>
            <c:idx val="1"/>
            <c:invertIfNegative val="0"/>
            <c:bubble3D val="0"/>
            <c:spPr>
              <a:solidFill>
                <a:schemeClr val="tx2">
                  <a:lumMod val="65000"/>
                  <a:lumOff val="35000"/>
                </a:schemeClr>
              </a:solidFill>
              <a:ln>
                <a:noFill/>
              </a:ln>
              <a:effectLst/>
            </c:spPr>
            <c:extLst>
              <c:ext xmlns:c16="http://schemas.microsoft.com/office/drawing/2014/chart" uri="{C3380CC4-5D6E-409C-BE32-E72D297353CC}">
                <c16:uniqueId val="{0000000F-CAB7-4762-B61F-35D0AF6A42E2}"/>
              </c:ext>
            </c:extLst>
          </c:dPt>
          <c:dPt>
            <c:idx val="2"/>
            <c:invertIfNegative val="0"/>
            <c:bubble3D val="0"/>
            <c:spPr>
              <a:solidFill>
                <a:schemeClr val="tx2">
                  <a:lumMod val="65000"/>
                  <a:lumOff val="35000"/>
                </a:schemeClr>
              </a:solidFill>
              <a:ln>
                <a:noFill/>
              </a:ln>
              <a:effectLst/>
            </c:spPr>
            <c:extLst>
              <c:ext xmlns:c16="http://schemas.microsoft.com/office/drawing/2014/chart" uri="{C3380CC4-5D6E-409C-BE32-E72D297353CC}">
                <c16:uniqueId val="{00000010-CAB7-4762-B61F-35D0AF6A42E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0.75826724587141259</c:v>
                </c:pt>
                <c:pt idx="1">
                  <c:v>0.73731072631072636</c:v>
                </c:pt>
                <c:pt idx="2">
                  <c:v>0.77922376543209881</c:v>
                </c:pt>
              </c:numCache>
            </c:numRef>
          </c:val>
          <c:extLst>
            <c:ext xmlns:c16="http://schemas.microsoft.com/office/drawing/2014/chart" uri="{C3380CC4-5D6E-409C-BE32-E72D297353CC}">
              <c16:uniqueId val="{00000000-03F0-45E6-A96E-78083860E09B}"/>
            </c:ext>
          </c:extLst>
        </c:ser>
        <c:ser>
          <c:idx val="1"/>
          <c:order val="1"/>
          <c:tx>
            <c:strRef>
              <c:f>'GRAFICAS CAPITULO ETNICO'!$E$4</c:f>
              <c:strCache>
                <c:ptCount val="1"/>
                <c:pt idx="0">
                  <c:v>LOGRO  CORTE  30 DE MARZO DE 2026 RESPECTO AL CUATRIENIO</c:v>
                </c:pt>
              </c:strCache>
            </c:strRef>
          </c:tx>
          <c:spPr>
            <a:solidFill>
              <a:schemeClr val="accent2">
                <a:lumMod val="40000"/>
                <a:lumOff val="60000"/>
              </a:schemeClr>
            </a:solidFill>
            <a:ln>
              <a:noFill/>
            </a:ln>
            <a:effectLst/>
          </c:spPr>
          <c:invertIfNegative val="0"/>
          <c:dPt>
            <c:idx val="0"/>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BF79-4E1C-B77F-4DD86D0E1F29}"/>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1DC9-4D70-B729-197BE5476725}"/>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CAB7-4762-B61F-35D0AF6A42E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0.37655873466810963</c:v>
                </c:pt>
                <c:pt idx="1">
                  <c:v>0.36015103415103411</c:v>
                </c:pt>
                <c:pt idx="2">
                  <c:v>0.39296643518518515</c:v>
                </c:pt>
              </c:numCache>
            </c:numRef>
          </c:val>
          <c:extLst>
            <c:ext xmlns:c16="http://schemas.microsoft.com/office/drawing/2014/chart" uri="{C3380CC4-5D6E-409C-BE32-E72D297353CC}">
              <c16:uniqueId val="{00000001-03F0-45E6-A96E-78083860E09B}"/>
            </c:ext>
          </c:extLst>
        </c:ser>
        <c:ser>
          <c:idx val="2"/>
          <c:order val="2"/>
          <c:tx>
            <c:strRef>
              <c:f>'GRAFICAS CAPITULO ETNICO'!$F$4</c:f>
              <c:strCache>
                <c:ptCount val="1"/>
                <c:pt idx="0">
                  <c:v>LOGRO   CORTE DICIEMBRE 31 DE 2025 RESPECTO AL CUATRIENIO</c:v>
                </c:pt>
              </c:strCache>
            </c:strRef>
          </c:tx>
          <c:spPr>
            <a:solidFill>
              <a:srgbClr val="7030A0"/>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2-BF80-477C-B605-0AA4E39DB9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ETNICO'!$F$5:$F$7</c:f>
              <c:numCache>
                <c:formatCode>0.0%</c:formatCode>
                <c:ptCount val="3"/>
                <c:pt idx="0">
                  <c:v>0.36192553511303516</c:v>
                </c:pt>
                <c:pt idx="1">
                  <c:v>0.35168903318903322</c:v>
                </c:pt>
                <c:pt idx="2">
                  <c:v>0.37216203703703704</c:v>
                </c:pt>
              </c:numCache>
            </c:numRef>
          </c:val>
          <c:extLst>
            <c:ext xmlns:c16="http://schemas.microsoft.com/office/drawing/2014/chart" uri="{C3380CC4-5D6E-409C-BE32-E72D297353CC}">
              <c16:uniqueId val="{00000002-03F0-45E6-A96E-78083860E09B}"/>
            </c:ext>
          </c:extLst>
        </c:ser>
        <c:dLbls>
          <c:showLegendKey val="0"/>
          <c:showVal val="0"/>
          <c:showCatName val="0"/>
          <c:showSerName val="0"/>
          <c:showPercent val="0"/>
          <c:showBubbleSize val="0"/>
        </c:dLbls>
        <c:gapWidth val="219"/>
        <c:overlap val="-27"/>
        <c:axId val="456098496"/>
        <c:axId val="456101240"/>
      </c:barChart>
      <c:catAx>
        <c:axId val="45609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56101240"/>
        <c:crosses val="autoZero"/>
        <c:auto val="1"/>
        <c:lblAlgn val="ctr"/>
        <c:lblOffset val="100"/>
        <c:noMultiLvlLbl val="0"/>
      </c:catAx>
      <c:valAx>
        <c:axId val="456101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8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t>AVANCE ESPERADO ACUMULADO CUATRIENIO 2024 - 2025. PLAN DE DESARROLLO. ANTES Y DEPUÉS</a:t>
            </a:r>
            <a:r>
              <a:rPr lang="es-CO" sz="2000" b="1" baseline="0"/>
              <a:t> DE REPROGRAMACIÓN</a:t>
            </a:r>
            <a:r>
              <a:rPr lang="es-CO" sz="2500" baseline="0"/>
              <a:t>.</a:t>
            </a:r>
            <a:endParaRPr lang="es-CO" sz="25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5147273257509479E-2"/>
          <c:y val="0.1067710933092979"/>
          <c:w val="0.95858492047468424"/>
          <c:h val="0.56849630505474991"/>
        </c:manualLayout>
      </c:layout>
      <c:bar3DChart>
        <c:barDir val="col"/>
        <c:grouping val="clustered"/>
        <c:varyColors val="0"/>
        <c:ser>
          <c:idx val="0"/>
          <c:order val="0"/>
          <c:tx>
            <c:strRef>
              <c:f>'REPROGRAMACIÓN - GRAFICAS'!$D$3</c:f>
              <c:strCache>
                <c:ptCount val="1"/>
                <c:pt idx="0">
                  <c:v>AVANCE ESPERADO ACUMULADO CUATRIENIO 2024 - 2025 (LUEGO DE REPROGRAMACIÓN). CORTE DICIEMBRE 2025</c:v>
                </c:pt>
              </c:strCache>
            </c:strRef>
          </c:tx>
          <c:spPr>
            <a:solidFill>
              <a:schemeClr val="accent6">
                <a:lumMod val="60000"/>
                <a:lumOff val="40000"/>
              </a:schemeClr>
            </a:solidFill>
            <a:ln>
              <a:noFill/>
            </a:ln>
            <a:effectLst/>
            <a:sp3d/>
          </c:spPr>
          <c:invertIfNegative val="0"/>
          <c:dLbls>
            <c:dLbl>
              <c:idx val="0"/>
              <c:layout>
                <c:manualLayout>
                  <c:x val="-1.7094017094017094E-3"/>
                  <c:y val="7.94148293233909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98-4903-B8FE-70BE86142B27}"/>
                </c:ext>
              </c:extLst>
            </c:dLbl>
            <c:dLbl>
              <c:idx val="1"/>
              <c:layout>
                <c:manualLayout>
                  <c:x val="0"/>
                  <c:y val="0.104493196478145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98-4903-B8FE-70BE86142B27}"/>
                </c:ext>
              </c:extLst>
            </c:dLbl>
            <c:dLbl>
              <c:idx val="2"/>
              <c:layout>
                <c:manualLayout>
                  <c:x val="-8.3569784832131234E-17"/>
                  <c:y val="6.5482403126304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98-4903-B8FE-70BE86142B27}"/>
                </c:ext>
              </c:extLst>
            </c:dLbl>
            <c:dLbl>
              <c:idx val="3"/>
              <c:layout>
                <c:manualLayout>
                  <c:x val="-1.7094017094017929E-3"/>
                  <c:y val="7.1055373605139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98-4903-B8FE-70BE86142B27}"/>
                </c:ext>
              </c:extLst>
            </c:dLbl>
            <c:dLbl>
              <c:idx val="4"/>
              <c:layout>
                <c:manualLayout>
                  <c:x val="-5.6980056980056976E-4"/>
                  <c:y val="5.5729704788344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98-4903-B8FE-70BE86142B27}"/>
                </c:ext>
              </c:extLst>
            </c:dLbl>
            <c:dLbl>
              <c:idx val="5"/>
              <c:layout>
                <c:manualLayout>
                  <c:x val="-5.6980056980065336E-4"/>
                  <c:y val="7.662834408397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98-4903-B8FE-70BE86142B27}"/>
                </c:ext>
              </c:extLst>
            </c:dLbl>
            <c:dLbl>
              <c:idx val="6"/>
              <c:layout>
                <c:manualLayout>
                  <c:x val="-5.6980056980056976E-4"/>
                  <c:y val="6.4089160506596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98-4903-B8FE-70BE86142B27}"/>
                </c:ext>
              </c:extLst>
            </c:dLbl>
            <c:spPr>
              <a:noFill/>
              <a:ln>
                <a:noFill/>
              </a:ln>
              <a:effectLst/>
            </c:spPr>
            <c:txPr>
              <a:bodyPr rot="0" spcFirstLastPara="1" vertOverflow="ellipsis" vert="horz" wrap="square" lIns="38100" tIns="19050" rIns="38100" bIns="19050" anchor="ctr" anchorCtr="1">
                <a:spAutoFit/>
              </a:bodyPr>
              <a:lstStyle/>
              <a:p>
                <a:pPr>
                  <a:defRPr sz="2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'REPROGRAMACIÓN - GRAFICAS'!$C$4:$C$10</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'REPROGRAMACIÓN - GRAFICAS'!$D$4:$D$10</c:f>
              <c:numCache>
                <c:formatCode>0.00%</c:formatCode>
                <c:ptCount val="7"/>
                <c:pt idx="0">
                  <c:v>0.80223711421976773</c:v>
                </c:pt>
                <c:pt idx="1">
                  <c:v>0.79931262285361604</c:v>
                </c:pt>
                <c:pt idx="2">
                  <c:v>0.82276088820641258</c:v>
                </c:pt>
                <c:pt idx="3">
                  <c:v>0.82209331785503881</c:v>
                </c:pt>
                <c:pt idx="4">
                  <c:v>0.77279219838918167</c:v>
                </c:pt>
                <c:pt idx="5">
                  <c:v>0.83819641214294427</c:v>
                </c:pt>
                <c:pt idx="6">
                  <c:v>0.75826724587141259</c:v>
                </c:pt>
              </c:numCache>
            </c:numRef>
          </c:val>
          <c:extLst>
            <c:ext xmlns:c16="http://schemas.microsoft.com/office/drawing/2014/chart" uri="{C3380CC4-5D6E-409C-BE32-E72D297353CC}">
              <c16:uniqueId val="{00000000-1D98-4903-B8FE-70BE86142B27}"/>
            </c:ext>
          </c:extLst>
        </c:ser>
        <c:ser>
          <c:idx val="1"/>
          <c:order val="1"/>
          <c:tx>
            <c:strRef>
              <c:f>'REPROGRAMACIÓN - GRAFICAS'!$E$3</c:f>
              <c:strCache>
                <c:ptCount val="1"/>
                <c:pt idx="0">
                  <c:v>AVANCE ESPERADO ACUMULADO CUATRIENIO 2024 - 2025 (INICIAL). CORTE DICIEMBRE 2025</c:v>
                </c:pt>
              </c:strCache>
            </c:strRef>
          </c:tx>
          <c:spPr>
            <a:solidFill>
              <a:schemeClr val="accent2"/>
            </a:solidFill>
            <a:ln>
              <a:noFill/>
            </a:ln>
            <a:effectLst/>
            <a:sp3d/>
          </c:spPr>
          <c:invertIfNegative val="0"/>
          <c:dLbls>
            <c:dLbl>
              <c:idx val="0"/>
              <c:layout>
                <c:manualLayout>
                  <c:x val="1.7094017094017094E-3"/>
                  <c:y val="4.7370249070092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98-4903-B8FE-70BE86142B27}"/>
                </c:ext>
              </c:extLst>
            </c:dLbl>
            <c:dLbl>
              <c:idx val="1"/>
              <c:layout>
                <c:manualLayout>
                  <c:x val="0"/>
                  <c:y val="0.14211074721027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98-4903-B8FE-70BE86142B27}"/>
                </c:ext>
              </c:extLst>
            </c:dLbl>
            <c:dLbl>
              <c:idx val="2"/>
              <c:layout>
                <c:manualLayout>
                  <c:x val="2.2792022792022791E-3"/>
                  <c:y val="3.9010793351841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98-4903-B8FE-70BE86142B27}"/>
                </c:ext>
              </c:extLst>
            </c:dLbl>
            <c:dLbl>
              <c:idx val="3"/>
              <c:layout>
                <c:manualLayout>
                  <c:x val="3.4188034188034188E-3"/>
                  <c:y val="5.5729704788344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98-4903-B8FE-70BE86142B27}"/>
                </c:ext>
              </c:extLst>
            </c:dLbl>
            <c:dLbl>
              <c:idx val="4"/>
              <c:layout>
                <c:manualLayout>
                  <c:x val="5.6980056980056976E-4"/>
                  <c:y val="3.4831065492715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98-4903-B8FE-70BE86142B27}"/>
                </c:ext>
              </c:extLst>
            </c:dLbl>
            <c:dLbl>
              <c:idx val="5"/>
              <c:layout>
                <c:manualLayout>
                  <c:x val="2.2792022792021121E-3"/>
                  <c:y val="0.100313468619020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98-4903-B8FE-70BE86142B27}"/>
                </c:ext>
              </c:extLst>
            </c:dLbl>
            <c:dLbl>
              <c:idx val="6"/>
              <c:layout>
                <c:manualLayout>
                  <c:x val="5.6980056980056976E-4"/>
                  <c:y val="3.483106549271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98-4903-B8FE-70BE86142B27}"/>
                </c:ext>
              </c:extLst>
            </c:dLbl>
            <c:spPr>
              <a:noFill/>
              <a:ln>
                <a:noFill/>
              </a:ln>
              <a:effectLst/>
            </c:spPr>
            <c:txPr>
              <a:bodyPr rot="0" spcFirstLastPara="1" vertOverflow="ellipsis" vert="horz" wrap="square" lIns="38100" tIns="19050" rIns="38100" bIns="19050" anchor="ctr" anchorCtr="1">
                <a:spAutoFit/>
              </a:bodyPr>
              <a:lstStyle/>
              <a:p>
                <a:pPr>
                  <a:defRPr sz="2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'REPROGRAMACIÓN - GRAFICAS'!$C$4:$C$10</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'REPROGRAMACIÓN - GRAFICAS'!$E$4:$E$10</c:f>
              <c:numCache>
                <c:formatCode>0.00%</c:formatCode>
                <c:ptCount val="7"/>
                <c:pt idx="0">
                  <c:v>0.5020023857457443</c:v>
                </c:pt>
                <c:pt idx="1">
                  <c:v>0.61218984525965447</c:v>
                </c:pt>
                <c:pt idx="2">
                  <c:v>0.54684174372440431</c:v>
                </c:pt>
                <c:pt idx="3">
                  <c:v>0.57077618047162071</c:v>
                </c:pt>
                <c:pt idx="4">
                  <c:v>0.45762029306363849</c:v>
                </c:pt>
                <c:pt idx="5">
                  <c:v>0.49805847417737026</c:v>
                </c:pt>
                <c:pt idx="6">
                  <c:v>0.32652777777777775</c:v>
                </c:pt>
              </c:numCache>
            </c:numRef>
          </c:val>
          <c:extLst>
            <c:ext xmlns:c16="http://schemas.microsoft.com/office/drawing/2014/chart" uri="{C3380CC4-5D6E-409C-BE32-E72D297353CC}">
              <c16:uniqueId val="{00000001-1D98-4903-B8FE-70BE86142B27}"/>
            </c:ext>
          </c:extLst>
        </c:ser>
        <c:dLbls>
          <c:showLegendKey val="0"/>
          <c:showVal val="0"/>
          <c:showCatName val="0"/>
          <c:showSerName val="0"/>
          <c:showPercent val="0"/>
          <c:showBubbleSize val="0"/>
        </c:dLbls>
        <c:gapWidth val="150"/>
        <c:shape val="box"/>
        <c:axId val="920953087"/>
        <c:axId val="920945599"/>
        <c:axId val="0"/>
      </c:bar3DChart>
      <c:catAx>
        <c:axId val="9209530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20945599"/>
        <c:crosses val="autoZero"/>
        <c:auto val="1"/>
        <c:lblAlgn val="ctr"/>
        <c:lblOffset val="100"/>
        <c:noMultiLvlLbl val="0"/>
      </c:catAx>
      <c:valAx>
        <c:axId val="92094559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2095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17" Type="http://schemas.openxmlformats.org/officeDocument/2006/relationships/chart" Target="../charts/chart69.xml"/><Relationship Id="rId2" Type="http://schemas.openxmlformats.org/officeDocument/2006/relationships/chart" Target="../charts/chart54.xml"/><Relationship Id="rId16" Type="http://schemas.openxmlformats.org/officeDocument/2006/relationships/chart" Target="../charts/chart68.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7.xml"/><Relationship Id="rId13" Type="http://schemas.openxmlformats.org/officeDocument/2006/relationships/chart" Target="../charts/chart82.xml"/><Relationship Id="rId3" Type="http://schemas.openxmlformats.org/officeDocument/2006/relationships/chart" Target="../charts/chart72.xml"/><Relationship Id="rId7" Type="http://schemas.openxmlformats.org/officeDocument/2006/relationships/chart" Target="../charts/chart76.xml"/><Relationship Id="rId12" Type="http://schemas.openxmlformats.org/officeDocument/2006/relationships/chart" Target="../charts/chart81.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11" Type="http://schemas.openxmlformats.org/officeDocument/2006/relationships/chart" Target="../charts/chart80.xml"/><Relationship Id="rId5" Type="http://schemas.openxmlformats.org/officeDocument/2006/relationships/chart" Target="../charts/chart74.xml"/><Relationship Id="rId15" Type="http://schemas.openxmlformats.org/officeDocument/2006/relationships/chart" Target="../charts/chart84.xml"/><Relationship Id="rId10" Type="http://schemas.openxmlformats.org/officeDocument/2006/relationships/chart" Target="../charts/chart79.xml"/><Relationship Id="rId4" Type="http://schemas.openxmlformats.org/officeDocument/2006/relationships/chart" Target="../charts/chart73.xml"/><Relationship Id="rId9" Type="http://schemas.openxmlformats.org/officeDocument/2006/relationships/chart" Target="../charts/chart78.xml"/><Relationship Id="rId14" Type="http://schemas.openxmlformats.org/officeDocument/2006/relationships/chart" Target="../charts/chart8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xdr:from>
      <xdr:col>1</xdr:col>
      <xdr:colOff>3962400</xdr:colOff>
      <xdr:row>12</xdr:row>
      <xdr:rowOff>95250</xdr:rowOff>
    </xdr:from>
    <xdr:to>
      <xdr:col>11</xdr:col>
      <xdr:colOff>3162300</xdr:colOff>
      <xdr:row>86</xdr:row>
      <xdr:rowOff>76200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215900</xdr:colOff>
      <xdr:row>12</xdr:row>
      <xdr:rowOff>31750</xdr:rowOff>
    </xdr:from>
    <xdr:to>
      <xdr:col>27</xdr:col>
      <xdr:colOff>228600</xdr:colOff>
      <xdr:row>86</xdr:row>
      <xdr:rowOff>38100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2590800</xdr:colOff>
      <xdr:row>99</xdr:row>
      <xdr:rowOff>76200</xdr:rowOff>
    </xdr:from>
    <xdr:to>
      <xdr:col>18</xdr:col>
      <xdr:colOff>685800</xdr:colOff>
      <xdr:row>166</xdr:row>
      <xdr:rowOff>114300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342900</xdr:colOff>
      <xdr:row>14</xdr:row>
      <xdr:rowOff>152400</xdr:rowOff>
    </xdr:from>
    <xdr:to>
      <xdr:col>63</xdr:col>
      <xdr:colOff>876300</xdr:colOff>
      <xdr:row>91</xdr:row>
      <xdr:rowOff>38100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381000</xdr:colOff>
      <xdr:row>1</xdr:row>
      <xdr:rowOff>19050</xdr:rowOff>
    </xdr:from>
    <xdr:to>
      <xdr:col>63</xdr:col>
      <xdr:colOff>495300</xdr:colOff>
      <xdr:row>8</xdr:row>
      <xdr:rowOff>2171700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476250</xdr:colOff>
      <xdr:row>24</xdr:row>
      <xdr:rowOff>20320</xdr:rowOff>
    </xdr:from>
    <xdr:to>
      <xdr:col>9</xdr:col>
      <xdr:colOff>1870710</xdr:colOff>
      <xdr:row>44</xdr:row>
      <xdr:rowOff>163830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324939</xdr:colOff>
      <xdr:row>0</xdr:row>
      <xdr:rowOff>0</xdr:rowOff>
    </xdr:from>
    <xdr:to>
      <xdr:col>37</xdr:col>
      <xdr:colOff>136616</xdr:colOff>
      <xdr:row>13</xdr:row>
      <xdr:rowOff>93073</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2301603</xdr:colOff>
      <xdr:row>92</xdr:row>
      <xdr:rowOff>113392</xdr:rowOff>
    </xdr:from>
    <xdr:to>
      <xdr:col>10</xdr:col>
      <xdr:colOff>1148623</xdr:colOff>
      <xdr:row>110</xdr:row>
      <xdr:rowOff>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2781300</xdr:colOff>
      <xdr:row>12</xdr:row>
      <xdr:rowOff>154941</xdr:rowOff>
    </xdr:from>
    <xdr:to>
      <xdr:col>22</xdr:col>
      <xdr:colOff>466814</xdr:colOff>
      <xdr:row>34</xdr:row>
      <xdr:rowOff>498749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2832462</xdr:colOff>
      <xdr:row>35</xdr:row>
      <xdr:rowOff>309698</xdr:rowOff>
    </xdr:from>
    <xdr:to>
      <xdr:col>22</xdr:col>
      <xdr:colOff>634456</xdr:colOff>
      <xdr:row>52</xdr:row>
      <xdr:rowOff>416560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638263</xdr:colOff>
      <xdr:row>52</xdr:row>
      <xdr:rowOff>300991</xdr:rowOff>
    </xdr:from>
    <xdr:to>
      <xdr:col>23</xdr:col>
      <xdr:colOff>657316</xdr:colOff>
      <xdr:row>69</xdr:row>
      <xdr:rowOff>26671</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640806</xdr:colOff>
      <xdr:row>69</xdr:row>
      <xdr:rowOff>363944</xdr:rowOff>
    </xdr:from>
    <xdr:to>
      <xdr:col>23</xdr:col>
      <xdr:colOff>771979</xdr:colOff>
      <xdr:row>83</xdr:row>
      <xdr:rowOff>11430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456655</xdr:colOff>
      <xdr:row>83</xdr:row>
      <xdr:rowOff>248193</xdr:rowOff>
    </xdr:from>
    <xdr:to>
      <xdr:col>21</xdr:col>
      <xdr:colOff>389164</xdr:colOff>
      <xdr:row>96</xdr:row>
      <xdr:rowOff>50075</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185058</xdr:colOff>
      <xdr:row>15</xdr:row>
      <xdr:rowOff>48985</xdr:rowOff>
    </xdr:from>
    <xdr:to>
      <xdr:col>36</xdr:col>
      <xdr:colOff>424543</xdr:colOff>
      <xdr:row>32</xdr:row>
      <xdr:rowOff>76200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204106</xdr:colOff>
      <xdr:row>32</xdr:row>
      <xdr:rowOff>234041</xdr:rowOff>
    </xdr:from>
    <xdr:to>
      <xdr:col>36</xdr:col>
      <xdr:colOff>628649</xdr:colOff>
      <xdr:row>46</xdr:row>
      <xdr:rowOff>62592</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223156</xdr:colOff>
      <xdr:row>46</xdr:row>
      <xdr:rowOff>225878</xdr:rowOff>
    </xdr:from>
    <xdr:to>
      <xdr:col>36</xdr:col>
      <xdr:colOff>590550</xdr:colOff>
      <xdr:row>57</xdr:row>
      <xdr:rowOff>95249</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315685</xdr:colOff>
      <xdr:row>58</xdr:row>
      <xdr:rowOff>397327</xdr:rowOff>
    </xdr:from>
    <xdr:to>
      <xdr:col>36</xdr:col>
      <xdr:colOff>424543</xdr:colOff>
      <xdr:row>69</xdr:row>
      <xdr:rowOff>440869</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152399</xdr:colOff>
      <xdr:row>71</xdr:row>
      <xdr:rowOff>907</xdr:rowOff>
    </xdr:from>
    <xdr:to>
      <xdr:col>37</xdr:col>
      <xdr:colOff>152399</xdr:colOff>
      <xdr:row>82</xdr:row>
      <xdr:rowOff>54427</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1084580</xdr:colOff>
      <xdr:row>1</xdr:row>
      <xdr:rowOff>36830</xdr:rowOff>
    </xdr:from>
    <xdr:to>
      <xdr:col>10</xdr:col>
      <xdr:colOff>518160</xdr:colOff>
      <xdr:row>20</xdr:row>
      <xdr:rowOff>30480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1932940</xdr:colOff>
      <xdr:row>12</xdr:row>
      <xdr:rowOff>13123</xdr:rowOff>
    </xdr:from>
    <xdr:to>
      <xdr:col>6</xdr:col>
      <xdr:colOff>3992880</xdr:colOff>
      <xdr:row>34</xdr:row>
      <xdr:rowOff>45720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277586</xdr:colOff>
      <xdr:row>0</xdr:row>
      <xdr:rowOff>0</xdr:rowOff>
    </xdr:from>
    <xdr:to>
      <xdr:col>30</xdr:col>
      <xdr:colOff>533400</xdr:colOff>
      <xdr:row>14</xdr:row>
      <xdr:rowOff>100693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761636</xdr:colOff>
      <xdr:row>39</xdr:row>
      <xdr:rowOff>125366</xdr:rowOff>
    </xdr:from>
    <xdr:to>
      <xdr:col>48</xdr:col>
      <xdr:colOff>45720</xdr:colOff>
      <xdr:row>52</xdr:row>
      <xdr:rowOff>15239</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11973</xdr:colOff>
      <xdr:row>53</xdr:row>
      <xdr:rowOff>30480</xdr:rowOff>
    </xdr:from>
    <xdr:to>
      <xdr:col>47</xdr:col>
      <xdr:colOff>746760</xdr:colOff>
      <xdr:row>69</xdr:row>
      <xdr:rowOff>106680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783770</xdr:colOff>
      <xdr:row>70</xdr:row>
      <xdr:rowOff>380456</xdr:rowOff>
    </xdr:from>
    <xdr:to>
      <xdr:col>47</xdr:col>
      <xdr:colOff>701040</xdr:colOff>
      <xdr:row>83</xdr:row>
      <xdr:rowOff>15240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776754</xdr:colOff>
      <xdr:row>84</xdr:row>
      <xdr:rowOff>72451</xdr:rowOff>
    </xdr:from>
    <xdr:to>
      <xdr:col>47</xdr:col>
      <xdr:colOff>624840</xdr:colOff>
      <xdr:row>95</xdr:row>
      <xdr:rowOff>413658</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1486565</xdr:colOff>
      <xdr:row>107</xdr:row>
      <xdr:rowOff>35982</xdr:rowOff>
    </xdr:from>
    <xdr:to>
      <xdr:col>10</xdr:col>
      <xdr:colOff>68580</xdr:colOff>
      <xdr:row>129</xdr:row>
      <xdr:rowOff>99060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56362</xdr:colOff>
      <xdr:row>15</xdr:row>
      <xdr:rowOff>85756</xdr:rowOff>
    </xdr:from>
    <xdr:to>
      <xdr:col>47</xdr:col>
      <xdr:colOff>459134</xdr:colOff>
      <xdr:row>39</xdr:row>
      <xdr:rowOff>137645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11125</xdr:colOff>
      <xdr:row>96</xdr:row>
      <xdr:rowOff>385474</xdr:rowOff>
    </xdr:from>
    <xdr:to>
      <xdr:col>47</xdr:col>
      <xdr:colOff>670560</xdr:colOff>
      <xdr:row>109</xdr:row>
      <xdr:rowOff>60960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905690</xdr:colOff>
      <xdr:row>39</xdr:row>
      <xdr:rowOff>105586</xdr:rowOff>
    </xdr:from>
    <xdr:to>
      <xdr:col>8</xdr:col>
      <xdr:colOff>2299063</xdr:colOff>
      <xdr:row>71</xdr:row>
      <xdr:rowOff>396240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108856</xdr:colOff>
      <xdr:row>47</xdr:row>
      <xdr:rowOff>360316</xdr:rowOff>
    </xdr:from>
    <xdr:to>
      <xdr:col>33</xdr:col>
      <xdr:colOff>533399</xdr:colOff>
      <xdr:row>70</xdr:row>
      <xdr:rowOff>350519</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77288</xdr:colOff>
      <xdr:row>70</xdr:row>
      <xdr:rowOff>402228</xdr:rowOff>
    </xdr:from>
    <xdr:to>
      <xdr:col>17</xdr:col>
      <xdr:colOff>175260</xdr:colOff>
      <xdr:row>81</xdr:row>
      <xdr:rowOff>388620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69122</xdr:colOff>
      <xdr:row>82</xdr:row>
      <xdr:rowOff>480604</xdr:rowOff>
    </xdr:from>
    <xdr:to>
      <xdr:col>17</xdr:col>
      <xdr:colOff>171449</xdr:colOff>
      <xdr:row>94</xdr:row>
      <xdr:rowOff>606332</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164374</xdr:colOff>
      <xdr:row>95</xdr:row>
      <xdr:rowOff>378277</xdr:rowOff>
    </xdr:from>
    <xdr:to>
      <xdr:col>17</xdr:col>
      <xdr:colOff>358140</xdr:colOff>
      <xdr:row>108</xdr:row>
      <xdr:rowOff>118110</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891540</xdr:colOff>
      <xdr:row>12</xdr:row>
      <xdr:rowOff>129540</xdr:rowOff>
    </xdr:from>
    <xdr:to>
      <xdr:col>14</xdr:col>
      <xdr:colOff>1470660</xdr:colOff>
      <xdr:row>39</xdr:row>
      <xdr:rowOff>76200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114300</xdr:colOff>
      <xdr:row>53</xdr:row>
      <xdr:rowOff>179070</xdr:rowOff>
    </xdr:from>
    <xdr:to>
      <xdr:col>17</xdr:col>
      <xdr:colOff>44634</xdr:colOff>
      <xdr:row>70</xdr:row>
      <xdr:rowOff>171994</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133350</xdr:colOff>
      <xdr:row>17</xdr:row>
      <xdr:rowOff>123824</xdr:rowOff>
    </xdr:from>
    <xdr:to>
      <xdr:col>32</xdr:col>
      <xdr:colOff>0</xdr:colOff>
      <xdr:row>41</xdr:row>
      <xdr:rowOff>323849</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902968</xdr:colOff>
      <xdr:row>13</xdr:row>
      <xdr:rowOff>57150</xdr:rowOff>
    </xdr:from>
    <xdr:to>
      <xdr:col>23</xdr:col>
      <xdr:colOff>158114</xdr:colOff>
      <xdr:row>36</xdr:row>
      <xdr:rowOff>579120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514984</xdr:colOff>
      <xdr:row>0</xdr:row>
      <xdr:rowOff>169227</xdr:rowOff>
    </xdr:from>
    <xdr:to>
      <xdr:col>31</xdr:col>
      <xdr:colOff>448309</xdr:colOff>
      <xdr:row>8</xdr:row>
      <xdr:rowOff>316230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670560</xdr:colOff>
      <xdr:row>27</xdr:row>
      <xdr:rowOff>113348</xdr:rowOff>
    </xdr:from>
    <xdr:to>
      <xdr:col>56</xdr:col>
      <xdr:colOff>350520</xdr:colOff>
      <xdr:row>36</xdr:row>
      <xdr:rowOff>640080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661670</xdr:colOff>
      <xdr:row>37</xdr:row>
      <xdr:rowOff>106680</xdr:rowOff>
    </xdr:from>
    <xdr:to>
      <xdr:col>56</xdr:col>
      <xdr:colOff>441960</xdr:colOff>
      <xdr:row>45</xdr:row>
      <xdr:rowOff>289559</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3808</xdr:colOff>
      <xdr:row>45</xdr:row>
      <xdr:rowOff>660082</xdr:rowOff>
    </xdr:from>
    <xdr:to>
      <xdr:col>56</xdr:col>
      <xdr:colOff>396239</xdr:colOff>
      <xdr:row>56</xdr:row>
      <xdr:rowOff>106680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308609</xdr:colOff>
      <xdr:row>68</xdr:row>
      <xdr:rowOff>149543</xdr:rowOff>
    </xdr:from>
    <xdr:to>
      <xdr:col>56</xdr:col>
      <xdr:colOff>0</xdr:colOff>
      <xdr:row>78</xdr:row>
      <xdr:rowOff>487681</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361949</xdr:colOff>
      <xdr:row>80</xdr:row>
      <xdr:rowOff>41593</xdr:rowOff>
    </xdr:from>
    <xdr:to>
      <xdr:col>63</xdr:col>
      <xdr:colOff>72389</xdr:colOff>
      <xdr:row>90</xdr:row>
      <xdr:rowOff>249238</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387984</xdr:colOff>
      <xdr:row>93</xdr:row>
      <xdr:rowOff>167958</xdr:rowOff>
    </xdr:from>
    <xdr:to>
      <xdr:col>40</xdr:col>
      <xdr:colOff>579120</xdr:colOff>
      <xdr:row>114</xdr:row>
      <xdr:rowOff>76200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548640</xdr:colOff>
      <xdr:row>28</xdr:row>
      <xdr:rowOff>99060</xdr:rowOff>
    </xdr:from>
    <xdr:to>
      <xdr:col>41</xdr:col>
      <xdr:colOff>243840</xdr:colOff>
      <xdr:row>37</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487680</xdr:colOff>
      <xdr:row>37</xdr:row>
      <xdr:rowOff>182880</xdr:rowOff>
    </xdr:from>
    <xdr:to>
      <xdr:col>41</xdr:col>
      <xdr:colOff>304800</xdr:colOff>
      <xdr:row>45</xdr:row>
      <xdr:rowOff>182880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499110</xdr:colOff>
      <xdr:row>45</xdr:row>
      <xdr:rowOff>339090</xdr:rowOff>
    </xdr:from>
    <xdr:to>
      <xdr:col>41</xdr:col>
      <xdr:colOff>171450</xdr:colOff>
      <xdr:row>54</xdr:row>
      <xdr:rowOff>224790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609600</xdr:colOff>
      <xdr:row>67</xdr:row>
      <xdr:rowOff>316230</xdr:rowOff>
    </xdr:from>
    <xdr:to>
      <xdr:col>40</xdr:col>
      <xdr:colOff>723900</xdr:colOff>
      <xdr:row>79</xdr:row>
      <xdr:rowOff>95250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613410</xdr:colOff>
      <xdr:row>13</xdr:row>
      <xdr:rowOff>26670</xdr:rowOff>
    </xdr:from>
    <xdr:to>
      <xdr:col>12</xdr:col>
      <xdr:colOff>598170</xdr:colOff>
      <xdr:row>36</xdr:row>
      <xdr:rowOff>621030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548640</xdr:colOff>
      <xdr:row>9</xdr:row>
      <xdr:rowOff>312420</xdr:rowOff>
    </xdr:from>
    <xdr:to>
      <xdr:col>39</xdr:col>
      <xdr:colOff>45720</xdr:colOff>
      <xdr:row>27</xdr:row>
      <xdr:rowOff>167640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499110</xdr:colOff>
      <xdr:row>54</xdr:row>
      <xdr:rowOff>346710</xdr:rowOff>
    </xdr:from>
    <xdr:to>
      <xdr:col>41</xdr:col>
      <xdr:colOff>3810</xdr:colOff>
      <xdr:row>66</xdr:row>
      <xdr:rowOff>167640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441960</xdr:colOff>
      <xdr:row>81</xdr:row>
      <xdr:rowOff>91440</xdr:rowOff>
    </xdr:from>
    <xdr:to>
      <xdr:col>40</xdr:col>
      <xdr:colOff>121920</xdr:colOff>
      <xdr:row>92</xdr:row>
      <xdr:rowOff>243840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781050</xdr:colOff>
      <xdr:row>13</xdr:row>
      <xdr:rowOff>140970</xdr:rowOff>
    </xdr:from>
    <xdr:to>
      <xdr:col>5</xdr:col>
      <xdr:colOff>251460</xdr:colOff>
      <xdr:row>41</xdr:row>
      <xdr:rowOff>38100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706120</xdr:colOff>
      <xdr:row>2</xdr:row>
      <xdr:rowOff>36830</xdr:rowOff>
    </xdr:from>
    <xdr:to>
      <xdr:col>44</xdr:col>
      <xdr:colOff>591820</xdr:colOff>
      <xdr:row>11</xdr:row>
      <xdr:rowOff>142240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784860</xdr:colOff>
      <xdr:row>15</xdr:row>
      <xdr:rowOff>171450</xdr:rowOff>
    </xdr:from>
    <xdr:to>
      <xdr:col>44</xdr:col>
      <xdr:colOff>167640</xdr:colOff>
      <xdr:row>42</xdr:row>
      <xdr:rowOff>114300</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421640</xdr:colOff>
      <xdr:row>45</xdr:row>
      <xdr:rowOff>425450</xdr:rowOff>
    </xdr:from>
    <xdr:to>
      <xdr:col>38</xdr:col>
      <xdr:colOff>312420</xdr:colOff>
      <xdr:row>55</xdr:row>
      <xdr:rowOff>50800</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459740</xdr:colOff>
      <xdr:row>55</xdr:row>
      <xdr:rowOff>417830</xdr:rowOff>
    </xdr:from>
    <xdr:to>
      <xdr:col>40</xdr:col>
      <xdr:colOff>596900</xdr:colOff>
      <xdr:row>68</xdr:row>
      <xdr:rowOff>106680</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523240</xdr:colOff>
      <xdr:row>69</xdr:row>
      <xdr:rowOff>102870</xdr:rowOff>
    </xdr:from>
    <xdr:to>
      <xdr:col>45</xdr:col>
      <xdr:colOff>147320</xdr:colOff>
      <xdr:row>77</xdr:row>
      <xdr:rowOff>182880</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538480</xdr:colOff>
      <xdr:row>78</xdr:row>
      <xdr:rowOff>76200</xdr:rowOff>
    </xdr:from>
    <xdr:to>
      <xdr:col>45</xdr:col>
      <xdr:colOff>149860</xdr:colOff>
      <xdr:row>90</xdr:row>
      <xdr:rowOff>5080</xdr:rowOff>
    </xdr:to>
    <xdr:graphicFrame macro="">
      <xdr:nvGraphicFramePr>
        <xdr:cNvPr id="24" name="Gráfico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553720</xdr:colOff>
      <xdr:row>91</xdr:row>
      <xdr:rowOff>26670</xdr:rowOff>
    </xdr:from>
    <xdr:to>
      <xdr:col>45</xdr:col>
      <xdr:colOff>45720</xdr:colOff>
      <xdr:row>101</xdr:row>
      <xdr:rowOff>5080</xdr:rowOff>
    </xdr:to>
    <xdr:graphicFrame macro="">
      <xdr:nvGraphicFramePr>
        <xdr:cNvPr id="25" name="Gráfico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3611880</xdr:colOff>
      <xdr:row>113</xdr:row>
      <xdr:rowOff>166370</xdr:rowOff>
    </xdr:from>
    <xdr:to>
      <xdr:col>10</xdr:col>
      <xdr:colOff>360680</xdr:colOff>
      <xdr:row>133</xdr:row>
      <xdr:rowOff>30480</xdr:rowOff>
    </xdr:to>
    <xdr:graphicFrame macro="">
      <xdr:nvGraphicFramePr>
        <xdr:cNvPr id="26" name="Gráfico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1619250</xdr:colOff>
      <xdr:row>45</xdr:row>
      <xdr:rowOff>266700</xdr:rowOff>
    </xdr:from>
    <xdr:to>
      <xdr:col>22</xdr:col>
      <xdr:colOff>798830</xdr:colOff>
      <xdr:row>55</xdr:row>
      <xdr:rowOff>231140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1551940</xdr:colOff>
      <xdr:row>68</xdr:row>
      <xdr:rowOff>115570</xdr:rowOff>
    </xdr:from>
    <xdr:to>
      <xdr:col>23</xdr:col>
      <xdr:colOff>419100</xdr:colOff>
      <xdr:row>81</xdr:row>
      <xdr:rowOff>57150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1557020</xdr:colOff>
      <xdr:row>81</xdr:row>
      <xdr:rowOff>533400</xdr:rowOff>
    </xdr:from>
    <xdr:to>
      <xdr:col>23</xdr:col>
      <xdr:colOff>304800</xdr:colOff>
      <xdr:row>93</xdr:row>
      <xdr:rowOff>735330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1672590</xdr:colOff>
      <xdr:row>94</xdr:row>
      <xdr:rowOff>322580</xdr:rowOff>
    </xdr:from>
    <xdr:to>
      <xdr:col>23</xdr:col>
      <xdr:colOff>544830</xdr:colOff>
      <xdr:row>105</xdr:row>
      <xdr:rowOff>26670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1722120</xdr:colOff>
      <xdr:row>16</xdr:row>
      <xdr:rowOff>48260</xdr:rowOff>
    </xdr:from>
    <xdr:to>
      <xdr:col>22</xdr:col>
      <xdr:colOff>492760</xdr:colOff>
      <xdr:row>45</xdr:row>
      <xdr:rowOff>182880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1158240</xdr:colOff>
      <xdr:row>14</xdr:row>
      <xdr:rowOff>175260</xdr:rowOff>
    </xdr:from>
    <xdr:to>
      <xdr:col>13</xdr:col>
      <xdr:colOff>1264920</xdr:colOff>
      <xdr:row>45</xdr:row>
      <xdr:rowOff>701040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1428750</xdr:colOff>
      <xdr:row>46</xdr:row>
      <xdr:rowOff>232410</xdr:rowOff>
    </xdr:from>
    <xdr:to>
      <xdr:col>11</xdr:col>
      <xdr:colOff>171450</xdr:colOff>
      <xdr:row>55</xdr:row>
      <xdr:rowOff>514350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1722120</xdr:colOff>
      <xdr:row>55</xdr:row>
      <xdr:rowOff>499110</xdr:rowOff>
    </xdr:from>
    <xdr:to>
      <xdr:col>23</xdr:col>
      <xdr:colOff>119380</xdr:colOff>
      <xdr:row>65</xdr:row>
      <xdr:rowOff>93980</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419100</xdr:colOff>
      <xdr:row>12</xdr:row>
      <xdr:rowOff>19050</xdr:rowOff>
    </xdr:from>
    <xdr:to>
      <xdr:col>5</xdr:col>
      <xdr:colOff>825500</xdr:colOff>
      <xdr:row>39</xdr:row>
      <xdr:rowOff>101600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107950</xdr:colOff>
      <xdr:row>1</xdr:row>
      <xdr:rowOff>48260</xdr:rowOff>
    </xdr:from>
    <xdr:to>
      <xdr:col>35</xdr:col>
      <xdr:colOff>698500</xdr:colOff>
      <xdr:row>12</xdr:row>
      <xdr:rowOff>54610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843280</xdr:colOff>
      <xdr:row>105</xdr:row>
      <xdr:rowOff>12700</xdr:rowOff>
    </xdr:from>
    <xdr:to>
      <xdr:col>10</xdr:col>
      <xdr:colOff>419100</xdr:colOff>
      <xdr:row>120</xdr:row>
      <xdr:rowOff>121920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744220</xdr:colOff>
      <xdr:row>21</xdr:row>
      <xdr:rowOff>139700</xdr:rowOff>
    </xdr:from>
    <xdr:to>
      <xdr:col>47</xdr:col>
      <xdr:colOff>217170</xdr:colOff>
      <xdr:row>42</xdr:row>
      <xdr:rowOff>154940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76200</xdr:colOff>
      <xdr:row>44</xdr:row>
      <xdr:rowOff>105410</xdr:rowOff>
    </xdr:from>
    <xdr:to>
      <xdr:col>48</xdr:col>
      <xdr:colOff>449580</xdr:colOff>
      <xdr:row>56</xdr:row>
      <xdr:rowOff>180340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55880</xdr:colOff>
      <xdr:row>57</xdr:row>
      <xdr:rowOff>224790</xdr:rowOff>
    </xdr:from>
    <xdr:to>
      <xdr:col>53</xdr:col>
      <xdr:colOff>340360</xdr:colOff>
      <xdr:row>68</xdr:row>
      <xdr:rowOff>35560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190500</xdr:colOff>
      <xdr:row>68</xdr:row>
      <xdr:rowOff>400050</xdr:rowOff>
    </xdr:from>
    <xdr:to>
      <xdr:col>49</xdr:col>
      <xdr:colOff>5080</xdr:colOff>
      <xdr:row>77</xdr:row>
      <xdr:rowOff>279400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2614930</xdr:colOff>
      <xdr:row>12</xdr:row>
      <xdr:rowOff>48260</xdr:rowOff>
    </xdr:from>
    <xdr:to>
      <xdr:col>22</xdr:col>
      <xdr:colOff>247650</xdr:colOff>
      <xdr:row>37</xdr:row>
      <xdr:rowOff>95250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2796540</xdr:colOff>
      <xdr:row>38</xdr:row>
      <xdr:rowOff>177800</xdr:rowOff>
    </xdr:from>
    <xdr:to>
      <xdr:col>22</xdr:col>
      <xdr:colOff>304800</xdr:colOff>
      <xdr:row>55</xdr:row>
      <xdr:rowOff>228600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2806700</xdr:colOff>
      <xdr:row>78</xdr:row>
      <xdr:rowOff>568960</xdr:rowOff>
    </xdr:from>
    <xdr:to>
      <xdr:col>22</xdr:col>
      <xdr:colOff>762000</xdr:colOff>
      <xdr:row>90</xdr:row>
      <xdr:rowOff>361950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2821940</xdr:colOff>
      <xdr:row>66</xdr:row>
      <xdr:rowOff>26670</xdr:rowOff>
    </xdr:from>
    <xdr:to>
      <xdr:col>23</xdr:col>
      <xdr:colOff>792480</xdr:colOff>
      <xdr:row>78</xdr:row>
      <xdr:rowOff>217170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1767840</xdr:colOff>
      <xdr:row>11</xdr:row>
      <xdr:rowOff>83820</xdr:rowOff>
    </xdr:from>
    <xdr:to>
      <xdr:col>12</xdr:col>
      <xdr:colOff>167640</xdr:colOff>
      <xdr:row>46</xdr:row>
      <xdr:rowOff>30480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2731770</xdr:colOff>
      <xdr:row>90</xdr:row>
      <xdr:rowOff>773430</xdr:rowOff>
    </xdr:from>
    <xdr:to>
      <xdr:col>24</xdr:col>
      <xdr:colOff>262890</xdr:colOff>
      <xdr:row>105</xdr:row>
      <xdr:rowOff>83820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32</xdr:col>
      <xdr:colOff>0</xdr:colOff>
      <xdr:row>79</xdr:row>
      <xdr:rowOff>281940</xdr:rowOff>
    </xdr:from>
    <xdr:to>
      <xdr:col>49</xdr:col>
      <xdr:colOff>487680</xdr:colOff>
      <xdr:row>93</xdr:row>
      <xdr:rowOff>289560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2781300</xdr:colOff>
      <xdr:row>55</xdr:row>
      <xdr:rowOff>381000</xdr:rowOff>
    </xdr:from>
    <xdr:to>
      <xdr:col>23</xdr:col>
      <xdr:colOff>788670</xdr:colOff>
      <xdr:row>65</xdr:row>
      <xdr:rowOff>3810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266700</xdr:colOff>
      <xdr:row>8</xdr:row>
      <xdr:rowOff>57150</xdr:rowOff>
    </xdr:from>
    <xdr:to>
      <xdr:col>5</xdr:col>
      <xdr:colOff>2152650</xdr:colOff>
      <xdr:row>38</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96520</xdr:colOff>
      <xdr:row>1</xdr:row>
      <xdr:rowOff>128270</xdr:rowOff>
    </xdr:from>
    <xdr:to>
      <xdr:col>28</xdr:col>
      <xdr:colOff>774700</xdr:colOff>
      <xdr:row>17</xdr:row>
      <xdr:rowOff>157480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2941320</xdr:colOff>
      <xdr:row>56</xdr:row>
      <xdr:rowOff>171450</xdr:rowOff>
    </xdr:from>
    <xdr:to>
      <xdr:col>12</xdr:col>
      <xdr:colOff>190500</xdr:colOff>
      <xdr:row>69</xdr:row>
      <xdr:rowOff>57150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444500</xdr:colOff>
      <xdr:row>20</xdr:row>
      <xdr:rowOff>41910</xdr:rowOff>
    </xdr:from>
    <xdr:to>
      <xdr:col>48</xdr:col>
      <xdr:colOff>5080</xdr:colOff>
      <xdr:row>42</xdr:row>
      <xdr:rowOff>57150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429260</xdr:colOff>
      <xdr:row>42</xdr:row>
      <xdr:rowOff>689610</xdr:rowOff>
    </xdr:from>
    <xdr:to>
      <xdr:col>29</xdr:col>
      <xdr:colOff>706120</xdr:colOff>
      <xdr:row>53</xdr:row>
      <xdr:rowOff>304800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472440</xdr:colOff>
      <xdr:row>20</xdr:row>
      <xdr:rowOff>26670</xdr:rowOff>
    </xdr:from>
    <xdr:to>
      <xdr:col>29</xdr:col>
      <xdr:colOff>579120</xdr:colOff>
      <xdr:row>41</xdr:row>
      <xdr:rowOff>588010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726440</xdr:colOff>
      <xdr:row>42</xdr:row>
      <xdr:rowOff>8890</xdr:rowOff>
    </xdr:from>
    <xdr:to>
      <xdr:col>12</xdr:col>
      <xdr:colOff>1460500</xdr:colOff>
      <xdr:row>51</xdr:row>
      <xdr:rowOff>716280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552450</xdr:colOff>
      <xdr:row>10</xdr:row>
      <xdr:rowOff>91440</xdr:rowOff>
    </xdr:from>
    <xdr:to>
      <xdr:col>14</xdr:col>
      <xdr:colOff>19050</xdr:colOff>
      <xdr:row>41</xdr:row>
      <xdr:rowOff>457200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266700</xdr:colOff>
      <xdr:row>1</xdr:row>
      <xdr:rowOff>47624</xdr:rowOff>
    </xdr:from>
    <xdr:to>
      <xdr:col>35</xdr:col>
      <xdr:colOff>152400</xdr:colOff>
      <xdr:row>18</xdr:row>
      <xdr:rowOff>171450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cart-my.sharepoint.com/personal/centrodeinvestigacion_cartagena_gov_co/Documents/Bases%20de%20datos%20Visores/Seguimiento%20a%20Plan%20de%20Desarrollo/Matriz%20de%20seguimiento%20PDD%202024%20-%202027.%20%20Vigencia%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nformatica/Downloads/Avance%20programas%20pond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idad Humana"/>
      <sheetName val="Vida Digna"/>
      <sheetName val="Desarrollo Economico"/>
      <sheetName val="Ciudad Conectada"/>
      <sheetName val="Innovación Pública"/>
      <sheetName val="Capitulo Etnico"/>
      <sheetName val="PLAN DE DESARROLLO 2024 - 2027"/>
      <sheetName val="SEGUIMIENTO DEL PLAN DE DESARRO"/>
      <sheetName val="CRITERIOS DE EVALUACIÓN"/>
      <sheetName val="GRAFICAS SEGURIDAD HUMANA"/>
      <sheetName val="GRAFICAS VIDA DIGNA "/>
      <sheetName val="GRAFICAS DESARROLLO ECONOMICO"/>
      <sheetName val="GRAFICAS CIUDAD CONECTADA"/>
      <sheetName val="GRAFICAS INNOVACIÓN Y PARTICIPA"/>
      <sheetName val="GRAFICAS CAPITULO ETNICO"/>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4">
          <cell r="K4">
            <v>0.29293663727866731</v>
          </cell>
          <cell r="M4">
            <v>0.24028917333263158</v>
          </cell>
        </row>
        <row r="5">
          <cell r="K5">
            <v>0.43173821655610001</v>
          </cell>
          <cell r="M5">
            <v>0.36421067601552731</v>
          </cell>
        </row>
        <row r="6">
          <cell r="K6">
            <v>0.35</v>
          </cell>
        </row>
        <row r="7">
          <cell r="K7">
            <v>0.66666666666666663</v>
          </cell>
        </row>
        <row r="8">
          <cell r="K8">
            <v>0.25781052722494452</v>
          </cell>
        </row>
        <row r="9">
          <cell r="K9">
            <v>0.625</v>
          </cell>
        </row>
        <row r="10">
          <cell r="K10">
            <v>0.25921388888888885</v>
          </cell>
        </row>
        <row r="11">
          <cell r="K11">
            <v>0.31811397569444444</v>
          </cell>
          <cell r="M11">
            <v>0.24196521875000004</v>
          </cell>
        </row>
        <row r="12">
          <cell r="K12">
            <v>0.47753333333333331</v>
          </cell>
        </row>
        <row r="13">
          <cell r="K13">
            <v>0.33499999999999996</v>
          </cell>
        </row>
        <row r="14">
          <cell r="K14">
            <v>0.27083333333333337</v>
          </cell>
        </row>
        <row r="15">
          <cell r="K15">
            <v>0.22055555555555553</v>
          </cell>
        </row>
        <row r="16">
          <cell r="K16">
            <v>0.30199999999999999</v>
          </cell>
        </row>
        <row r="17">
          <cell r="K17">
            <v>0.24445833333333333</v>
          </cell>
        </row>
        <row r="18">
          <cell r="K18">
            <v>0.31953124999999999</v>
          </cell>
        </row>
        <row r="19">
          <cell r="K19">
            <v>0.375</v>
          </cell>
        </row>
        <row r="20">
          <cell r="K20">
            <v>0.23527151611744229</v>
          </cell>
          <cell r="M20">
            <v>0.2170625911038922</v>
          </cell>
        </row>
        <row r="21">
          <cell r="K21">
            <v>0.26717664873866304</v>
          </cell>
        </row>
        <row r="22">
          <cell r="K22">
            <v>0.21388333333333334</v>
          </cell>
        </row>
        <row r="23">
          <cell r="K23">
            <v>0.15948275862068967</v>
          </cell>
        </row>
        <row r="24">
          <cell r="K24">
            <v>0.26081483989452564</v>
          </cell>
        </row>
        <row r="25">
          <cell r="K25">
            <v>0.27500000000000002</v>
          </cell>
        </row>
        <row r="26">
          <cell r="K26">
            <v>0.26520247826018756</v>
          </cell>
          <cell r="M26">
            <v>0.20558940382884341</v>
          </cell>
        </row>
        <row r="27">
          <cell r="K27">
            <v>0.30297379192497215</v>
          </cell>
        </row>
        <row r="28">
          <cell r="K28">
            <v>0.13789107763615296</v>
          </cell>
        </row>
        <row r="29">
          <cell r="K29">
            <v>0.20291666666666666</v>
          </cell>
        </row>
        <row r="30">
          <cell r="K30">
            <v>0.44583333333333341</v>
          </cell>
        </row>
        <row r="31">
          <cell r="K31">
            <v>0.25</v>
          </cell>
        </row>
        <row r="32">
          <cell r="K32">
            <v>0.25159999999999999</v>
          </cell>
        </row>
        <row r="33">
          <cell r="K33">
            <v>0</v>
          </cell>
        </row>
        <row r="34">
          <cell r="K34">
            <v>0.2143569997651622</v>
          </cell>
          <cell r="M34">
            <v>0.12535549571208945</v>
          </cell>
        </row>
        <row r="35">
          <cell r="K35">
            <v>0.21968750000000001</v>
          </cell>
        </row>
        <row r="36">
          <cell r="K36">
            <v>0.47095833333333337</v>
          </cell>
        </row>
        <row r="37">
          <cell r="K37">
            <v>0.13305328807981076</v>
          </cell>
        </row>
        <row r="38">
          <cell r="K38">
            <v>0</v>
          </cell>
        </row>
        <row r="39">
          <cell r="K39">
            <v>0.20016200657894737</v>
          </cell>
        </row>
        <row r="40">
          <cell r="K40">
            <v>2.3449999999999999E-2</v>
          </cell>
        </row>
        <row r="41">
          <cell r="K41">
            <v>0.32221001221001222</v>
          </cell>
        </row>
        <row r="42">
          <cell r="K42">
            <v>0.25741666666666668</v>
          </cell>
        </row>
        <row r="43">
          <cell r="K43">
            <v>0.33088235294117646</v>
          </cell>
        </row>
        <row r="44">
          <cell r="K44">
            <v>0.15972222222222221</v>
          </cell>
        </row>
        <row r="45">
          <cell r="K45">
            <v>0.24038461538461539</v>
          </cell>
        </row>
        <row r="46">
          <cell r="K46">
            <v>0.28357478219025023</v>
          </cell>
          <cell r="M46">
            <v>0.25251661967012345</v>
          </cell>
        </row>
        <row r="47">
          <cell r="K47">
            <v>0.29578926734134092</v>
          </cell>
          <cell r="M47">
            <v>0.26592582694462413</v>
          </cell>
        </row>
        <row r="48">
          <cell r="K48">
            <v>0.15</v>
          </cell>
        </row>
        <row r="49">
          <cell r="K49">
            <v>0.69047619047619047</v>
          </cell>
        </row>
        <row r="50">
          <cell r="K50">
            <v>0.31760453817784751</v>
          </cell>
        </row>
        <row r="51">
          <cell r="K51">
            <v>0.43130491491989748</v>
          </cell>
        </row>
        <row r="52">
          <cell r="K52">
            <v>0.39682005385712021</v>
          </cell>
        </row>
        <row r="53">
          <cell r="K53">
            <v>0.14352564102564103</v>
          </cell>
        </row>
        <row r="54">
          <cell r="K54">
            <v>0.453101733447002</v>
          </cell>
        </row>
        <row r="55">
          <cell r="K55">
            <v>0.25908045977011496</v>
          </cell>
        </row>
        <row r="57">
          <cell r="K57">
            <v>0.38465732087227411</v>
          </cell>
        </row>
        <row r="58">
          <cell r="K58">
            <v>0.15194704049844235</v>
          </cell>
        </row>
        <row r="59">
          <cell r="K59">
            <v>0.24000359477124183</v>
          </cell>
        </row>
        <row r="60">
          <cell r="K60">
            <v>0.1677138157894737</v>
          </cell>
        </row>
        <row r="61">
          <cell r="K61">
            <v>0.27882352941176475</v>
          </cell>
        </row>
        <row r="62">
          <cell r="K62">
            <v>0</v>
          </cell>
        </row>
        <row r="63">
          <cell r="K63">
            <v>0.66756944444444444</v>
          </cell>
        </row>
        <row r="64">
          <cell r="K64">
            <v>0.22921261370670454</v>
          </cell>
          <cell r="M64">
            <v>0.21558039327044773</v>
          </cell>
        </row>
        <row r="65">
          <cell r="K65">
            <v>0.35563784112011365</v>
          </cell>
        </row>
        <row r="66">
          <cell r="K66">
            <v>0.14152380952380952</v>
          </cell>
        </row>
        <row r="67">
          <cell r="K67">
            <v>0.19047619047619047</v>
          </cell>
        </row>
        <row r="68">
          <cell r="K68">
            <v>0.1746377450980392</v>
          </cell>
          <cell r="M68">
            <v>0.14932529411764706</v>
          </cell>
        </row>
        <row r="69">
          <cell r="K69">
            <v>4.1099999999999998E-2</v>
          </cell>
        </row>
        <row r="70">
          <cell r="K70">
            <v>0.24345098039215687</v>
          </cell>
        </row>
        <row r="71">
          <cell r="K71">
            <v>0.24099999999999999</v>
          </cell>
        </row>
        <row r="72">
          <cell r="K72">
            <v>0.17299999999999999</v>
          </cell>
        </row>
        <row r="73">
          <cell r="K73">
            <v>0.30468955227047623</v>
          </cell>
          <cell r="M73">
            <v>0.25984040977313172</v>
          </cell>
        </row>
        <row r="74">
          <cell r="K74">
            <v>0.20194776135238096</v>
          </cell>
        </row>
        <row r="75">
          <cell r="K75">
            <v>0.45774999999999999</v>
          </cell>
        </row>
        <row r="76">
          <cell r="K76">
            <v>0.30625000000000002</v>
          </cell>
        </row>
        <row r="77">
          <cell r="K77">
            <v>0.27</v>
          </cell>
        </row>
        <row r="78">
          <cell r="K78">
            <v>0.28749999999999998</v>
          </cell>
        </row>
        <row r="79">
          <cell r="K79">
            <v>0</v>
          </cell>
        </row>
        <row r="80">
          <cell r="K80">
            <v>0.32618503263111615</v>
          </cell>
          <cell r="M80">
            <v>0.28962755963439352</v>
          </cell>
        </row>
        <row r="81">
          <cell r="K81">
            <v>0.29583333333333334</v>
          </cell>
        </row>
        <row r="82">
          <cell r="K82">
            <v>0.17125662544169612</v>
          </cell>
        </row>
        <row r="83">
          <cell r="K83">
            <v>0.36161627906976745</v>
          </cell>
        </row>
        <row r="84">
          <cell r="K84">
            <v>0.38292488450604123</v>
          </cell>
        </row>
        <row r="85">
          <cell r="K85">
            <v>0.25970491803278689</v>
          </cell>
        </row>
        <row r="86">
          <cell r="K86">
            <v>0.35400277777777778</v>
          </cell>
        </row>
        <row r="87">
          <cell r="K87">
            <v>0.45795641025641026</v>
          </cell>
        </row>
        <row r="88">
          <cell r="J88">
            <v>0.33997892066194169</v>
          </cell>
          <cell r="K88">
            <v>0.37093448209382435</v>
          </cell>
          <cell r="M88">
            <v>0.26231152970052202</v>
          </cell>
        </row>
        <row r="89">
          <cell r="K89">
            <v>0.36938472000473066</v>
          </cell>
        </row>
        <row r="90">
          <cell r="K90">
            <v>0.26897048611111107</v>
          </cell>
        </row>
        <row r="91">
          <cell r="K91">
            <v>0.47444824016563147</v>
          </cell>
        </row>
        <row r="92">
          <cell r="K92">
            <v>0.27017707911062067</v>
          </cell>
          <cell r="M92">
            <v>0.25050860314981654</v>
          </cell>
        </row>
        <row r="93">
          <cell r="K93">
            <v>0.3783333333333333</v>
          </cell>
          <cell r="M93">
            <v>0.32850000000000001</v>
          </cell>
        </row>
        <row r="94">
          <cell r="K94">
            <v>0.5</v>
          </cell>
        </row>
        <row r="95">
          <cell r="K95">
            <v>0.25666666666666665</v>
          </cell>
        </row>
        <row r="96">
          <cell r="K96">
            <v>0.36955295801526716</v>
          </cell>
          <cell r="M96">
            <v>0.52752194656488549</v>
          </cell>
        </row>
        <row r="97">
          <cell r="K97">
            <v>0.63124999999999998</v>
          </cell>
        </row>
        <row r="98">
          <cell r="K98">
            <v>0.35496183206106868</v>
          </cell>
        </row>
        <row r="99">
          <cell r="K99">
            <v>0.24199999999999999</v>
          </cell>
        </row>
        <row r="100">
          <cell r="K100">
            <v>0.25</v>
          </cell>
        </row>
        <row r="101">
          <cell r="K101">
            <v>0.31219487179487176</v>
          </cell>
        </row>
        <row r="102">
          <cell r="K102">
            <v>0.11370000000000001</v>
          </cell>
        </row>
        <row r="103">
          <cell r="K103">
            <v>0.3775</v>
          </cell>
        </row>
        <row r="104">
          <cell r="K104">
            <v>0.44538461538461538</v>
          </cell>
        </row>
        <row r="105">
          <cell r="K105">
            <v>0.13440625</v>
          </cell>
          <cell r="M105">
            <v>0.1233525</v>
          </cell>
        </row>
        <row r="106">
          <cell r="K106">
            <v>0.185</v>
          </cell>
        </row>
        <row r="107">
          <cell r="K107">
            <v>8.7124999999999994E-2</v>
          </cell>
        </row>
        <row r="108">
          <cell r="K108">
            <v>0.26550000000000001</v>
          </cell>
        </row>
        <row r="109">
          <cell r="K109">
            <v>0</v>
          </cell>
        </row>
        <row r="110">
          <cell r="K110">
            <v>0.16916666666666663</v>
          </cell>
          <cell r="M110">
            <v>0.16375000000000001</v>
          </cell>
        </row>
        <row r="111">
          <cell r="K111">
            <v>0</v>
          </cell>
        </row>
        <row r="112">
          <cell r="K112">
            <v>0</v>
          </cell>
        </row>
        <row r="113">
          <cell r="K113">
            <v>0.51249999999999996</v>
          </cell>
        </row>
        <row r="114">
          <cell r="K114">
            <v>0</v>
          </cell>
        </row>
        <row r="115">
          <cell r="K115">
            <v>0.33333333333333331</v>
          </cell>
        </row>
        <row r="116">
          <cell r="K116">
            <v>0.23817818229753918</v>
          </cell>
          <cell r="M116">
            <v>0.21525263088160634</v>
          </cell>
        </row>
        <row r="117">
          <cell r="K117">
            <v>0.30715959252971137</v>
          </cell>
        </row>
        <row r="118">
          <cell r="K118">
            <v>0.15737495436290616</v>
          </cell>
        </row>
        <row r="119">
          <cell r="K119">
            <v>0.25</v>
          </cell>
        </row>
        <row r="120">
          <cell r="K120">
            <v>0.24676666666666666</v>
          </cell>
          <cell r="M120">
            <v>0.19011249999999999</v>
          </cell>
        </row>
        <row r="121">
          <cell r="K121">
            <v>9.9999999999999992E-2</v>
          </cell>
        </row>
        <row r="122">
          <cell r="K122">
            <v>0.39353333333333335</v>
          </cell>
        </row>
        <row r="123">
          <cell r="K123">
            <v>0.26239975735212717</v>
          </cell>
          <cell r="M123">
            <v>0.20174333228533195</v>
          </cell>
        </row>
        <row r="124">
          <cell r="K124">
            <v>0.27085566891891893</v>
          </cell>
          <cell r="M124">
            <v>0.25944237108108109</v>
          </cell>
        </row>
        <row r="125">
          <cell r="K125">
            <v>0.2578125</v>
          </cell>
        </row>
        <row r="126">
          <cell r="K126">
            <v>0.28389883783783787</v>
          </cell>
        </row>
        <row r="127">
          <cell r="K127">
            <v>0.20083333333333336</v>
          </cell>
          <cell r="M127">
            <v>0.32068750000000001</v>
          </cell>
        </row>
        <row r="128">
          <cell r="K128">
            <v>0.1</v>
          </cell>
        </row>
        <row r="129">
          <cell r="K129">
            <v>0.30166666666666669</v>
          </cell>
        </row>
        <row r="130">
          <cell r="K130">
            <v>0.15049988888888891</v>
          </cell>
          <cell r="M130">
            <v>9.8146749999999991E-2</v>
          </cell>
        </row>
        <row r="131">
          <cell r="K131">
            <v>0.12639999999999998</v>
          </cell>
        </row>
        <row r="132">
          <cell r="K132">
            <v>0.10897444444444444</v>
          </cell>
        </row>
        <row r="133">
          <cell r="K133">
            <v>0.16750000000000001</v>
          </cell>
        </row>
        <row r="134">
          <cell r="K134">
            <v>0.26629166666666665</v>
          </cell>
        </row>
        <row r="135">
          <cell r="K135">
            <v>8.3333333333333329E-2</v>
          </cell>
        </row>
        <row r="136">
          <cell r="K136">
            <v>0.41110360120264539</v>
          </cell>
          <cell r="M136">
            <v>0.3779372351486594</v>
          </cell>
        </row>
        <row r="137">
          <cell r="K137">
            <v>0.32500000000000001</v>
          </cell>
        </row>
        <row r="138">
          <cell r="K138">
            <v>0.3529810606060606</v>
          </cell>
        </row>
        <row r="140">
          <cell r="K140">
            <v>0.42712068965517241</v>
          </cell>
        </row>
        <row r="141">
          <cell r="K141">
            <v>0.14285714285714285</v>
          </cell>
        </row>
        <row r="142">
          <cell r="K142">
            <v>0.63500000000000001</v>
          </cell>
        </row>
        <row r="143">
          <cell r="K143">
            <v>0.16314336734693877</v>
          </cell>
          <cell r="M143">
            <v>9.5123946428571443E-2</v>
          </cell>
        </row>
        <row r="144">
          <cell r="K144">
            <v>9.4430102040816324E-2</v>
          </cell>
        </row>
        <row r="145">
          <cell r="K145">
            <v>0.02</v>
          </cell>
        </row>
        <row r="146">
          <cell r="K146">
            <v>0.375</v>
          </cell>
        </row>
        <row r="147">
          <cell r="K147">
            <v>0.37391919805103979</v>
          </cell>
          <cell r="M147">
            <v>0.1413865782697985</v>
          </cell>
        </row>
        <row r="148">
          <cell r="K148">
            <v>0</v>
          </cell>
        </row>
        <row r="149">
          <cell r="K149">
            <v>0.54581547619047621</v>
          </cell>
        </row>
        <row r="150">
          <cell r="K150">
            <v>0</v>
          </cell>
        </row>
        <row r="151">
          <cell r="K151">
            <v>0.33406220779610435</v>
          </cell>
        </row>
        <row r="152">
          <cell r="K152">
            <v>0.61579910821757866</v>
          </cell>
        </row>
        <row r="153">
          <cell r="K153">
            <v>0.34122708333333335</v>
          </cell>
          <cell r="M153">
            <v>0.24618175</v>
          </cell>
        </row>
        <row r="154">
          <cell r="K154">
            <v>0.18507500000000002</v>
          </cell>
        </row>
        <row r="155">
          <cell r="K155">
            <v>0.60866666666666669</v>
          </cell>
        </row>
        <row r="156">
          <cell r="K156">
            <v>0.434</v>
          </cell>
        </row>
        <row r="157">
          <cell r="K157">
            <v>0.13716666666666669</v>
          </cell>
        </row>
        <row r="158">
          <cell r="K158">
            <v>0</v>
          </cell>
        </row>
        <row r="161">
          <cell r="J161">
            <v>0.21734598565460142</v>
          </cell>
          <cell r="K161">
            <v>0.25845384584399683</v>
          </cell>
          <cell r="M161">
            <v>0.24647581985093744</v>
          </cell>
        </row>
        <row r="162">
          <cell r="J162">
            <v>0.21</v>
          </cell>
          <cell r="K162">
            <v>0.19166666666666665</v>
          </cell>
          <cell r="M162">
            <v>0.208125</v>
          </cell>
        </row>
        <row r="163">
          <cell r="K163">
            <v>2.5000000000000001E-2</v>
          </cell>
        </row>
        <row r="164">
          <cell r="K164">
            <v>0.1875</v>
          </cell>
        </row>
        <row r="165">
          <cell r="K165">
            <v>0.36249999999999999</v>
          </cell>
        </row>
        <row r="166">
          <cell r="K166">
            <v>0.22116069173966579</v>
          </cell>
          <cell r="M166">
            <v>0.23451309458253802</v>
          </cell>
        </row>
        <row r="167">
          <cell r="K167">
            <v>0.44305555555555554</v>
          </cell>
        </row>
        <row r="168">
          <cell r="K168">
            <v>0.25</v>
          </cell>
        </row>
        <row r="169">
          <cell r="K169">
            <v>0.2147249647390691</v>
          </cell>
        </row>
        <row r="170">
          <cell r="K170">
            <v>0.3</v>
          </cell>
        </row>
        <row r="171">
          <cell r="K171">
            <v>0.16666666666666666</v>
          </cell>
        </row>
        <row r="172">
          <cell r="K172">
            <v>0.19500000000000001</v>
          </cell>
        </row>
        <row r="173">
          <cell r="K173">
            <v>0</v>
          </cell>
        </row>
        <row r="174">
          <cell r="K174">
            <v>0.19983834695603492</v>
          </cell>
        </row>
        <row r="175">
          <cell r="K175">
            <v>0.30645929363983626</v>
          </cell>
          <cell r="M175">
            <v>0.32167780464535306</v>
          </cell>
        </row>
        <row r="176">
          <cell r="K176">
            <v>0.36291858727967258</v>
          </cell>
        </row>
        <row r="177">
          <cell r="K177">
            <v>0.25</v>
          </cell>
        </row>
        <row r="178">
          <cell r="K178">
            <v>0.27789168183196844</v>
          </cell>
          <cell r="M178">
            <v>0.30658085759781617</v>
          </cell>
        </row>
        <row r="179">
          <cell r="K179">
            <v>0.3959167424931756</v>
          </cell>
        </row>
        <row r="180">
          <cell r="K180">
            <v>0.25562499999999999</v>
          </cell>
        </row>
        <row r="181">
          <cell r="K181">
            <v>0.27500000000000002</v>
          </cell>
        </row>
        <row r="182">
          <cell r="K182">
            <v>0.19416666666666665</v>
          </cell>
        </row>
        <row r="183">
          <cell r="K183">
            <v>0.26875000000000004</v>
          </cell>
        </row>
        <row r="184">
          <cell r="K184">
            <v>0.20161705435056146</v>
          </cell>
          <cell r="M184">
            <v>0.18265127235728812</v>
          </cell>
        </row>
        <row r="185">
          <cell r="K185">
            <v>0.41443843721447998</v>
          </cell>
        </row>
        <row r="186">
          <cell r="K186">
            <v>0.15999999999999998</v>
          </cell>
        </row>
        <row r="187">
          <cell r="K187">
            <v>0</v>
          </cell>
        </row>
        <row r="188">
          <cell r="K188">
            <v>0.21366666666666667</v>
          </cell>
        </row>
        <row r="189">
          <cell r="K189">
            <v>0.295375</v>
          </cell>
        </row>
        <row r="190">
          <cell r="K190">
            <v>0.12622222222222224</v>
          </cell>
        </row>
        <row r="191">
          <cell r="K191">
            <v>0.25033330230104422</v>
          </cell>
          <cell r="M191">
            <v>0.22981556695992181</v>
          </cell>
        </row>
        <row r="192">
          <cell r="K192">
            <v>0.29666666666666669</v>
          </cell>
        </row>
        <row r="193">
          <cell r="K193">
            <v>0.24052272727272728</v>
          </cell>
        </row>
        <row r="194">
          <cell r="K194">
            <v>0.26828264208909369</v>
          </cell>
        </row>
        <row r="195">
          <cell r="K195">
            <v>0.31111111111111112</v>
          </cell>
        </row>
        <row r="196">
          <cell r="K196">
            <v>0.19791666666666666</v>
          </cell>
        </row>
        <row r="197">
          <cell r="K197">
            <v>0.1875</v>
          </cell>
        </row>
        <row r="198">
          <cell r="K198">
            <v>6.9685846560846545E-2</v>
          </cell>
          <cell r="M198">
            <v>3.4556250000000004E-2</v>
          </cell>
        </row>
        <row r="199">
          <cell r="K199">
            <v>6.974206349206348E-2</v>
          </cell>
          <cell r="M199">
            <v>3.5866666666666672E-2</v>
          </cell>
        </row>
        <row r="200">
          <cell r="K200">
            <v>0.15208333333333332</v>
          </cell>
        </row>
        <row r="201">
          <cell r="K201">
            <v>0</v>
          </cell>
        </row>
        <row r="202">
          <cell r="K202">
            <v>5.7142857142857141E-2</v>
          </cell>
        </row>
        <row r="203">
          <cell r="K203">
            <v>6.9629629629629611E-2</v>
          </cell>
          <cell r="M203">
            <v>3.0624999999999999E-2</v>
          </cell>
        </row>
        <row r="204">
          <cell r="K204">
            <v>0.13888888888888887</v>
          </cell>
        </row>
        <row r="205">
          <cell r="K205">
            <v>0</v>
          </cell>
        </row>
        <row r="206">
          <cell r="K206">
            <v>6.9999999999999993E-2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2">
          <cell r="B2">
            <v>0.35514705882352937</v>
          </cell>
        </row>
        <row r="3">
          <cell r="B3">
            <v>0.39456388039163154</v>
          </cell>
        </row>
        <row r="4">
          <cell r="B4">
            <v>0.78099999999999992</v>
          </cell>
        </row>
        <row r="5">
          <cell r="B5">
            <v>0.14800000000000002</v>
          </cell>
        </row>
        <row r="6">
          <cell r="B6">
            <v>0.24820393974507535</v>
          </cell>
        </row>
        <row r="7">
          <cell r="B7">
            <v>0.14335000000000001</v>
          </cell>
        </row>
        <row r="8">
          <cell r="B8">
            <v>0.151</v>
          </cell>
        </row>
        <row r="9">
          <cell r="B9">
            <v>2.5000000000000001E-2</v>
          </cell>
        </row>
        <row r="10">
          <cell r="B10">
            <v>0</v>
          </cell>
        </row>
        <row r="11">
          <cell r="B11">
            <v>0</v>
          </cell>
        </row>
        <row r="12">
          <cell r="B12">
            <v>7.375000000000001E-2</v>
          </cell>
        </row>
        <row r="13">
          <cell r="B13">
            <v>0.20570526315789472</v>
          </cell>
        </row>
        <row r="14">
          <cell r="B14">
            <v>0.17424999999999999</v>
          </cell>
        </row>
        <row r="15">
          <cell r="B15">
            <v>0.10614285714285715</v>
          </cell>
        </row>
        <row r="16">
          <cell r="B16">
            <v>0.75238095238095237</v>
          </cell>
        </row>
        <row r="17">
          <cell r="B17">
            <v>6.6166666666666665E-2</v>
          </cell>
        </row>
        <row r="18">
          <cell r="B18">
            <v>0.22035277777777779</v>
          </cell>
        </row>
        <row r="19">
          <cell r="B19">
            <v>7.0349999999999996E-3</v>
          </cell>
        </row>
        <row r="20">
          <cell r="B20">
            <v>3.3340000000000002E-2</v>
          </cell>
        </row>
        <row r="21">
          <cell r="B21">
            <v>0.24583333333333335</v>
          </cell>
        </row>
        <row r="22">
          <cell r="B22">
            <v>0.15775</v>
          </cell>
        </row>
        <row r="23">
          <cell r="B23">
            <v>0.13625000000000004</v>
          </cell>
        </row>
        <row r="24">
          <cell r="B24">
            <v>0.38375000000000004</v>
          </cell>
        </row>
        <row r="25">
          <cell r="B25">
            <v>0.33749999999999997</v>
          </cell>
        </row>
        <row r="26">
          <cell r="B26">
            <v>0.47766974358974362</v>
          </cell>
        </row>
        <row r="27">
          <cell r="B27">
            <v>0.40166666666666662</v>
          </cell>
        </row>
        <row r="28">
          <cell r="B28">
            <v>0.19040000000000001</v>
          </cell>
        </row>
        <row r="29">
          <cell r="B29">
            <v>0.146425</v>
          </cell>
        </row>
        <row r="30">
          <cell r="B30">
            <v>0.24750000000000003</v>
          </cell>
        </row>
        <row r="31">
          <cell r="B31">
            <v>0.3129859335038363</v>
          </cell>
        </row>
        <row r="32">
          <cell r="B32">
            <v>0.18148717948717949</v>
          </cell>
        </row>
        <row r="33">
          <cell r="B33">
            <v>0.25094117647058822</v>
          </cell>
        </row>
        <row r="34">
          <cell r="B34">
            <v>0.27500000000000002</v>
          </cell>
        </row>
        <row r="35">
          <cell r="B35">
            <v>0.21</v>
          </cell>
        </row>
        <row r="36">
          <cell r="B36">
            <v>1.1966666666666668</v>
          </cell>
        </row>
        <row r="37">
          <cell r="B37">
            <v>0.36899999999999999</v>
          </cell>
        </row>
        <row r="38">
          <cell r="B38">
            <v>0.26875000000000004</v>
          </cell>
        </row>
        <row r="39">
          <cell r="B39">
            <v>0.01</v>
          </cell>
        </row>
        <row r="40">
          <cell r="B40">
            <v>0.35532727272727277</v>
          </cell>
        </row>
        <row r="41">
          <cell r="B41">
            <v>0.38396946564885492</v>
          </cell>
        </row>
        <row r="42">
          <cell r="B42">
            <v>0.59549999999999992</v>
          </cell>
        </row>
        <row r="43">
          <cell r="B43">
            <v>7.6466666666666683E-2</v>
          </cell>
        </row>
        <row r="44">
          <cell r="B44">
            <v>0.38600000000000001</v>
          </cell>
        </row>
        <row r="45">
          <cell r="B45">
            <v>0.44538461538461538</v>
          </cell>
        </row>
        <row r="46">
          <cell r="B46">
            <v>0.27</v>
          </cell>
        </row>
        <row r="47">
          <cell r="B47">
            <v>0.22916000000000003</v>
          </cell>
        </row>
        <row r="48">
          <cell r="B48">
            <v>0.17574218750000001</v>
          </cell>
        </row>
        <row r="49">
          <cell r="B49">
            <v>0.16666666666666666</v>
          </cell>
        </row>
        <row r="50">
          <cell r="B50">
            <v>0</v>
          </cell>
        </row>
        <row r="51">
          <cell r="B51">
            <v>4.0000000000000008E-2</v>
          </cell>
        </row>
        <row r="52">
          <cell r="B52">
            <v>0.15833333333333333</v>
          </cell>
        </row>
        <row r="53">
          <cell r="B53">
            <v>0.32931501831501825</v>
          </cell>
        </row>
        <row r="54">
          <cell r="B54">
            <v>0.21999999999999997</v>
          </cell>
        </row>
        <row r="56">
          <cell r="B56">
            <v>0.25921388888888885</v>
          </cell>
        </row>
        <row r="57">
          <cell r="B57">
            <v>0.64999999999999991</v>
          </cell>
        </row>
        <row r="58">
          <cell r="B58">
            <v>9.4384999999999997E-2</v>
          </cell>
        </row>
        <row r="59">
          <cell r="B59">
            <v>0.17771416533617174</v>
          </cell>
        </row>
        <row r="60">
          <cell r="B60">
            <v>0.12517636591043887</v>
          </cell>
        </row>
        <row r="61">
          <cell r="B61">
            <v>0.26875000000000004</v>
          </cell>
        </row>
        <row r="62">
          <cell r="B62">
            <v>0.40093061935688268</v>
          </cell>
        </row>
        <row r="63">
          <cell r="B63">
            <v>0.1201949616648412</v>
          </cell>
        </row>
        <row r="64">
          <cell r="B64">
            <v>0.18225927561837454</v>
          </cell>
        </row>
        <row r="65">
          <cell r="B65">
            <v>0</v>
          </cell>
        </row>
        <row r="66">
          <cell r="B66">
            <v>0.34112500000000001</v>
          </cell>
        </row>
        <row r="67">
          <cell r="B67">
            <v>0.60631944444444441</v>
          </cell>
        </row>
        <row r="68">
          <cell r="B68">
            <v>0.3801401869158878</v>
          </cell>
        </row>
        <row r="69">
          <cell r="B69">
            <v>0.2153430793991416</v>
          </cell>
        </row>
        <row r="70">
          <cell r="B70">
            <v>0.10187067756482795</v>
          </cell>
        </row>
        <row r="71">
          <cell r="B71">
            <v>0.19542056074766356</v>
          </cell>
        </row>
        <row r="72">
          <cell r="B72">
            <v>0.35626279069767441</v>
          </cell>
        </row>
        <row r="73">
          <cell r="B73">
            <v>6.3793103448275865E-2</v>
          </cell>
        </row>
        <row r="74">
          <cell r="B74">
            <v>0.2885664090262971</v>
          </cell>
        </row>
        <row r="75">
          <cell r="B75">
            <v>0.25970491803278689</v>
          </cell>
        </row>
        <row r="76">
          <cell r="B76">
            <v>0</v>
          </cell>
        </row>
        <row r="77">
          <cell r="B77">
            <v>0.24230769230769231</v>
          </cell>
        </row>
        <row r="78">
          <cell r="B78">
            <v>0.16944444444444445</v>
          </cell>
        </row>
        <row r="79">
          <cell r="B79">
            <v>0.29583333333333334</v>
          </cell>
        </row>
        <row r="80">
          <cell r="B80">
            <v>6.6666666666666666E-2</v>
          </cell>
        </row>
        <row r="81">
          <cell r="B81">
            <v>0.1875</v>
          </cell>
        </row>
        <row r="82">
          <cell r="B82">
            <v>0</v>
          </cell>
        </row>
        <row r="83">
          <cell r="B83">
            <v>0.32545032067931901</v>
          </cell>
        </row>
        <row r="84">
          <cell r="B84">
            <v>0.26044999999999996</v>
          </cell>
        </row>
        <row r="85">
          <cell r="B85">
            <v>0.10056933333333333</v>
          </cell>
        </row>
        <row r="86">
          <cell r="B86">
            <v>8.3283750000000004E-2</v>
          </cell>
        </row>
        <row r="87">
          <cell r="B87">
            <v>0.8</v>
          </cell>
        </row>
        <row r="88">
          <cell r="B88">
            <v>6.9666666666666668E-2</v>
          </cell>
        </row>
        <row r="89">
          <cell r="B89">
            <v>0</v>
          </cell>
        </row>
        <row r="90">
          <cell r="B90">
            <v>0.25</v>
          </cell>
        </row>
        <row r="91">
          <cell r="B91">
            <v>0.15378125000000001</v>
          </cell>
        </row>
        <row r="92">
          <cell r="B92">
            <v>0.30715959252971137</v>
          </cell>
        </row>
        <row r="93">
          <cell r="B93">
            <v>0</v>
          </cell>
        </row>
        <row r="94">
          <cell r="B94">
            <v>0.15668414473684211</v>
          </cell>
        </row>
        <row r="95">
          <cell r="B95">
            <v>0.28400950000000003</v>
          </cell>
        </row>
        <row r="96">
          <cell r="B96">
            <v>0</v>
          </cell>
        </row>
        <row r="97">
          <cell r="B97">
            <v>0.29315510752688173</v>
          </cell>
        </row>
        <row r="98">
          <cell r="B98">
            <v>0.25802750000000002</v>
          </cell>
        </row>
        <row r="99">
          <cell r="B99">
            <v>0.47346501035196686</v>
          </cell>
        </row>
        <row r="100">
          <cell r="B100">
            <v>0.22135057471264369</v>
          </cell>
        </row>
        <row r="101">
          <cell r="B101">
            <v>0.34100862068965521</v>
          </cell>
        </row>
        <row r="102">
          <cell r="B102">
            <v>0.30189198330677819</v>
          </cell>
        </row>
        <row r="103">
          <cell r="B103">
            <v>0.25</v>
          </cell>
        </row>
        <row r="104">
          <cell r="B104">
            <v>0</v>
          </cell>
        </row>
        <row r="105">
          <cell r="B105">
            <v>0.24345098039215687</v>
          </cell>
        </row>
        <row r="106">
          <cell r="B106">
            <v>0.24099999999999999</v>
          </cell>
        </row>
        <row r="107">
          <cell r="B107">
            <v>0.3775</v>
          </cell>
        </row>
        <row r="108">
          <cell r="B108">
            <v>7.8800000000000009E-2</v>
          </cell>
        </row>
        <row r="109">
          <cell r="B109">
            <v>0.44041666666666668</v>
          </cell>
        </row>
        <row r="110">
          <cell r="B110">
            <v>0.16166666666666668</v>
          </cell>
        </row>
        <row r="111">
          <cell r="B111">
            <v>0.27791111632027071</v>
          </cell>
        </row>
        <row r="112">
          <cell r="B112">
            <v>5.2499999999999998E-2</v>
          </cell>
        </row>
        <row r="113">
          <cell r="B113">
            <v>0.375</v>
          </cell>
        </row>
        <row r="114">
          <cell r="B114">
            <v>0</v>
          </cell>
        </row>
        <row r="115">
          <cell r="B115">
            <v>9.7500000000000003E-2</v>
          </cell>
        </row>
        <row r="116">
          <cell r="B116">
            <v>0.382994593493032</v>
          </cell>
        </row>
        <row r="117">
          <cell r="B117">
            <v>0.14799999999999999</v>
          </cell>
        </row>
        <row r="118">
          <cell r="B118">
            <v>0.20865</v>
          </cell>
        </row>
        <row r="119">
          <cell r="B119">
            <v>0.18272496473906913</v>
          </cell>
        </row>
        <row r="120">
          <cell r="B120">
            <v>0.10250000000000001</v>
          </cell>
        </row>
        <row r="121">
          <cell r="B121">
            <v>0.32500000000000001</v>
          </cell>
        </row>
        <row r="122">
          <cell r="B122">
            <v>0.29333333333333333</v>
          </cell>
        </row>
        <row r="123">
          <cell r="B123">
            <v>0</v>
          </cell>
        </row>
        <row r="124">
          <cell r="B124">
            <v>8.7499999999999991E-3</v>
          </cell>
        </row>
        <row r="125">
          <cell r="B125">
            <v>0.3529713888888889</v>
          </cell>
        </row>
        <row r="126">
          <cell r="B126">
            <v>0.4375</v>
          </cell>
        </row>
        <row r="127">
          <cell r="B127">
            <v>0.23778749999999998</v>
          </cell>
        </row>
        <row r="129">
          <cell r="B129">
            <v>0.14285714285714285</v>
          </cell>
        </row>
        <row r="130">
          <cell r="B130">
            <v>0.79849999999999999</v>
          </cell>
        </row>
        <row r="131">
          <cell r="B131">
            <v>0.31600000000000006</v>
          </cell>
        </row>
        <row r="132">
          <cell r="B132">
            <v>0.20211907027027029</v>
          </cell>
        </row>
        <row r="133">
          <cell r="B133">
            <v>0.375</v>
          </cell>
        </row>
        <row r="134">
          <cell r="B134">
            <v>0.3</v>
          </cell>
        </row>
        <row r="135">
          <cell r="B135">
            <v>0.62548089591567846</v>
          </cell>
        </row>
        <row r="137">
          <cell r="B137">
            <v>0.211759440843759</v>
          </cell>
        </row>
        <row r="138">
          <cell r="B138">
            <v>0.33227499999999999</v>
          </cell>
        </row>
        <row r="139">
          <cell r="B139">
            <v>0.25787869115937234</v>
          </cell>
        </row>
        <row r="140">
          <cell r="B140">
            <v>0.14611666666666664</v>
          </cell>
        </row>
        <row r="141">
          <cell r="B141">
            <v>0.15</v>
          </cell>
        </row>
        <row r="142">
          <cell r="B142">
            <v>0.16513095708879477</v>
          </cell>
        </row>
        <row r="143">
          <cell r="B143">
            <v>0.77499999999999991</v>
          </cell>
        </row>
        <row r="144">
          <cell r="B144">
            <v>0</v>
          </cell>
        </row>
        <row r="145">
          <cell r="B145">
            <v>0.46846678798908098</v>
          </cell>
        </row>
        <row r="146">
          <cell r="B146">
            <v>0</v>
          </cell>
        </row>
        <row r="147">
          <cell r="B147">
            <v>0.1875</v>
          </cell>
        </row>
        <row r="148">
          <cell r="B148">
            <v>0.23404772727272727</v>
          </cell>
        </row>
        <row r="149">
          <cell r="B149">
            <v>0</v>
          </cell>
        </row>
        <row r="150">
          <cell r="B150">
            <v>0.1180532142857143</v>
          </cell>
        </row>
        <row r="151">
          <cell r="B151">
            <v>3.2083333333333332E-2</v>
          </cell>
        </row>
        <row r="152">
          <cell r="B152">
            <v>0.13250000000000001</v>
          </cell>
        </row>
        <row r="153">
          <cell r="B153">
            <v>0.6</v>
          </cell>
        </row>
        <row r="154">
          <cell r="B154">
            <v>0.21249999999999999</v>
          </cell>
        </row>
        <row r="155">
          <cell r="B155">
            <v>0.49849955410878943</v>
          </cell>
        </row>
        <row r="156">
          <cell r="B156">
            <v>0</v>
          </cell>
        </row>
        <row r="157">
          <cell r="B157">
            <v>0.55504000000000009</v>
          </cell>
        </row>
        <row r="158">
          <cell r="B158">
            <v>0.19800000000000001</v>
          </cell>
        </row>
        <row r="159">
          <cell r="B159">
            <v>0.15592630718954248</v>
          </cell>
        </row>
        <row r="160">
          <cell r="B160">
            <v>0.85250000000000004</v>
          </cell>
        </row>
        <row r="161">
          <cell r="B161">
            <v>0.13333333333333333</v>
          </cell>
        </row>
        <row r="162">
          <cell r="B162">
            <v>0.45</v>
          </cell>
        </row>
        <row r="163">
          <cell r="B163">
            <v>4.1099999999999998E-2</v>
          </cell>
        </row>
        <row r="164">
          <cell r="B164">
            <v>0.45714235707833262</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01"/>
  <sheetViews>
    <sheetView zoomScale="30" zoomScaleNormal="30" workbookViewId="0">
      <pane xSplit="3" ySplit="2" topLeftCell="D156" activePane="bottomRight" state="frozen"/>
      <selection activeCell="K14" sqref="K14"/>
      <selection pane="topRight" activeCell="K14" sqref="K14"/>
      <selection pane="bottomLeft" activeCell="K14" sqref="K14"/>
      <selection pane="bottomRight" activeCell="C97" sqref="C97"/>
    </sheetView>
  </sheetViews>
  <sheetFormatPr baseColWidth="10" defaultColWidth="14.44140625" defaultRowHeight="15" customHeight="1" x14ac:dyDescent="0.4"/>
  <cols>
    <col min="1" max="1" width="3.5546875" style="154" customWidth="1"/>
    <col min="2" max="2" width="55.77734375" style="293" customWidth="1"/>
    <col min="3" max="3" width="72.44140625" style="293" customWidth="1"/>
    <col min="4" max="4" width="50" style="154" customWidth="1"/>
    <col min="5" max="5" width="34.77734375" style="293" customWidth="1"/>
    <col min="6" max="6" width="40.44140625" style="293" customWidth="1"/>
    <col min="7" max="7" width="35.88671875" style="293" hidden="1" customWidth="1"/>
    <col min="8" max="8" width="34.77734375" style="293" customWidth="1"/>
    <col min="9" max="9" width="35.88671875" style="293" customWidth="1"/>
    <col min="10" max="10" width="37.33203125" style="293" customWidth="1"/>
    <col min="11" max="12" width="38.88671875" style="293" customWidth="1"/>
    <col min="13" max="13" width="36.6640625" style="293" hidden="1" customWidth="1"/>
    <col min="14" max="15" width="43.33203125" style="293" hidden="1" customWidth="1"/>
    <col min="16" max="16" width="36.21875" style="293" customWidth="1"/>
    <col min="17" max="17" width="33.6640625" style="293" hidden="1" customWidth="1"/>
    <col min="18" max="18" width="35.5546875" style="293" hidden="1" customWidth="1"/>
    <col min="19" max="19" width="37.21875" style="293" hidden="1" customWidth="1"/>
    <col min="20" max="20" width="36.6640625" style="293" hidden="1" customWidth="1"/>
    <col min="21" max="21" width="35.5546875" style="293" customWidth="1"/>
    <col min="22" max="22" width="39.6640625" style="293" customWidth="1"/>
    <col min="23" max="24" width="36.109375" style="293" customWidth="1"/>
    <col min="25" max="26" width="36.33203125" style="293" customWidth="1"/>
    <col min="27" max="27" width="35.109375" style="293" customWidth="1"/>
    <col min="28" max="28" width="36.109375" style="293" customWidth="1"/>
    <col min="29" max="29" width="38.77734375" style="293" hidden="1" customWidth="1"/>
    <col min="30" max="30" width="36.5546875" style="293" hidden="1" customWidth="1"/>
    <col min="31" max="31" width="36.5546875" style="293" customWidth="1"/>
    <col min="32" max="32" width="35.5546875" style="293" hidden="1" customWidth="1"/>
    <col min="33" max="33" width="38.77734375" style="293" hidden="1" customWidth="1"/>
    <col min="34" max="34" width="34.88671875" style="293" hidden="1" customWidth="1"/>
    <col min="35" max="35" width="37.5546875" style="293" customWidth="1"/>
    <col min="36" max="37" width="38.109375" style="293" customWidth="1"/>
    <col min="38" max="39" width="37.109375" style="293" customWidth="1"/>
    <col min="40" max="40" width="39.6640625" style="293" customWidth="1"/>
    <col min="41" max="41" width="54.88671875" style="257" hidden="1" customWidth="1"/>
    <col min="42" max="42" width="54.77734375" style="154" hidden="1" customWidth="1"/>
    <col min="43" max="43" width="42.21875" style="154" hidden="1" customWidth="1"/>
    <col min="44" max="44" width="68.109375" style="154" hidden="1" customWidth="1"/>
    <col min="45" max="45" width="58.5546875" style="154" hidden="1" customWidth="1"/>
    <col min="46" max="46" width="49.21875" style="154" hidden="1" customWidth="1"/>
    <col min="47" max="47" width="47.44140625" style="154" hidden="1" customWidth="1"/>
    <col min="48" max="48" width="60.6640625" style="154" hidden="1" customWidth="1"/>
    <col min="49" max="55" width="10.6640625" style="154" customWidth="1"/>
    <col min="56" max="16384" width="14.44140625" style="154"/>
  </cols>
  <sheetData>
    <row r="1" spans="1:48" ht="21" customHeight="1" thickBot="1" x14ac:dyDescent="0.45">
      <c r="A1" s="394"/>
      <c r="B1" s="291"/>
      <c r="C1" s="291"/>
      <c r="D1" s="395"/>
      <c r="E1" s="411"/>
      <c r="F1" s="411"/>
      <c r="G1" s="291"/>
      <c r="H1" s="291"/>
      <c r="I1" s="291"/>
      <c r="J1" s="291"/>
      <c r="K1" s="291"/>
      <c r="L1" s="291"/>
      <c r="M1" s="291"/>
      <c r="N1" s="291"/>
      <c r="O1" s="291"/>
      <c r="P1" s="412"/>
      <c r="Q1" s="412"/>
      <c r="R1" s="412"/>
      <c r="S1" s="412"/>
      <c r="T1" s="412"/>
      <c r="U1" s="412"/>
      <c r="V1" s="412"/>
      <c r="W1" s="412"/>
      <c r="X1" s="412"/>
      <c r="Y1" s="412"/>
      <c r="Z1" s="412"/>
      <c r="AA1" s="412"/>
      <c r="AB1" s="412"/>
      <c r="AC1" s="481"/>
      <c r="AD1" s="481"/>
      <c r="AE1" s="481"/>
      <c r="AF1" s="291"/>
      <c r="AG1" s="291"/>
      <c r="AH1" s="291"/>
      <c r="AI1" s="291"/>
      <c r="AJ1" s="495"/>
      <c r="AK1" s="495"/>
      <c r="AL1" s="495"/>
      <c r="AM1" s="593"/>
      <c r="AN1" s="593"/>
      <c r="AO1" s="396"/>
      <c r="AP1" s="397"/>
      <c r="AQ1" s="152"/>
      <c r="AR1" s="152"/>
      <c r="AS1" s="152"/>
      <c r="AT1" s="152"/>
      <c r="AU1" s="151"/>
      <c r="AV1" s="152"/>
    </row>
    <row r="2" spans="1:48" ht="223.2" customHeight="1" thickBot="1" x14ac:dyDescent="0.45">
      <c r="A2" s="155"/>
      <c r="B2" s="1529" t="s">
        <v>0</v>
      </c>
      <c r="C2" s="1530"/>
      <c r="D2" s="295" t="s">
        <v>1</v>
      </c>
      <c r="E2" s="296" t="s">
        <v>2</v>
      </c>
      <c r="F2" s="297" t="s">
        <v>3</v>
      </c>
      <c r="G2" s="297" t="s">
        <v>4</v>
      </c>
      <c r="H2" s="297" t="s">
        <v>1873</v>
      </c>
      <c r="I2" s="1009" t="s">
        <v>2527</v>
      </c>
      <c r="J2" s="297" t="s">
        <v>5</v>
      </c>
      <c r="K2" s="297" t="s">
        <v>1874</v>
      </c>
      <c r="L2" s="1009" t="s">
        <v>2526</v>
      </c>
      <c r="M2" s="1015" t="s">
        <v>6</v>
      </c>
      <c r="N2" s="1100" t="s">
        <v>1875</v>
      </c>
      <c r="O2" s="1421" t="s">
        <v>2549</v>
      </c>
      <c r="P2" s="1105" t="s">
        <v>1847</v>
      </c>
      <c r="Q2" s="1017" t="s">
        <v>1876</v>
      </c>
      <c r="R2" s="1017" t="s">
        <v>1878</v>
      </c>
      <c r="S2" s="1017" t="s">
        <v>1877</v>
      </c>
      <c r="T2" s="1017" t="s">
        <v>2431</v>
      </c>
      <c r="U2" s="1017" t="s">
        <v>2473</v>
      </c>
      <c r="V2" s="1017" t="s">
        <v>1879</v>
      </c>
      <c r="W2" s="1422" t="s">
        <v>2529</v>
      </c>
      <c r="X2" s="1009" t="s">
        <v>2528</v>
      </c>
      <c r="Y2" s="1009" t="s">
        <v>2530</v>
      </c>
      <c r="Z2" s="1009" t="s">
        <v>2531</v>
      </c>
      <c r="AA2" s="1018" t="s">
        <v>2532</v>
      </c>
      <c r="AB2" s="1019" t="s">
        <v>2533</v>
      </c>
      <c r="AC2" s="482" t="s">
        <v>7</v>
      </c>
      <c r="AD2" s="1007" t="s">
        <v>2534</v>
      </c>
      <c r="AE2" s="1019" t="s">
        <v>2546</v>
      </c>
      <c r="AF2" s="959" t="s">
        <v>8</v>
      </c>
      <c r="AG2" s="1022" t="s">
        <v>2535</v>
      </c>
      <c r="AH2" s="1421" t="s">
        <v>2547</v>
      </c>
      <c r="AI2" s="1024" t="s">
        <v>1881</v>
      </c>
      <c r="AJ2" s="413" t="s">
        <v>2536</v>
      </c>
      <c r="AK2" s="1423" t="s">
        <v>2539</v>
      </c>
      <c r="AL2" s="1030" t="s">
        <v>2537</v>
      </c>
      <c r="AM2" s="959" t="s">
        <v>2538</v>
      </c>
      <c r="AN2" s="1421" t="s">
        <v>2541</v>
      </c>
      <c r="AO2" s="1031" t="s">
        <v>2474</v>
      </c>
      <c r="AP2" s="533" t="s">
        <v>1882</v>
      </c>
      <c r="AQ2" s="534" t="s">
        <v>2290</v>
      </c>
      <c r="AR2" s="892" t="s">
        <v>2291</v>
      </c>
      <c r="AS2" s="893" t="s">
        <v>2342</v>
      </c>
      <c r="AT2" s="893" t="s">
        <v>2432</v>
      </c>
      <c r="AU2" s="893" t="s">
        <v>1880</v>
      </c>
      <c r="AV2" s="1034" t="s">
        <v>2540</v>
      </c>
    </row>
    <row r="3" spans="1:48" ht="96.6" customHeight="1" thickBot="1" x14ac:dyDescent="0.45">
      <c r="A3" s="264"/>
      <c r="B3" s="1531" t="s">
        <v>1592</v>
      </c>
      <c r="C3" s="1532"/>
      <c r="D3" s="398"/>
      <c r="E3" s="414">
        <v>0.3</v>
      </c>
      <c r="F3" s="415"/>
      <c r="G3" s="416"/>
      <c r="H3" s="416"/>
      <c r="I3" s="1013"/>
      <c r="J3" s="1203">
        <f>+(J4+J31+J91+J130+J171)/5</f>
        <v>0.27144914611233045</v>
      </c>
      <c r="K3" s="1203">
        <f>+(K4+K31+K91+K130+K171)/5</f>
        <v>0.37391117816579211</v>
      </c>
      <c r="L3" s="1203">
        <f>+(L4+L31+L91+L130+L171)/5</f>
        <v>0.27891300774404798</v>
      </c>
      <c r="M3" s="417">
        <f>+(M4+M31+M91+M130+M171)/5</f>
        <v>0.1963447624265218</v>
      </c>
      <c r="N3" s="1104">
        <f>+(N4+N31+N91+N130+N171)/5</f>
        <v>0.2531166550657612</v>
      </c>
      <c r="O3" s="1044"/>
      <c r="P3" s="418"/>
      <c r="Q3" s="418"/>
      <c r="R3" s="418"/>
      <c r="S3" s="418"/>
      <c r="T3" s="418"/>
      <c r="U3" s="418"/>
      <c r="V3" s="418"/>
      <c r="W3" s="418"/>
      <c r="X3" s="425"/>
      <c r="Y3" s="425"/>
      <c r="Z3" s="425"/>
      <c r="AA3" s="425"/>
      <c r="AB3" s="425"/>
      <c r="AC3" s="713">
        <f>+(AC4+AC31+AC91+AC130+AC171)/5</f>
        <v>0.84423613286457644</v>
      </c>
      <c r="AD3" s="713">
        <f>+(AD4+AD31+AD91+AD130+AD171)/5</f>
        <v>0.84734962769466726</v>
      </c>
      <c r="AE3" s="713">
        <f>+(AE4+AE31+AE91+AE130+AE171)/5</f>
        <v>0.19121125187168028</v>
      </c>
      <c r="AF3" s="714">
        <f>+F4+F31+F91+F130+F171</f>
        <v>0.66052564143691994</v>
      </c>
      <c r="AG3" s="715">
        <f>+H4+H31+H91+H130+H171</f>
        <v>0.69622572056095555</v>
      </c>
      <c r="AH3" s="1424">
        <f>+I4+I31+I91+I130+I171</f>
        <v>0.1306055524840726</v>
      </c>
      <c r="AI3" s="1025">
        <f>+(AI4+AI31+AI91+AI130+AI171)/5</f>
        <v>0.25488092957220809</v>
      </c>
      <c r="AJ3" s="825">
        <v>0.52039961510956811</v>
      </c>
      <c r="AK3" s="825">
        <f>+(AK4+AK31+AK91+AK130+AK171)/5</f>
        <v>0.55531722153017071</v>
      </c>
      <c r="AL3" s="716">
        <f>+(AL4+AL31+AL91+AL130+AL171)/5</f>
        <v>0.21296825159703686</v>
      </c>
      <c r="AM3" s="719">
        <f>+(AM4*E4)+(AM31*E31)+(AM91*E91)+(AM130*E130)+(AM171*E171)</f>
        <v>0.47908249879234166</v>
      </c>
      <c r="AN3" s="719">
        <f>+(AN4*E4)+(AN31*E31)+(AN91*E91)+(AN130*E130)+(AN171*E171)</f>
        <v>0.52120742165003209</v>
      </c>
      <c r="AO3" s="594"/>
      <c r="AP3" s="398"/>
      <c r="AQ3" s="398"/>
      <c r="AR3" s="398"/>
      <c r="AS3" s="398"/>
      <c r="AT3" s="952"/>
      <c r="AU3" s="196"/>
      <c r="AV3" s="986"/>
    </row>
    <row r="4" spans="1:48" ht="64.5" customHeight="1" thickBot="1" x14ac:dyDescent="0.45">
      <c r="A4" s="264"/>
      <c r="B4" s="1533" t="s">
        <v>9</v>
      </c>
      <c r="C4" s="1534"/>
      <c r="D4" s="399"/>
      <c r="E4" s="419">
        <v>0.25</v>
      </c>
      <c r="F4" s="420">
        <f>+E4*AF4</f>
        <v>0.13864386792452829</v>
      </c>
      <c r="G4" s="416"/>
      <c r="H4" s="711">
        <f>E4*AG4</f>
        <v>0.1292260512324746</v>
      </c>
      <c r="I4" s="711">
        <f>+AH4*E4</f>
        <v>1.1126173246693578E-2</v>
      </c>
      <c r="J4" s="1043">
        <f>+(J5+J12+J16+J23+J26)/5</f>
        <v>0.40844696306703598</v>
      </c>
      <c r="K4" s="1043">
        <f>+(K5+K12+K16+K23+K26)/5</f>
        <v>0.48443538520711044</v>
      </c>
      <c r="L4" s="421">
        <f>+(L5+L12+L16+L23+L26)/5</f>
        <v>0.24186410221274723</v>
      </c>
      <c r="M4" s="422">
        <f>+(M5+M12+M16+M23+M26)/5</f>
        <v>0.35458117744760276</v>
      </c>
      <c r="N4" s="496">
        <f>+(N5+N12+N16+N23+N26)/5</f>
        <v>0.27871913155614692</v>
      </c>
      <c r="O4" s="1106"/>
      <c r="P4" s="423"/>
      <c r="Q4" s="423"/>
      <c r="R4" s="483"/>
      <c r="S4" s="483"/>
      <c r="T4" s="483"/>
      <c r="U4" s="483"/>
      <c r="V4" s="483"/>
      <c r="W4" s="483"/>
      <c r="X4" s="425"/>
      <c r="Y4" s="425"/>
      <c r="Z4" s="425"/>
      <c r="AA4" s="425"/>
      <c r="AB4" s="425"/>
      <c r="AC4" s="421">
        <f>+(AC5+AC12+AC16+AC23+AC26)/5</f>
        <v>0.82393081761006282</v>
      </c>
      <c r="AD4" s="421">
        <f>+(AD5+AD12+AD16+AD23+AD26)/5</f>
        <v>0.77851983833052174</v>
      </c>
      <c r="AE4" s="421">
        <f>+(AE5+AE12+AE16+AE23+AE26)/5</f>
        <v>0.14600938597354862</v>
      </c>
      <c r="AF4" s="422">
        <f>+AF5+AF12+AF16+AF23+AF26</f>
        <v>0.55457547169811316</v>
      </c>
      <c r="AG4" s="496">
        <f>+AG5+AG12+AG16+AG23+AG26</f>
        <v>0.51690420492989841</v>
      </c>
      <c r="AH4" s="1032">
        <f>+AH5+AH12+AH16+AH23+AH26</f>
        <v>4.4504692986774314E-2</v>
      </c>
      <c r="AI4" s="1026">
        <f>+(AI5+AI12+AI16+AI23+AI26)/5</f>
        <v>0.40033301822466277</v>
      </c>
      <c r="AJ4" s="497">
        <v>0.64063194152581171</v>
      </c>
      <c r="AK4" s="497">
        <f>+(AK5+AK12+AK16+AK23+AK26)/5</f>
        <v>0.65510371930358957</v>
      </c>
      <c r="AL4" s="496">
        <f>+AL5+AL12+AL16+AL23+AL26</f>
        <v>0.34369348640612268</v>
      </c>
      <c r="AM4" s="600">
        <f>+(AM5*E5)+(AM12*E12)+(AM16*E16)+(AM23*E23)+(AM26*E26)</f>
        <v>0.56618942768161484</v>
      </c>
      <c r="AN4" s="600">
        <f>+(AN5*E5)+(AN12*E12)+(AN16*E16)+(AN23*E23)+(AN26*E26)</f>
        <v>0.57576906657050364</v>
      </c>
      <c r="AO4" s="164"/>
      <c r="AP4" s="400"/>
      <c r="AQ4" s="400"/>
      <c r="AR4" s="400"/>
      <c r="AS4" s="400"/>
      <c r="AT4" s="400"/>
      <c r="AU4" s="196"/>
      <c r="AV4" s="152"/>
    </row>
    <row r="5" spans="1:48" ht="123.6" customHeight="1" thickBot="1" x14ac:dyDescent="0.4">
      <c r="A5" s="264"/>
      <c r="B5" s="407" t="s">
        <v>1593</v>
      </c>
      <c r="C5" s="408"/>
      <c r="D5" s="401"/>
      <c r="E5" s="424">
        <v>0.35</v>
      </c>
      <c r="F5" s="425"/>
      <c r="G5" s="425"/>
      <c r="H5" s="425"/>
      <c r="I5" s="425"/>
      <c r="J5" s="426">
        <f>+AVERAGE(J6:J11)</f>
        <v>0.37666666666666665</v>
      </c>
      <c r="K5" s="426">
        <f>+AVERAGE(K6:K11)</f>
        <v>0.38750000000000001</v>
      </c>
      <c r="L5" s="426">
        <f>+AVERAGE(L6:L11)</f>
        <v>0.15625</v>
      </c>
      <c r="M5" s="426">
        <f>+M6+M7+M8+M9+M10+M11</f>
        <v>0.26083333333333331</v>
      </c>
      <c r="N5" s="446">
        <f>+N6+N7+N8+N9+N10+N11</f>
        <v>0.17749999999999999</v>
      </c>
      <c r="O5" s="498"/>
      <c r="P5" s="433"/>
      <c r="Q5" s="433"/>
      <c r="R5" s="433"/>
      <c r="S5" s="433"/>
      <c r="T5" s="433"/>
      <c r="U5" s="433"/>
      <c r="V5" s="433"/>
      <c r="W5" s="433"/>
      <c r="X5" s="425"/>
      <c r="Y5" s="425"/>
      <c r="Z5" s="425"/>
      <c r="AA5" s="425"/>
      <c r="AB5" s="425"/>
      <c r="AC5" s="486">
        <f>+AVERAGE(AC6:AC11)</f>
        <v>0.6</v>
      </c>
      <c r="AD5" s="486">
        <f>+AVERAGE(AD6:AD11)</f>
        <v>0.75</v>
      </c>
      <c r="AE5" s="486">
        <f>+AVERAGE(AE6:AE11)</f>
        <v>0.6</v>
      </c>
      <c r="AF5" s="486">
        <f>+(AF6+AF7+AF8+AF9+AF10+AF11)*E5</f>
        <v>0.17499999999999999</v>
      </c>
      <c r="AG5" s="505">
        <f>+(AG6+AG7+AG8+AG9+AG10+AG11)*E5</f>
        <v>0.1925</v>
      </c>
      <c r="AH5" s="1033">
        <f>+(AH6+AH7+AH8+AH9+AH10+AH11)*E5</f>
        <v>3.15E-2</v>
      </c>
      <c r="AI5" s="1027">
        <f>+AVERAGE(AI6:AI11)</f>
        <v>0.3</v>
      </c>
      <c r="AJ5" s="498">
        <v>0.41</v>
      </c>
      <c r="AK5" s="498">
        <f>+AVERAGE(AK6:AK11)</f>
        <v>0.43249999999999994</v>
      </c>
      <c r="AL5" s="446">
        <f>+(AL6+AL7+AL8+AL9+AL10+AL11)*E5</f>
        <v>0.109375</v>
      </c>
      <c r="AM5" s="498">
        <f>+(AM6+AM7+AM8+AM9+AM10+AM11)</f>
        <v>0.39</v>
      </c>
      <c r="AN5" s="498">
        <f>+(AN6+AN7+AN8+AN9+AN10+AN11)</f>
        <v>0.40312500000000007</v>
      </c>
      <c r="AO5" s="172"/>
      <c r="AP5" s="400"/>
      <c r="AQ5" s="400"/>
      <c r="AR5" s="400"/>
      <c r="AS5" s="400"/>
      <c r="AT5" s="400"/>
      <c r="AU5" s="196"/>
      <c r="AV5" s="196"/>
    </row>
    <row r="6" spans="1:48" ht="101.4" customHeight="1" thickBot="1" x14ac:dyDescent="0.4">
      <c r="A6" s="264"/>
      <c r="B6" s="409" t="s">
        <v>10</v>
      </c>
      <c r="C6" s="409" t="s">
        <v>11</v>
      </c>
      <c r="D6" s="402" t="s">
        <v>1555</v>
      </c>
      <c r="E6" s="310">
        <v>0.25</v>
      </c>
      <c r="F6" s="428">
        <v>3</v>
      </c>
      <c r="G6" s="429">
        <v>1</v>
      </c>
      <c r="H6" s="430"/>
      <c r="I6" s="430">
        <v>0</v>
      </c>
      <c r="J6" s="431">
        <f>+G6/F6</f>
        <v>0.33333333333333331</v>
      </c>
      <c r="K6" s="431"/>
      <c r="L6" s="434"/>
      <c r="M6" s="431">
        <f>+(G6/F6)*E6</f>
        <v>8.3333333333333329E-2</v>
      </c>
      <c r="N6" s="447"/>
      <c r="O6" s="448"/>
      <c r="P6" s="430">
        <v>3</v>
      </c>
      <c r="Q6" s="484">
        <v>0</v>
      </c>
      <c r="R6" s="484"/>
      <c r="S6" s="484"/>
      <c r="T6" s="484">
        <v>0</v>
      </c>
      <c r="U6" s="484">
        <v>0</v>
      </c>
      <c r="V6" s="485">
        <f>+Q6+R6+S6+T6+U6</f>
        <v>0</v>
      </c>
      <c r="W6" s="430">
        <f>+V6+P6+AB6</f>
        <v>3</v>
      </c>
      <c r="X6" s="484">
        <v>0</v>
      </c>
      <c r="Y6" s="430"/>
      <c r="Z6" s="430"/>
      <c r="AA6" s="430"/>
      <c r="AB6" s="430"/>
      <c r="AC6" s="431">
        <v>1</v>
      </c>
      <c r="AD6" s="872"/>
      <c r="AE6" s="872"/>
      <c r="AF6" s="873">
        <f>+AC6*E6</f>
        <v>0.25</v>
      </c>
      <c r="AG6" s="874"/>
      <c r="AH6" s="1425"/>
      <c r="AI6" s="1197">
        <f>+P6/F6</f>
        <v>1</v>
      </c>
      <c r="AJ6" s="1198">
        <v>1</v>
      </c>
      <c r="AK6" s="1198">
        <f>+W6/F6</f>
        <v>1</v>
      </c>
      <c r="AL6" s="502">
        <f>+AI6*E6</f>
        <v>0.25</v>
      </c>
      <c r="AM6" s="503">
        <f>+AJ6*E6</f>
        <v>0.25</v>
      </c>
      <c r="AN6" s="1426">
        <f>+AK6*E6</f>
        <v>0.25</v>
      </c>
      <c r="AO6" s="179" t="s">
        <v>1591</v>
      </c>
      <c r="AP6" s="674" t="s">
        <v>1962</v>
      </c>
      <c r="AQ6" s="572" t="s">
        <v>2264</v>
      </c>
      <c r="AR6" s="680" t="s">
        <v>2286</v>
      </c>
      <c r="AS6" s="680" t="s">
        <v>2401</v>
      </c>
      <c r="AT6" s="680" t="s">
        <v>2434</v>
      </c>
      <c r="AU6" s="680" t="s">
        <v>2487</v>
      </c>
      <c r="AV6" s="680" t="s">
        <v>1893</v>
      </c>
    </row>
    <row r="7" spans="1:48" ht="125.4" customHeight="1" thickBot="1" x14ac:dyDescent="0.4">
      <c r="A7" s="403"/>
      <c r="B7" s="409" t="s">
        <v>13</v>
      </c>
      <c r="C7" s="409" t="s">
        <v>14</v>
      </c>
      <c r="D7" s="402" t="s">
        <v>1558</v>
      </c>
      <c r="E7" s="310">
        <v>0.05</v>
      </c>
      <c r="F7" s="428">
        <v>4</v>
      </c>
      <c r="G7" s="429">
        <v>1</v>
      </c>
      <c r="H7" s="430">
        <v>1</v>
      </c>
      <c r="I7" s="430">
        <v>0.25</v>
      </c>
      <c r="J7" s="431">
        <f>+G7/F7</f>
        <v>0.25</v>
      </c>
      <c r="K7" s="431">
        <f>+H7/F7</f>
        <v>0.25</v>
      </c>
      <c r="L7" s="434">
        <f>+I7/F7</f>
        <v>6.25E-2</v>
      </c>
      <c r="M7" s="431">
        <f>+(G7/F7)*E7</f>
        <v>1.2500000000000001E-2</v>
      </c>
      <c r="N7" s="447">
        <f>+(H7/F7)*E7</f>
        <v>1.2500000000000001E-2</v>
      </c>
      <c r="O7" s="448"/>
      <c r="P7" s="430">
        <v>1</v>
      </c>
      <c r="Q7" s="484">
        <v>1</v>
      </c>
      <c r="R7" s="484">
        <v>0</v>
      </c>
      <c r="S7" s="484">
        <v>0</v>
      </c>
      <c r="T7" s="484">
        <v>0</v>
      </c>
      <c r="U7" s="484">
        <v>0</v>
      </c>
      <c r="V7" s="485">
        <f t="shared" ref="V7:V11" si="0">+Q7+R7+S7+T7+U7</f>
        <v>1</v>
      </c>
      <c r="W7" s="430">
        <f>+V7+P7+AB7</f>
        <v>2.25</v>
      </c>
      <c r="X7" s="484">
        <v>0.25</v>
      </c>
      <c r="Y7" s="430"/>
      <c r="Z7" s="430"/>
      <c r="AA7" s="430"/>
      <c r="AB7" s="430">
        <f>+X7+Y7+Z7+AA7</f>
        <v>0.25</v>
      </c>
      <c r="AC7" s="431">
        <f>+(P7/G7)</f>
        <v>1</v>
      </c>
      <c r="AD7" s="872">
        <f>+V7/H7</f>
        <v>1</v>
      </c>
      <c r="AE7" s="872">
        <f>+AB7/I7</f>
        <v>1</v>
      </c>
      <c r="AF7" s="873">
        <f>+AC7*E7</f>
        <v>0.05</v>
      </c>
      <c r="AG7" s="874">
        <f>+AD7*E7</f>
        <v>0.05</v>
      </c>
      <c r="AH7" s="1035">
        <f>+AE7*E7</f>
        <v>0.05</v>
      </c>
      <c r="AI7" s="1197">
        <f>+P7/F7</f>
        <v>0.25</v>
      </c>
      <c r="AJ7" s="1198">
        <v>0.5</v>
      </c>
      <c r="AK7" s="1198">
        <f>+W7/F7</f>
        <v>0.5625</v>
      </c>
      <c r="AL7" s="502">
        <f>+AI7*E7</f>
        <v>1.2500000000000001E-2</v>
      </c>
      <c r="AM7" s="503">
        <f>+AJ7*E7</f>
        <v>2.5000000000000001E-2</v>
      </c>
      <c r="AN7" s="1426">
        <f>+AK7*E7</f>
        <v>2.8125000000000001E-2</v>
      </c>
      <c r="AO7" s="179" t="s">
        <v>1850</v>
      </c>
      <c r="AP7" s="572" t="s">
        <v>1892</v>
      </c>
      <c r="AQ7" s="572" t="s">
        <v>2264</v>
      </c>
      <c r="AR7" s="680" t="s">
        <v>2286</v>
      </c>
      <c r="AS7" s="680" t="s">
        <v>2401</v>
      </c>
      <c r="AT7" s="680" t="s">
        <v>2434</v>
      </c>
      <c r="AU7" s="1036" t="s">
        <v>2518</v>
      </c>
      <c r="AV7" s="588" t="s">
        <v>2561</v>
      </c>
    </row>
    <row r="8" spans="1:48" ht="101.4" customHeight="1" thickBot="1" x14ac:dyDescent="0.4">
      <c r="A8" s="264"/>
      <c r="B8" s="409" t="s">
        <v>15</v>
      </c>
      <c r="C8" s="409" t="s">
        <v>16</v>
      </c>
      <c r="D8" s="402" t="s">
        <v>12</v>
      </c>
      <c r="E8" s="310">
        <v>0.2</v>
      </c>
      <c r="F8" s="428">
        <v>20</v>
      </c>
      <c r="G8" s="429">
        <v>5</v>
      </c>
      <c r="H8" s="430">
        <v>5</v>
      </c>
      <c r="I8" s="430">
        <v>5</v>
      </c>
      <c r="J8" s="431">
        <f>+G8/F8</f>
        <v>0.25</v>
      </c>
      <c r="K8" s="431">
        <f t="shared" ref="K8:K11" si="1">+H8/F8</f>
        <v>0.25</v>
      </c>
      <c r="L8" s="434">
        <f t="shared" ref="L8:L24" si="2">+I8/F8</f>
        <v>0.25</v>
      </c>
      <c r="M8" s="431">
        <f>+(G8/F8)*E8</f>
        <v>0.05</v>
      </c>
      <c r="N8" s="447">
        <f>+(H8/F8)*E8</f>
        <v>0.05</v>
      </c>
      <c r="O8" s="448"/>
      <c r="P8" s="430">
        <v>5</v>
      </c>
      <c r="Q8" s="484">
        <v>0</v>
      </c>
      <c r="R8" s="484">
        <v>2</v>
      </c>
      <c r="S8" s="484">
        <v>1</v>
      </c>
      <c r="T8" s="484">
        <v>2</v>
      </c>
      <c r="U8" s="484">
        <v>0</v>
      </c>
      <c r="V8" s="485">
        <f t="shared" si="0"/>
        <v>5</v>
      </c>
      <c r="W8" s="430">
        <f t="shared" ref="W8:W10" si="3">+V8+P8+AB8</f>
        <v>11</v>
      </c>
      <c r="X8" s="484">
        <v>1</v>
      </c>
      <c r="Y8" s="430"/>
      <c r="Z8" s="430"/>
      <c r="AA8" s="430"/>
      <c r="AB8" s="430">
        <f t="shared" ref="AB8:AB30" si="4">+X8+Y8+Z8+AA8</f>
        <v>1</v>
      </c>
      <c r="AC8" s="431">
        <f>+(P8/G8)</f>
        <v>1</v>
      </c>
      <c r="AD8" s="872">
        <f>+V8/H8</f>
        <v>1</v>
      </c>
      <c r="AE8" s="872">
        <f t="shared" ref="AE8:AE30" si="5">+AB8/I8</f>
        <v>0.2</v>
      </c>
      <c r="AF8" s="873">
        <f>+AC8*E8</f>
        <v>0.2</v>
      </c>
      <c r="AG8" s="874">
        <f t="shared" ref="AG8" si="6">+AD8*E8</f>
        <v>0.2</v>
      </c>
      <c r="AH8" s="1035">
        <f t="shared" ref="AH8" si="7">+AE8*E8</f>
        <v>4.0000000000000008E-2</v>
      </c>
      <c r="AI8" s="1197">
        <f>+P8/F8</f>
        <v>0.25</v>
      </c>
      <c r="AJ8" s="1198">
        <v>0.5</v>
      </c>
      <c r="AK8" s="1198">
        <f t="shared" ref="AK8:AK9" si="8">+W8/F8</f>
        <v>0.55000000000000004</v>
      </c>
      <c r="AL8" s="502">
        <f>+AI8*E8</f>
        <v>0.05</v>
      </c>
      <c r="AM8" s="503">
        <f>+AJ8*E8</f>
        <v>0.1</v>
      </c>
      <c r="AN8" s="1426">
        <f>+AK8*E8</f>
        <v>0.11000000000000001</v>
      </c>
      <c r="AO8" s="179" t="s">
        <v>1850</v>
      </c>
      <c r="AP8" s="583" t="s">
        <v>1914</v>
      </c>
      <c r="AQ8" s="572" t="s">
        <v>2264</v>
      </c>
      <c r="AR8" s="680" t="s">
        <v>2286</v>
      </c>
      <c r="AS8" s="583" t="s">
        <v>1865</v>
      </c>
      <c r="AT8" s="680" t="s">
        <v>2434</v>
      </c>
      <c r="AU8" s="1037" t="s">
        <v>2487</v>
      </c>
      <c r="AV8" s="588" t="s">
        <v>2561</v>
      </c>
    </row>
    <row r="9" spans="1:48" ht="101.4" customHeight="1" thickBot="1" x14ac:dyDescent="0.4">
      <c r="A9" s="264"/>
      <c r="B9" s="1427" t="s">
        <v>17</v>
      </c>
      <c r="C9" s="1427" t="s">
        <v>18</v>
      </c>
      <c r="D9" s="402" t="s">
        <v>1555</v>
      </c>
      <c r="E9" s="310">
        <v>0.1</v>
      </c>
      <c r="F9" s="428">
        <v>1</v>
      </c>
      <c r="G9" s="429">
        <v>1</v>
      </c>
      <c r="H9" s="430">
        <v>1</v>
      </c>
      <c r="I9" s="430">
        <v>0</v>
      </c>
      <c r="J9" s="431">
        <f>+G9/F9</f>
        <v>1</v>
      </c>
      <c r="K9" s="431">
        <f t="shared" si="1"/>
        <v>1</v>
      </c>
      <c r="L9" s="434"/>
      <c r="M9" s="431">
        <f>+(G9/F9)*E9</f>
        <v>0.1</v>
      </c>
      <c r="N9" s="447">
        <f>+(H9/F9)*E9</f>
        <v>0.1</v>
      </c>
      <c r="O9" s="448"/>
      <c r="P9" s="430">
        <v>0</v>
      </c>
      <c r="Q9" s="484">
        <v>0</v>
      </c>
      <c r="R9" s="484">
        <v>0</v>
      </c>
      <c r="S9" s="484">
        <v>0</v>
      </c>
      <c r="T9" s="484">
        <v>0</v>
      </c>
      <c r="U9" s="484">
        <v>0</v>
      </c>
      <c r="V9" s="485">
        <f t="shared" si="0"/>
        <v>0</v>
      </c>
      <c r="W9" s="430">
        <f t="shared" si="3"/>
        <v>0</v>
      </c>
      <c r="X9" s="484">
        <v>0</v>
      </c>
      <c r="Y9" s="430"/>
      <c r="Z9" s="430"/>
      <c r="AA9" s="430"/>
      <c r="AB9" s="430">
        <f t="shared" si="4"/>
        <v>0</v>
      </c>
      <c r="AC9" s="431">
        <f>+(P9/G9)</f>
        <v>0</v>
      </c>
      <c r="AD9" s="872">
        <f>+V9/H9</f>
        <v>0</v>
      </c>
      <c r="AE9" s="872"/>
      <c r="AF9" s="873">
        <f>+AC9*E9</f>
        <v>0</v>
      </c>
      <c r="AG9" s="874">
        <f>+AD9*E9</f>
        <v>0</v>
      </c>
      <c r="AH9" s="1035"/>
      <c r="AI9" s="1197">
        <f>+P9/F9</f>
        <v>0</v>
      </c>
      <c r="AJ9" s="1198">
        <v>0</v>
      </c>
      <c r="AK9" s="1198">
        <f t="shared" si="8"/>
        <v>0</v>
      </c>
      <c r="AL9" s="502">
        <f>+AI9*E9</f>
        <v>0</v>
      </c>
      <c r="AM9" s="503">
        <f>+AJ9*E9</f>
        <v>0</v>
      </c>
      <c r="AN9" s="1426">
        <f>+AK9*E9</f>
        <v>0</v>
      </c>
      <c r="AO9" s="179" t="s">
        <v>1850</v>
      </c>
      <c r="AP9" s="572" t="s">
        <v>1892</v>
      </c>
      <c r="AQ9" s="572" t="s">
        <v>2264</v>
      </c>
      <c r="AR9" s="680" t="s">
        <v>2286</v>
      </c>
      <c r="AS9" s="680" t="s">
        <v>2401</v>
      </c>
      <c r="AT9" s="400"/>
      <c r="AU9" s="1037" t="s">
        <v>2487</v>
      </c>
      <c r="AV9" s="680" t="s">
        <v>1893</v>
      </c>
    </row>
    <row r="10" spans="1:48" ht="121.2" customHeight="1" thickBot="1" x14ac:dyDescent="0.4">
      <c r="A10" s="264"/>
      <c r="B10" s="1427" t="s">
        <v>19</v>
      </c>
      <c r="C10" s="1427" t="s">
        <v>20</v>
      </c>
      <c r="D10" s="402" t="s">
        <v>12</v>
      </c>
      <c r="E10" s="310">
        <v>0.1</v>
      </c>
      <c r="F10" s="428">
        <v>1</v>
      </c>
      <c r="G10" s="429">
        <v>0</v>
      </c>
      <c r="H10" s="430">
        <v>0</v>
      </c>
      <c r="I10" s="430">
        <v>0</v>
      </c>
      <c r="J10" s="431"/>
      <c r="K10" s="431"/>
      <c r="L10" s="434"/>
      <c r="M10" s="431"/>
      <c r="N10" s="447"/>
      <c r="O10" s="448"/>
      <c r="P10" s="430"/>
      <c r="Q10" s="484"/>
      <c r="R10" s="484"/>
      <c r="S10" s="484"/>
      <c r="T10" s="484"/>
      <c r="U10" s="484"/>
      <c r="V10" s="485">
        <f t="shared" si="0"/>
        <v>0</v>
      </c>
      <c r="W10" s="430">
        <f t="shared" si="3"/>
        <v>0</v>
      </c>
      <c r="X10" s="484"/>
      <c r="Y10" s="430"/>
      <c r="Z10" s="430"/>
      <c r="AA10" s="430"/>
      <c r="AB10" s="430">
        <f t="shared" si="4"/>
        <v>0</v>
      </c>
      <c r="AC10" s="431"/>
      <c r="AD10" s="872"/>
      <c r="AE10" s="872"/>
      <c r="AF10" s="873"/>
      <c r="AG10" s="874">
        <f t="shared" ref="AG10:AG11" si="9">+AD10*E10</f>
        <v>0</v>
      </c>
      <c r="AH10" s="1035"/>
      <c r="AI10" s="1197"/>
      <c r="AJ10" s="1198"/>
      <c r="AK10" s="1198"/>
      <c r="AL10" s="502">
        <v>0</v>
      </c>
      <c r="AM10" s="503">
        <v>0</v>
      </c>
      <c r="AN10" s="1426">
        <v>0</v>
      </c>
      <c r="AO10" s="179" t="s">
        <v>1850</v>
      </c>
      <c r="AP10" s="675" t="s">
        <v>1883</v>
      </c>
      <c r="AQ10" s="572" t="s">
        <v>2264</v>
      </c>
      <c r="AR10" s="680" t="s">
        <v>2286</v>
      </c>
      <c r="AS10" s="870" t="s">
        <v>2399</v>
      </c>
      <c r="AT10" s="680" t="s">
        <v>2434</v>
      </c>
      <c r="AU10" s="1037" t="s">
        <v>2487</v>
      </c>
      <c r="AV10" s="680" t="s">
        <v>1893</v>
      </c>
    </row>
    <row r="11" spans="1:48" ht="162.6" customHeight="1" thickBot="1" x14ac:dyDescent="0.4">
      <c r="A11" s="264"/>
      <c r="B11" s="409" t="s">
        <v>21</v>
      </c>
      <c r="C11" s="409" t="s">
        <v>22</v>
      </c>
      <c r="D11" s="402" t="s">
        <v>1870</v>
      </c>
      <c r="E11" s="310">
        <v>0.3</v>
      </c>
      <c r="F11" s="428">
        <v>40</v>
      </c>
      <c r="G11" s="429">
        <v>2</v>
      </c>
      <c r="H11" s="430">
        <v>2</v>
      </c>
      <c r="I11" s="430">
        <v>0</v>
      </c>
      <c r="J11" s="431">
        <f>+G11/F11</f>
        <v>0.05</v>
      </c>
      <c r="K11" s="431">
        <f t="shared" si="1"/>
        <v>0.05</v>
      </c>
      <c r="L11" s="434"/>
      <c r="M11" s="431">
        <f>+(G11/F11)*E11</f>
        <v>1.4999999999999999E-2</v>
      </c>
      <c r="N11" s="447">
        <f>+(H11/F11)*E11</f>
        <v>1.4999999999999999E-2</v>
      </c>
      <c r="O11" s="453"/>
      <c r="P11" s="430">
        <v>0</v>
      </c>
      <c r="Q11" s="484">
        <v>0</v>
      </c>
      <c r="R11" s="484">
        <v>0</v>
      </c>
      <c r="S11" s="484">
        <v>2</v>
      </c>
      <c r="T11" s="484">
        <v>0</v>
      </c>
      <c r="U11" s="484">
        <v>0</v>
      </c>
      <c r="V11" s="485">
        <f t="shared" si="0"/>
        <v>2</v>
      </c>
      <c r="W11" s="430">
        <f>+V11+P11+AB11</f>
        <v>2</v>
      </c>
      <c r="X11" s="484">
        <v>0</v>
      </c>
      <c r="Y11" s="430"/>
      <c r="Z11" s="430"/>
      <c r="AA11" s="430"/>
      <c r="AB11" s="430">
        <f t="shared" si="4"/>
        <v>0</v>
      </c>
      <c r="AC11" s="431">
        <f>+(P11/G11)</f>
        <v>0</v>
      </c>
      <c r="AD11" s="872">
        <f>+V11/H11</f>
        <v>1</v>
      </c>
      <c r="AE11" s="872"/>
      <c r="AF11" s="873">
        <f>+AC11*E11</f>
        <v>0</v>
      </c>
      <c r="AG11" s="874">
        <f t="shared" si="9"/>
        <v>0.3</v>
      </c>
      <c r="AH11" s="1428"/>
      <c r="AI11" s="1199">
        <f>+P11/F11</f>
        <v>0</v>
      </c>
      <c r="AJ11" s="1429">
        <v>0.05</v>
      </c>
      <c r="AK11" s="1198">
        <f>+W11/F11</f>
        <v>0.05</v>
      </c>
      <c r="AL11" s="502">
        <f>+AI11*E11</f>
        <v>0</v>
      </c>
      <c r="AM11" s="503">
        <f>+AJ11*E11</f>
        <v>1.4999999999999999E-2</v>
      </c>
      <c r="AN11" s="1426">
        <f>+AK11*E11</f>
        <v>1.4999999999999999E-2</v>
      </c>
      <c r="AO11" s="598" t="s">
        <v>1850</v>
      </c>
      <c r="AP11" s="585" t="s">
        <v>1892</v>
      </c>
      <c r="AQ11" s="572" t="s">
        <v>2264</v>
      </c>
      <c r="AR11" s="680" t="s">
        <v>2330</v>
      </c>
      <c r="AS11" s="583" t="s">
        <v>1865</v>
      </c>
      <c r="AT11" s="680" t="s">
        <v>2434</v>
      </c>
      <c r="AU11" s="1037" t="s">
        <v>2487</v>
      </c>
      <c r="AV11" s="602" t="s">
        <v>2560</v>
      </c>
    </row>
    <row r="12" spans="1:48" ht="144" customHeight="1" thickBot="1" x14ac:dyDescent="0.45">
      <c r="A12" s="264"/>
      <c r="B12" s="1535" t="s">
        <v>1594</v>
      </c>
      <c r="C12" s="1534"/>
      <c r="D12" s="402"/>
      <c r="E12" s="432">
        <v>0.15</v>
      </c>
      <c r="F12" s="427"/>
      <c r="G12" s="427"/>
      <c r="H12" s="433"/>
      <c r="I12" s="433"/>
      <c r="J12" s="426">
        <v>0.66600000000000004</v>
      </c>
      <c r="K12" s="426">
        <f>+AVERAGE(K13:K15)</f>
        <v>1</v>
      </c>
      <c r="L12" s="426">
        <f>+AVERAGE(L13:L15)/3</f>
        <v>0.33333333333333331</v>
      </c>
      <c r="M12" s="426">
        <f>+M13+M14+M15</f>
        <v>0.35</v>
      </c>
      <c r="N12" s="426">
        <f>+N13+N14+N15</f>
        <v>0.35</v>
      </c>
      <c r="O12" s="455"/>
      <c r="P12" s="427"/>
      <c r="Q12" s="433"/>
      <c r="R12" s="433"/>
      <c r="S12" s="433"/>
      <c r="T12" s="433"/>
      <c r="U12" s="981"/>
      <c r="V12" s="433"/>
      <c r="W12" s="433"/>
      <c r="X12" s="433"/>
      <c r="Y12" s="433"/>
      <c r="Z12" s="433"/>
      <c r="AA12" s="433"/>
      <c r="AB12" s="433"/>
      <c r="AC12" s="486">
        <f>+AVERAGE(AC13:AC15)</f>
        <v>1</v>
      </c>
      <c r="AD12" s="486">
        <f>+AVERAGE(AD13:AD15)</f>
        <v>0.5</v>
      </c>
      <c r="AE12" s="486">
        <f>+AVERAGE(AE13:AE15)</f>
        <v>0</v>
      </c>
      <c r="AF12" s="486">
        <f>+(AF13+AF14+AF15)*E12</f>
        <v>5.2499999999999998E-2</v>
      </c>
      <c r="AG12" s="505">
        <f>+(AG13+AG14+AG15)*E12</f>
        <v>0</v>
      </c>
      <c r="AH12" s="1033">
        <f>+(AH13+AH14+AH15)*E12</f>
        <v>0</v>
      </c>
      <c r="AI12" s="499">
        <v>0.66600000000000004</v>
      </c>
      <c r="AJ12" s="500">
        <v>0.66666666666666663</v>
      </c>
      <c r="AK12" s="500">
        <f>+AVERAGE(AK13:AK15)</f>
        <v>0.66666666666666663</v>
      </c>
      <c r="AL12" s="446">
        <f>+(AL13+AL14+AL15)*E12</f>
        <v>9.7499999999999989E-2</v>
      </c>
      <c r="AM12" s="498">
        <f>+(AM13+AM14+AM15)</f>
        <v>0.64999999999999991</v>
      </c>
      <c r="AN12" s="1041">
        <f>+(AN13+AN14+AN15)</f>
        <v>0.64999999999999991</v>
      </c>
      <c r="AO12" s="595"/>
      <c r="AP12" s="676" t="s">
        <v>1915</v>
      </c>
      <c r="AQ12" s="400"/>
      <c r="AR12" s="400"/>
      <c r="AS12" s="400"/>
      <c r="AT12" s="400"/>
      <c r="AU12" s="196"/>
      <c r="AV12" s="1038"/>
    </row>
    <row r="13" spans="1:48" ht="118.2" customHeight="1" thickBot="1" x14ac:dyDescent="0.4">
      <c r="A13" s="264"/>
      <c r="B13" s="1430" t="s">
        <v>23</v>
      </c>
      <c r="C13" s="1430" t="s">
        <v>24</v>
      </c>
      <c r="D13" s="402" t="s">
        <v>12</v>
      </c>
      <c r="E13" s="310">
        <v>0.35</v>
      </c>
      <c r="F13" s="428">
        <v>1</v>
      </c>
      <c r="G13" s="429">
        <v>0</v>
      </c>
      <c r="H13" s="430">
        <v>0</v>
      </c>
      <c r="I13" s="430">
        <v>1</v>
      </c>
      <c r="J13" s="431"/>
      <c r="K13" s="434"/>
      <c r="L13" s="434">
        <f>+I13/F13</f>
        <v>1</v>
      </c>
      <c r="M13" s="431"/>
      <c r="N13" s="434"/>
      <c r="O13" s="434"/>
      <c r="P13" s="429"/>
      <c r="Q13" s="484"/>
      <c r="R13" s="484">
        <v>0</v>
      </c>
      <c r="S13" s="484"/>
      <c r="T13" s="484"/>
      <c r="U13" s="484"/>
      <c r="V13" s="430">
        <f>+Q13+R13+S13+T13+U13</f>
        <v>0</v>
      </c>
      <c r="W13" s="430">
        <f>+V13+P13+AB13</f>
        <v>0</v>
      </c>
      <c r="X13" s="484">
        <v>0</v>
      </c>
      <c r="Y13" s="430"/>
      <c r="Z13" s="430"/>
      <c r="AA13" s="430"/>
      <c r="AB13" s="430">
        <f>+X13+Y13+Z13+AA13</f>
        <v>0</v>
      </c>
      <c r="AC13" s="431"/>
      <c r="AD13" s="434"/>
      <c r="AE13" s="434">
        <f>+AB13/I13</f>
        <v>0</v>
      </c>
      <c r="AF13" s="431"/>
      <c r="AG13" s="447"/>
      <c r="AH13" s="507">
        <f>+AE13*E13</f>
        <v>0</v>
      </c>
      <c r="AI13" s="447">
        <v>0</v>
      </c>
      <c r="AJ13" s="448">
        <v>0</v>
      </c>
      <c r="AK13" s="448">
        <f>+W13/F13</f>
        <v>0</v>
      </c>
      <c r="AL13" s="502">
        <f>+AI13*E13</f>
        <v>0</v>
      </c>
      <c r="AM13" s="503">
        <f>+AJ13*E13</f>
        <v>0</v>
      </c>
      <c r="AN13" s="1426">
        <f>+AK13*E13</f>
        <v>0</v>
      </c>
      <c r="AO13" s="598" t="s">
        <v>1850</v>
      </c>
      <c r="AP13" s="680" t="s">
        <v>1892</v>
      </c>
      <c r="AQ13" s="572" t="s">
        <v>2264</v>
      </c>
      <c r="AR13" s="680" t="s">
        <v>2286</v>
      </c>
      <c r="AS13" s="680" t="s">
        <v>2401</v>
      </c>
      <c r="AT13" s="680" t="s">
        <v>2434</v>
      </c>
      <c r="AU13" s="680" t="s">
        <v>2487</v>
      </c>
      <c r="AV13" s="680" t="s">
        <v>1893</v>
      </c>
    </row>
    <row r="14" spans="1:48" ht="91.95" customHeight="1" thickBot="1" x14ac:dyDescent="0.4">
      <c r="A14" s="264"/>
      <c r="B14" s="1430" t="s">
        <v>25</v>
      </c>
      <c r="C14" s="1430" t="s">
        <v>26</v>
      </c>
      <c r="D14" s="402" t="s">
        <v>12</v>
      </c>
      <c r="E14" s="310">
        <v>0.35</v>
      </c>
      <c r="F14" s="428">
        <v>1</v>
      </c>
      <c r="G14" s="429">
        <v>1</v>
      </c>
      <c r="H14" s="430">
        <v>1</v>
      </c>
      <c r="I14" s="430">
        <v>1</v>
      </c>
      <c r="J14" s="431">
        <f>+G14/F14</f>
        <v>1</v>
      </c>
      <c r="K14" s="434">
        <f>+H14/F14</f>
        <v>1</v>
      </c>
      <c r="L14" s="434"/>
      <c r="M14" s="431">
        <f>+(G14/F14)*E14</f>
        <v>0.35</v>
      </c>
      <c r="N14" s="434">
        <f t="shared" ref="N14" si="10">+(H14/F14)*E14</f>
        <v>0.35</v>
      </c>
      <c r="O14" s="434"/>
      <c r="P14" s="429">
        <v>1</v>
      </c>
      <c r="Q14" s="484">
        <v>0</v>
      </c>
      <c r="R14" s="484">
        <v>0</v>
      </c>
      <c r="S14" s="484">
        <v>0</v>
      </c>
      <c r="T14" s="484">
        <v>0</v>
      </c>
      <c r="U14" s="484">
        <v>0</v>
      </c>
      <c r="V14" s="430">
        <f t="shared" ref="V14:V15" si="11">+Q14+R14+S14+T14+U14</f>
        <v>0</v>
      </c>
      <c r="W14" s="430">
        <f>+V14+P14+AB14</f>
        <v>1</v>
      </c>
      <c r="X14" s="484">
        <v>0</v>
      </c>
      <c r="Y14" s="430"/>
      <c r="Z14" s="430"/>
      <c r="AA14" s="430"/>
      <c r="AB14" s="430">
        <f t="shared" si="4"/>
        <v>0</v>
      </c>
      <c r="AC14" s="431">
        <f>+(P14/G14)</f>
        <v>1</v>
      </c>
      <c r="AD14" s="434">
        <f t="shared" ref="AD14:AD22" si="12">+V14/H14</f>
        <v>0</v>
      </c>
      <c r="AE14" s="434">
        <f t="shared" si="5"/>
        <v>0</v>
      </c>
      <c r="AF14" s="431">
        <f>+AC14*E14</f>
        <v>0.35</v>
      </c>
      <c r="AG14" s="447">
        <f t="shared" ref="AG14:AG21" si="13">+AD14*E14</f>
        <v>0</v>
      </c>
      <c r="AH14" s="507">
        <f t="shared" ref="AH14" si="14">+AE14*E14</f>
        <v>0</v>
      </c>
      <c r="AI14" s="447">
        <f>+P14/F14</f>
        <v>1</v>
      </c>
      <c r="AJ14" s="448">
        <v>1</v>
      </c>
      <c r="AK14" s="448">
        <f t="shared" ref="AK14" si="15">+W14/F14</f>
        <v>1</v>
      </c>
      <c r="AL14" s="502">
        <f>+AI14*E14</f>
        <v>0.35</v>
      </c>
      <c r="AM14" s="503">
        <f>+AJ14*E14</f>
        <v>0.35</v>
      </c>
      <c r="AN14" s="1426">
        <f t="shared" ref="AN14:AN30" si="16">+AK14*E14</f>
        <v>0.35</v>
      </c>
      <c r="AO14" s="598" t="s">
        <v>1850</v>
      </c>
      <c r="AP14" s="680" t="s">
        <v>1591</v>
      </c>
      <c r="AQ14" s="572" t="s">
        <v>2264</v>
      </c>
      <c r="AR14" s="680" t="s">
        <v>2286</v>
      </c>
      <c r="AS14" s="680" t="s">
        <v>2401</v>
      </c>
      <c r="AT14" s="680" t="s">
        <v>2434</v>
      </c>
      <c r="AU14" s="680" t="s">
        <v>2487</v>
      </c>
      <c r="AV14" s="680" t="s">
        <v>1893</v>
      </c>
    </row>
    <row r="15" spans="1:48" ht="74.400000000000006" customHeight="1" thickBot="1" x14ac:dyDescent="0.4">
      <c r="A15" s="264"/>
      <c r="B15" s="1427" t="s">
        <v>27</v>
      </c>
      <c r="C15" s="1427" t="s">
        <v>28</v>
      </c>
      <c r="D15" s="402" t="s">
        <v>12</v>
      </c>
      <c r="E15" s="310">
        <v>0.3</v>
      </c>
      <c r="F15" s="428">
        <v>2</v>
      </c>
      <c r="G15" s="429">
        <v>2</v>
      </c>
      <c r="H15" s="430">
        <v>2</v>
      </c>
      <c r="I15" s="430">
        <v>1</v>
      </c>
      <c r="J15" s="431">
        <f>+G15/F15</f>
        <v>1</v>
      </c>
      <c r="K15" s="434"/>
      <c r="L15" s="434"/>
      <c r="M15" s="431"/>
      <c r="N15" s="434"/>
      <c r="O15" s="434"/>
      <c r="P15" s="429">
        <v>2</v>
      </c>
      <c r="Q15" s="484">
        <v>0</v>
      </c>
      <c r="R15" s="484">
        <v>0</v>
      </c>
      <c r="S15" s="484">
        <v>2</v>
      </c>
      <c r="T15" s="484">
        <v>0</v>
      </c>
      <c r="U15" s="484">
        <v>2</v>
      </c>
      <c r="V15" s="430">
        <f t="shared" si="11"/>
        <v>4</v>
      </c>
      <c r="W15" s="430">
        <f>+V15+P15+AB15</f>
        <v>6</v>
      </c>
      <c r="X15" s="484">
        <v>0</v>
      </c>
      <c r="Y15" s="430"/>
      <c r="Z15" s="430"/>
      <c r="AA15" s="430"/>
      <c r="AB15" s="430">
        <f t="shared" si="4"/>
        <v>0</v>
      </c>
      <c r="AC15" s="431">
        <f>+(P15/G15)</f>
        <v>1</v>
      </c>
      <c r="AD15" s="434">
        <v>1</v>
      </c>
      <c r="AE15" s="434">
        <f t="shared" si="5"/>
        <v>0</v>
      </c>
      <c r="AF15" s="431"/>
      <c r="AG15" s="447"/>
      <c r="AH15" s="513">
        <f>+AE15*E15</f>
        <v>0</v>
      </c>
      <c r="AI15" s="447">
        <f>+P15/F15</f>
        <v>1</v>
      </c>
      <c r="AJ15" s="448">
        <v>1</v>
      </c>
      <c r="AK15" s="448">
        <v>1</v>
      </c>
      <c r="AL15" s="502">
        <f>+AI15*E15</f>
        <v>0.3</v>
      </c>
      <c r="AM15" s="503">
        <f>+AJ15*E15</f>
        <v>0.3</v>
      </c>
      <c r="AN15" s="1431">
        <f t="shared" si="16"/>
        <v>0.3</v>
      </c>
      <c r="AO15" s="598" t="s">
        <v>1591</v>
      </c>
      <c r="AP15" s="680" t="s">
        <v>1591</v>
      </c>
      <c r="AQ15" s="572" t="s">
        <v>2264</v>
      </c>
      <c r="AR15" s="680" t="s">
        <v>1591</v>
      </c>
      <c r="AS15" s="680" t="s">
        <v>2401</v>
      </c>
      <c r="AT15" s="680" t="s">
        <v>2434</v>
      </c>
      <c r="AU15" s="680" t="s">
        <v>2487</v>
      </c>
      <c r="AV15" s="680" t="s">
        <v>1893</v>
      </c>
    </row>
    <row r="16" spans="1:48" ht="103.95" customHeight="1" thickBot="1" x14ac:dyDescent="0.45">
      <c r="A16" s="264"/>
      <c r="B16" s="1535" t="s">
        <v>1595</v>
      </c>
      <c r="C16" s="1534"/>
      <c r="D16" s="402"/>
      <c r="E16" s="424">
        <v>0.3</v>
      </c>
      <c r="F16" s="427"/>
      <c r="G16" s="427"/>
      <c r="H16" s="433"/>
      <c r="I16" s="433"/>
      <c r="J16" s="426">
        <f>+AVERAGE(J17:J22)</f>
        <v>0.21866537089073543</v>
      </c>
      <c r="K16" s="426">
        <f>+AVERAGE(K17:K22)</f>
        <v>0.52361748159110777</v>
      </c>
      <c r="L16" s="426">
        <f>+AVERAGE(L17:L22)</f>
        <v>0.27343801106373616</v>
      </c>
      <c r="M16" s="426">
        <f>+M17+M18+M19+M20+M21+M22</f>
        <v>0.23116977612690295</v>
      </c>
      <c r="N16" s="426">
        <f>+N17+N18+N19+N20+N21+N22</f>
        <v>0.53003621333629014</v>
      </c>
      <c r="O16" s="426"/>
      <c r="P16" s="427"/>
      <c r="Q16" s="433"/>
      <c r="R16" s="433"/>
      <c r="S16" s="433"/>
      <c r="T16" s="433"/>
      <c r="U16" s="981"/>
      <c r="V16" s="433"/>
      <c r="W16" s="433"/>
      <c r="X16" s="433"/>
      <c r="Y16" s="433"/>
      <c r="Z16" s="433"/>
      <c r="AA16" s="433"/>
      <c r="AB16" s="433"/>
      <c r="AC16" s="486">
        <f>+AVERAGE(AC17:AC22)</f>
        <v>0.51965408805031454</v>
      </c>
      <c r="AD16" s="486">
        <f>+AVERAGE(AD17:AD22)</f>
        <v>0.76968252498594181</v>
      </c>
      <c r="AE16" s="486">
        <f>+AVERAGE(AE17:AE22)</f>
        <v>0</v>
      </c>
      <c r="AF16" s="486">
        <f>+(AF17+AF18+AF19+AF20+AF21+AF22)*E16</f>
        <v>0.1270754716981132</v>
      </c>
      <c r="AG16" s="505">
        <f>+(AG17+AG18+AG19+AG20+AG21+AG22)*E16</f>
        <v>0.2071125382632317</v>
      </c>
      <c r="AH16" s="1033">
        <f>+(AH17+AH18+AH19+AH20+AH21+AH22)*E16</f>
        <v>0</v>
      </c>
      <c r="AI16" s="446">
        <f>+AVERAGE(AI17:AI22)</f>
        <v>0.18898231334553608</v>
      </c>
      <c r="AJ16" s="498">
        <v>0.70675054096239232</v>
      </c>
      <c r="AK16" s="498">
        <f>+AVERAGE(AK17:AK22)</f>
        <v>0.70675054096239232</v>
      </c>
      <c r="AL16" s="446">
        <f>+(AL17+AL18+AL19+AL20+AL21+AL22)*E16</f>
        <v>3.7150208628344908E-2</v>
      </c>
      <c r="AM16" s="498">
        <f>+(AM17+AM18+AM19+AM20+AM21+AM22)</f>
        <v>0.60071725893871608</v>
      </c>
      <c r="AN16" s="1041">
        <f>+(AN17+AN18+AN19+AN20+AN21+AN22)</f>
        <v>0.60071725893871608</v>
      </c>
      <c r="AO16" s="172"/>
      <c r="AP16" s="679"/>
      <c r="AQ16" s="400"/>
      <c r="AR16" s="400"/>
      <c r="AS16" s="400"/>
      <c r="AT16" s="400"/>
      <c r="AU16" s="196"/>
      <c r="AV16" s="1038"/>
    </row>
    <row r="17" spans="1:48" ht="96" customHeight="1" thickBot="1" x14ac:dyDescent="0.4">
      <c r="A17" s="403"/>
      <c r="B17" s="1427" t="s">
        <v>29</v>
      </c>
      <c r="C17" s="1427" t="s">
        <v>30</v>
      </c>
      <c r="D17" s="406" t="s">
        <v>31</v>
      </c>
      <c r="E17" s="310">
        <v>0.1</v>
      </c>
      <c r="F17" s="428">
        <f>879*4</f>
        <v>3516</v>
      </c>
      <c r="G17" s="429">
        <v>219</v>
      </c>
      <c r="H17" s="485">
        <v>400</v>
      </c>
      <c r="I17" s="485">
        <v>700</v>
      </c>
      <c r="J17" s="431">
        <f t="shared" ref="J17:J22" si="17">+G17/F17</f>
        <v>6.2286689419795219E-2</v>
      </c>
      <c r="K17" s="434">
        <f>+H17/879</f>
        <v>0.45506257110352671</v>
      </c>
      <c r="L17" s="434">
        <f>+I17/F17</f>
        <v>0.19908987485779295</v>
      </c>
      <c r="M17" s="431">
        <f>+(G17/F17)*E17</f>
        <v>6.2286689419795219E-3</v>
      </c>
      <c r="N17" s="434">
        <f>+(H17/879)*E17</f>
        <v>4.5506257110352673E-2</v>
      </c>
      <c r="O17" s="434"/>
      <c r="P17" s="429">
        <v>484</v>
      </c>
      <c r="Q17" s="484">
        <v>0</v>
      </c>
      <c r="R17" s="484">
        <v>200</v>
      </c>
      <c r="S17" s="484">
        <v>172</v>
      </c>
      <c r="T17" s="484">
        <v>0</v>
      </c>
      <c r="U17" s="484">
        <v>0</v>
      </c>
      <c r="V17" s="430">
        <f>+Q17+R17+S17+T17+U17</f>
        <v>372</v>
      </c>
      <c r="W17" s="430">
        <f>+V17+P17+AB17</f>
        <v>856</v>
      </c>
      <c r="X17" s="484">
        <v>0</v>
      </c>
      <c r="Y17" s="430"/>
      <c r="Z17" s="430"/>
      <c r="AA17" s="430"/>
      <c r="AB17" s="430">
        <f>+X17+Y17+Z17+AA17</f>
        <v>0</v>
      </c>
      <c r="AC17" s="478">
        <v>1</v>
      </c>
      <c r="AD17" s="464">
        <f>+V17/H17</f>
        <v>0.93</v>
      </c>
      <c r="AE17" s="464">
        <f>+AB17/I17</f>
        <v>0</v>
      </c>
      <c r="AF17" s="478">
        <f>+AC17*E17</f>
        <v>0.1</v>
      </c>
      <c r="AG17" s="502">
        <f>+AD17*E17</f>
        <v>9.3000000000000013E-2</v>
      </c>
      <c r="AH17" s="509">
        <f>+AE17*E17</f>
        <v>0</v>
      </c>
      <c r="AI17" s="502">
        <f>+P17/F17</f>
        <v>0.13765642775881684</v>
      </c>
      <c r="AJ17" s="503">
        <v>0.97383390216154719</v>
      </c>
      <c r="AK17" s="503">
        <f>+W17/879</f>
        <v>0.97383390216154719</v>
      </c>
      <c r="AL17" s="502">
        <f>+AI17*E17</f>
        <v>1.3765642775881685E-2</v>
      </c>
      <c r="AM17" s="503">
        <f>+AJ17*E17</f>
        <v>9.7383390216154719E-2</v>
      </c>
      <c r="AN17" s="1426">
        <f t="shared" si="16"/>
        <v>9.7383390216154719E-2</v>
      </c>
      <c r="AO17" s="598" t="s">
        <v>1850</v>
      </c>
      <c r="AP17" s="681" t="s">
        <v>1961</v>
      </c>
      <c r="AQ17" s="674" t="s">
        <v>1865</v>
      </c>
      <c r="AR17" s="680" t="s">
        <v>2286</v>
      </c>
      <c r="AS17" s="870" t="s">
        <v>2350</v>
      </c>
      <c r="AT17" s="680" t="s">
        <v>2434</v>
      </c>
      <c r="AU17" s="680" t="s">
        <v>2487</v>
      </c>
      <c r="AV17" s="680" t="s">
        <v>1893</v>
      </c>
    </row>
    <row r="18" spans="1:48" ht="81" customHeight="1" thickBot="1" x14ac:dyDescent="0.4">
      <c r="A18" s="264"/>
      <c r="B18" s="1427" t="s">
        <v>32</v>
      </c>
      <c r="C18" s="1427" t="s">
        <v>33</v>
      </c>
      <c r="D18" s="402" t="s">
        <v>31</v>
      </c>
      <c r="E18" s="310">
        <v>0.2</v>
      </c>
      <c r="F18" s="428">
        <v>849</v>
      </c>
      <c r="G18" s="429">
        <v>212</v>
      </c>
      <c r="H18" s="485">
        <v>729</v>
      </c>
      <c r="I18" s="485">
        <v>200</v>
      </c>
      <c r="J18" s="431">
        <f t="shared" si="17"/>
        <v>0.24970553592461719</v>
      </c>
      <c r="K18" s="434">
        <f t="shared" ref="K18:K30" si="18">+H18/F18</f>
        <v>0.85865724381625441</v>
      </c>
      <c r="L18" s="434">
        <f t="shared" si="2"/>
        <v>0.23557126030624265</v>
      </c>
      <c r="M18" s="431">
        <f t="shared" ref="M18:M22" si="19">+(G18/F18)*E18</f>
        <v>4.9941107184923443E-2</v>
      </c>
      <c r="N18" s="434">
        <f t="shared" ref="N18:N20" si="20">+(H18/F18)*E18</f>
        <v>0.17173144876325089</v>
      </c>
      <c r="O18" s="434"/>
      <c r="P18" s="429">
        <v>25</v>
      </c>
      <c r="Q18" s="484">
        <v>0</v>
      </c>
      <c r="R18" s="484">
        <v>162</v>
      </c>
      <c r="S18" s="484">
        <v>478</v>
      </c>
      <c r="T18" s="484">
        <v>0</v>
      </c>
      <c r="U18" s="484">
        <v>38</v>
      </c>
      <c r="V18" s="430">
        <f t="shared" ref="V18:V20" si="21">+Q18+R18+S18+T18+U18</f>
        <v>678</v>
      </c>
      <c r="W18" s="430">
        <f t="shared" ref="W18:W22" si="22">+V18+P18+AB18</f>
        <v>703</v>
      </c>
      <c r="X18" s="484">
        <v>0</v>
      </c>
      <c r="Y18" s="430"/>
      <c r="Z18" s="430"/>
      <c r="AA18" s="430"/>
      <c r="AB18" s="430">
        <f t="shared" si="4"/>
        <v>0</v>
      </c>
      <c r="AC18" s="478">
        <f>+(P18/G18)</f>
        <v>0.11792452830188679</v>
      </c>
      <c r="AD18" s="464">
        <f t="shared" si="12"/>
        <v>0.93004115226337447</v>
      </c>
      <c r="AE18" s="464">
        <f>+AB18/I18</f>
        <v>0</v>
      </c>
      <c r="AF18" s="478">
        <f t="shared" ref="AF18:AF22" si="23">+AC18*E18</f>
        <v>2.358490566037736E-2</v>
      </c>
      <c r="AG18" s="502">
        <f t="shared" si="13"/>
        <v>0.18600823045267489</v>
      </c>
      <c r="AH18" s="503">
        <f t="shared" ref="AH18:AH30" si="24">+AE18*E18</f>
        <v>0</v>
      </c>
      <c r="AI18" s="502">
        <f>+P18/F18</f>
        <v>2.9446407538280331E-2</v>
      </c>
      <c r="AJ18" s="503">
        <v>0.82803297997644287</v>
      </c>
      <c r="AK18" s="503">
        <f t="shared" ref="AK18:AK21" si="25">+W18/F18</f>
        <v>0.82803297997644287</v>
      </c>
      <c r="AL18" s="502">
        <f t="shared" ref="AL18:AL22" si="26">+AI18*E18</f>
        <v>5.8892815076560662E-3</v>
      </c>
      <c r="AM18" s="503">
        <f t="shared" ref="AM18:AM22" si="27">+AJ18*E18</f>
        <v>0.1656065959952886</v>
      </c>
      <c r="AN18" s="1426">
        <f t="shared" si="16"/>
        <v>0.1656065959952886</v>
      </c>
      <c r="AO18" s="598" t="s">
        <v>1850</v>
      </c>
      <c r="AP18" s="680" t="s">
        <v>1892</v>
      </c>
      <c r="AQ18" s="674" t="s">
        <v>1865</v>
      </c>
      <c r="AR18" s="680" t="s">
        <v>2286</v>
      </c>
      <c r="AS18" s="870" t="s">
        <v>2351</v>
      </c>
      <c r="AT18" s="680" t="s">
        <v>2434</v>
      </c>
      <c r="AU18" s="680" t="s">
        <v>2487</v>
      </c>
      <c r="AV18" s="680" t="s">
        <v>1893</v>
      </c>
    </row>
    <row r="19" spans="1:48" ht="93" customHeight="1" thickBot="1" x14ac:dyDescent="0.4">
      <c r="A19" s="264"/>
      <c r="B19" s="1427" t="s">
        <v>34</v>
      </c>
      <c r="C19" s="1427" t="s">
        <v>1160</v>
      </c>
      <c r="D19" s="402" t="s">
        <v>31</v>
      </c>
      <c r="E19" s="310">
        <v>0.2</v>
      </c>
      <c r="F19" s="428">
        <v>440</v>
      </c>
      <c r="G19" s="429">
        <v>110</v>
      </c>
      <c r="H19" s="485">
        <v>187</v>
      </c>
      <c r="I19" s="485">
        <v>70</v>
      </c>
      <c r="J19" s="431">
        <f t="shared" si="17"/>
        <v>0.25</v>
      </c>
      <c r="K19" s="434">
        <f t="shared" si="18"/>
        <v>0.42499999999999999</v>
      </c>
      <c r="L19" s="434">
        <f t="shared" si="2"/>
        <v>0.15909090909090909</v>
      </c>
      <c r="M19" s="431">
        <f t="shared" si="19"/>
        <v>0.05</v>
      </c>
      <c r="N19" s="434">
        <f t="shared" si="20"/>
        <v>8.5000000000000006E-2</v>
      </c>
      <c r="O19" s="434"/>
      <c r="P19" s="429">
        <v>33</v>
      </c>
      <c r="Q19" s="484">
        <v>0</v>
      </c>
      <c r="R19" s="484">
        <v>0</v>
      </c>
      <c r="S19" s="484">
        <v>160</v>
      </c>
      <c r="T19" s="484">
        <v>0</v>
      </c>
      <c r="U19" s="484">
        <v>0</v>
      </c>
      <c r="V19" s="430">
        <f t="shared" si="21"/>
        <v>160</v>
      </c>
      <c r="W19" s="430">
        <f t="shared" si="22"/>
        <v>193</v>
      </c>
      <c r="X19" s="484">
        <v>0</v>
      </c>
      <c r="Y19" s="430"/>
      <c r="Z19" s="430"/>
      <c r="AA19" s="430"/>
      <c r="AB19" s="430">
        <f t="shared" si="4"/>
        <v>0</v>
      </c>
      <c r="AC19" s="478">
        <v>1</v>
      </c>
      <c r="AD19" s="464">
        <f t="shared" si="12"/>
        <v>0.85561497326203206</v>
      </c>
      <c r="AE19" s="464">
        <f t="shared" si="5"/>
        <v>0</v>
      </c>
      <c r="AF19" s="478">
        <f t="shared" si="23"/>
        <v>0.2</v>
      </c>
      <c r="AG19" s="502">
        <f t="shared" si="13"/>
        <v>0.17112299465240643</v>
      </c>
      <c r="AH19" s="503">
        <f t="shared" si="24"/>
        <v>0</v>
      </c>
      <c r="AI19" s="502">
        <f t="shared" ref="AI19:AI22" si="28">+P19/F19</f>
        <v>7.4999999999999997E-2</v>
      </c>
      <c r="AJ19" s="503">
        <v>0.43863636363636366</v>
      </c>
      <c r="AK19" s="503">
        <f>+W19/F19</f>
        <v>0.43863636363636366</v>
      </c>
      <c r="AL19" s="502">
        <f t="shared" si="26"/>
        <v>1.4999999999999999E-2</v>
      </c>
      <c r="AM19" s="503">
        <f t="shared" si="27"/>
        <v>8.7727272727272737E-2</v>
      </c>
      <c r="AN19" s="1426">
        <f t="shared" si="16"/>
        <v>8.7727272727272737E-2</v>
      </c>
      <c r="AO19" s="598" t="s">
        <v>1850</v>
      </c>
      <c r="AP19" s="680" t="s">
        <v>1892</v>
      </c>
      <c r="AQ19" s="674" t="s">
        <v>1865</v>
      </c>
      <c r="AR19" s="680" t="s">
        <v>2286</v>
      </c>
      <c r="AS19" s="680" t="s">
        <v>2401</v>
      </c>
      <c r="AT19" s="680" t="s">
        <v>2434</v>
      </c>
      <c r="AU19" s="680" t="s">
        <v>2487</v>
      </c>
      <c r="AV19" s="680" t="s">
        <v>1893</v>
      </c>
    </row>
    <row r="20" spans="1:48" ht="117" customHeight="1" thickBot="1" x14ac:dyDescent="0.4">
      <c r="A20" s="264"/>
      <c r="B20" s="1427" t="s">
        <v>35</v>
      </c>
      <c r="C20" s="1427" t="s">
        <v>36</v>
      </c>
      <c r="D20" s="402" t="s">
        <v>31</v>
      </c>
      <c r="E20" s="310">
        <v>0.15</v>
      </c>
      <c r="F20" s="428">
        <v>120</v>
      </c>
      <c r="G20" s="429">
        <v>30</v>
      </c>
      <c r="H20" s="485">
        <v>120</v>
      </c>
      <c r="I20" s="485">
        <v>0</v>
      </c>
      <c r="J20" s="431">
        <f t="shared" si="17"/>
        <v>0.25</v>
      </c>
      <c r="K20" s="434">
        <f t="shared" si="18"/>
        <v>1</v>
      </c>
      <c r="L20" s="434"/>
      <c r="M20" s="431">
        <f t="shared" si="19"/>
        <v>3.7499999999999999E-2</v>
      </c>
      <c r="N20" s="434">
        <f t="shared" si="20"/>
        <v>0.15</v>
      </c>
      <c r="O20" s="434"/>
      <c r="P20" s="429">
        <v>0</v>
      </c>
      <c r="Q20" s="484">
        <v>0</v>
      </c>
      <c r="R20" s="484">
        <v>0</v>
      </c>
      <c r="S20" s="484">
        <v>0</v>
      </c>
      <c r="T20" s="484">
        <v>0</v>
      </c>
      <c r="U20" s="484">
        <v>180</v>
      </c>
      <c r="V20" s="430">
        <f t="shared" si="21"/>
        <v>180</v>
      </c>
      <c r="W20" s="430">
        <f>+V20+P20+AB20</f>
        <v>180</v>
      </c>
      <c r="X20" s="484">
        <v>0</v>
      </c>
      <c r="Y20" s="430"/>
      <c r="Z20" s="430"/>
      <c r="AA20" s="430"/>
      <c r="AB20" s="430">
        <f t="shared" si="4"/>
        <v>0</v>
      </c>
      <c r="AC20" s="478">
        <f>+(P20/G20)</f>
        <v>0</v>
      </c>
      <c r="AD20" s="464">
        <v>1</v>
      </c>
      <c r="AE20" s="464"/>
      <c r="AF20" s="478">
        <f t="shared" si="23"/>
        <v>0</v>
      </c>
      <c r="AG20" s="502">
        <f t="shared" si="13"/>
        <v>0.15</v>
      </c>
      <c r="AH20" s="503">
        <f t="shared" si="24"/>
        <v>0</v>
      </c>
      <c r="AI20" s="502">
        <f t="shared" si="28"/>
        <v>0</v>
      </c>
      <c r="AJ20" s="503">
        <v>1</v>
      </c>
      <c r="AK20" s="503">
        <v>1</v>
      </c>
      <c r="AL20" s="502">
        <f t="shared" si="26"/>
        <v>0</v>
      </c>
      <c r="AM20" s="503">
        <f t="shared" si="27"/>
        <v>0.15</v>
      </c>
      <c r="AN20" s="1426">
        <f t="shared" si="16"/>
        <v>0.15</v>
      </c>
      <c r="AO20" s="179" t="s">
        <v>1850</v>
      </c>
      <c r="AP20" s="678" t="s">
        <v>1892</v>
      </c>
      <c r="AQ20" s="674" t="s">
        <v>1865</v>
      </c>
      <c r="AR20" s="680" t="s">
        <v>2286</v>
      </c>
      <c r="AS20" s="870" t="s">
        <v>2352</v>
      </c>
      <c r="AT20" s="680" t="s">
        <v>2434</v>
      </c>
      <c r="AU20" s="680" t="s">
        <v>2502</v>
      </c>
      <c r="AV20" s="680" t="s">
        <v>1893</v>
      </c>
    </row>
    <row r="21" spans="1:48" ht="117" customHeight="1" thickBot="1" x14ac:dyDescent="0.4">
      <c r="A21" s="403"/>
      <c r="B21" s="409" t="s">
        <v>37</v>
      </c>
      <c r="C21" s="409" t="s">
        <v>38</v>
      </c>
      <c r="D21" s="402" t="s">
        <v>31</v>
      </c>
      <c r="E21" s="310">
        <v>0.25</v>
      </c>
      <c r="F21" s="428">
        <v>4</v>
      </c>
      <c r="G21" s="429">
        <v>1</v>
      </c>
      <c r="H21" s="485">
        <v>1</v>
      </c>
      <c r="I21" s="485">
        <v>2</v>
      </c>
      <c r="J21" s="431">
        <f t="shared" si="17"/>
        <v>0.25</v>
      </c>
      <c r="K21" s="434">
        <f t="shared" si="18"/>
        <v>0.25</v>
      </c>
      <c r="L21" s="434">
        <f t="shared" si="2"/>
        <v>0.5</v>
      </c>
      <c r="M21" s="431">
        <f t="shared" si="19"/>
        <v>6.25E-2</v>
      </c>
      <c r="N21" s="434">
        <f>+(H21/F21)*E21</f>
        <v>6.25E-2</v>
      </c>
      <c r="O21" s="434"/>
      <c r="P21" s="429">
        <v>0</v>
      </c>
      <c r="Q21" s="484">
        <v>0</v>
      </c>
      <c r="R21" s="484">
        <v>0</v>
      </c>
      <c r="S21" s="484">
        <v>0</v>
      </c>
      <c r="T21" s="484">
        <v>0</v>
      </c>
      <c r="U21" s="484">
        <v>0</v>
      </c>
      <c r="V21" s="430">
        <f>+Q21+R21+S21+T21+U21</f>
        <v>0</v>
      </c>
      <c r="W21" s="430">
        <f>+V21+P21+AB21</f>
        <v>0</v>
      </c>
      <c r="X21" s="484">
        <v>0</v>
      </c>
      <c r="Y21" s="430"/>
      <c r="Z21" s="430"/>
      <c r="AA21" s="430"/>
      <c r="AB21" s="430">
        <f t="shared" si="4"/>
        <v>0</v>
      </c>
      <c r="AC21" s="478">
        <f>+(P21/G21)</f>
        <v>0</v>
      </c>
      <c r="AD21" s="464">
        <f t="shared" si="12"/>
        <v>0</v>
      </c>
      <c r="AE21" s="464">
        <f t="shared" si="5"/>
        <v>0</v>
      </c>
      <c r="AF21" s="478">
        <f t="shared" si="23"/>
        <v>0</v>
      </c>
      <c r="AG21" s="502">
        <f t="shared" si="13"/>
        <v>0</v>
      </c>
      <c r="AH21" s="503">
        <f t="shared" si="24"/>
        <v>0</v>
      </c>
      <c r="AI21" s="502">
        <f t="shared" si="28"/>
        <v>0</v>
      </c>
      <c r="AJ21" s="503">
        <v>0</v>
      </c>
      <c r="AK21" s="503">
        <f t="shared" si="25"/>
        <v>0</v>
      </c>
      <c r="AL21" s="502">
        <f t="shared" si="26"/>
        <v>0</v>
      </c>
      <c r="AM21" s="503">
        <f t="shared" si="27"/>
        <v>0</v>
      </c>
      <c r="AN21" s="1426">
        <f t="shared" si="16"/>
        <v>0</v>
      </c>
      <c r="AO21" s="179" t="s">
        <v>1850</v>
      </c>
      <c r="AP21" s="571" t="s">
        <v>1892</v>
      </c>
      <c r="AQ21" s="674" t="s">
        <v>1865</v>
      </c>
      <c r="AR21" s="680" t="s">
        <v>2286</v>
      </c>
      <c r="AS21" s="680" t="s">
        <v>2401</v>
      </c>
      <c r="AT21" s="680" t="s">
        <v>2434</v>
      </c>
      <c r="AU21" s="680" t="s">
        <v>2487</v>
      </c>
      <c r="AV21" s="674" t="s">
        <v>2559</v>
      </c>
    </row>
    <row r="22" spans="1:48" ht="117" customHeight="1" thickBot="1" x14ac:dyDescent="0.4">
      <c r="A22" s="264"/>
      <c r="B22" s="1427" t="s">
        <v>39</v>
      </c>
      <c r="C22" s="1427" t="s">
        <v>40</v>
      </c>
      <c r="D22" s="406" t="s">
        <v>31</v>
      </c>
      <c r="E22" s="310">
        <v>0.1</v>
      </c>
      <c r="F22" s="428">
        <v>268</v>
      </c>
      <c r="G22" s="429">
        <v>67</v>
      </c>
      <c r="H22" s="485">
        <v>41</v>
      </c>
      <c r="I22" s="485">
        <v>3</v>
      </c>
      <c r="J22" s="431">
        <f t="shared" si="17"/>
        <v>0.25</v>
      </c>
      <c r="K22" s="434">
        <f t="shared" si="18"/>
        <v>0.15298507462686567</v>
      </c>
      <c r="L22" s="434"/>
      <c r="M22" s="431">
        <f t="shared" si="19"/>
        <v>2.5000000000000001E-2</v>
      </c>
      <c r="N22" s="434">
        <f>+(H22/F22)*E22</f>
        <v>1.5298507462686567E-2</v>
      </c>
      <c r="O22" s="434"/>
      <c r="P22" s="429">
        <v>239</v>
      </c>
      <c r="Q22" s="484">
        <v>0</v>
      </c>
      <c r="R22" s="484">
        <v>16</v>
      </c>
      <c r="S22" s="484">
        <v>0</v>
      </c>
      <c r="T22" s="484">
        <v>18</v>
      </c>
      <c r="U22" s="484">
        <v>3</v>
      </c>
      <c r="V22" s="430">
        <f>+Q22+R22+S22+T22+U22</f>
        <v>37</v>
      </c>
      <c r="W22" s="430">
        <f t="shared" si="22"/>
        <v>276</v>
      </c>
      <c r="X22" s="484">
        <v>0</v>
      </c>
      <c r="Y22" s="430"/>
      <c r="Z22" s="430"/>
      <c r="AA22" s="430"/>
      <c r="AB22" s="430">
        <f t="shared" si="4"/>
        <v>0</v>
      </c>
      <c r="AC22" s="478">
        <v>1</v>
      </c>
      <c r="AD22" s="464">
        <f t="shared" si="12"/>
        <v>0.90243902439024393</v>
      </c>
      <c r="AE22" s="464">
        <f t="shared" si="5"/>
        <v>0</v>
      </c>
      <c r="AF22" s="478">
        <f t="shared" si="23"/>
        <v>0.1</v>
      </c>
      <c r="AG22" s="502">
        <f>+AD22*E22</f>
        <v>9.0243902439024401E-2</v>
      </c>
      <c r="AH22" s="504">
        <f t="shared" si="24"/>
        <v>0</v>
      </c>
      <c r="AI22" s="502">
        <f t="shared" si="28"/>
        <v>0.89179104477611937</v>
      </c>
      <c r="AJ22" s="503">
        <v>1</v>
      </c>
      <c r="AK22" s="503">
        <v>1</v>
      </c>
      <c r="AL22" s="502">
        <f t="shared" si="26"/>
        <v>8.9179104477611945E-2</v>
      </c>
      <c r="AM22" s="503">
        <f t="shared" si="27"/>
        <v>0.1</v>
      </c>
      <c r="AN22" s="1426">
        <f t="shared" si="16"/>
        <v>0.1</v>
      </c>
      <c r="AO22" s="179" t="s">
        <v>1850</v>
      </c>
      <c r="AP22" s="571" t="s">
        <v>1892</v>
      </c>
      <c r="AQ22" s="571" t="s">
        <v>2264</v>
      </c>
      <c r="AR22" s="680" t="s">
        <v>2286</v>
      </c>
      <c r="AS22" s="870" t="s">
        <v>2353</v>
      </c>
      <c r="AT22" s="680" t="s">
        <v>2434</v>
      </c>
      <c r="AU22" s="680" t="s">
        <v>2487</v>
      </c>
      <c r="AV22" s="680" t="s">
        <v>1893</v>
      </c>
    </row>
    <row r="23" spans="1:48" ht="62.25" customHeight="1" thickBot="1" x14ac:dyDescent="0.45">
      <c r="A23" s="264"/>
      <c r="B23" s="1535" t="s">
        <v>1596</v>
      </c>
      <c r="C23" s="1534"/>
      <c r="D23" s="402"/>
      <c r="E23" s="424">
        <v>0.1</v>
      </c>
      <c r="F23" s="427"/>
      <c r="G23" s="429"/>
      <c r="H23" s="430"/>
      <c r="I23" s="430"/>
      <c r="J23" s="426">
        <f>+AVERAGE(J24:J25)</f>
        <v>0.625</v>
      </c>
      <c r="K23" s="426">
        <f>+AVERAGE(K24:K25)</f>
        <v>0.25</v>
      </c>
      <c r="L23" s="426">
        <f>+AVERAGE(L24:L25)/2</f>
        <v>0.125</v>
      </c>
      <c r="M23" s="426">
        <f>+M24+M25</f>
        <v>0.77499999999999991</v>
      </c>
      <c r="N23" s="426">
        <f>+N24+N25</f>
        <v>7.4999999999999997E-2</v>
      </c>
      <c r="O23" s="426"/>
      <c r="P23" s="427"/>
      <c r="Q23" s="433"/>
      <c r="R23" s="433"/>
      <c r="S23" s="433"/>
      <c r="T23" s="433"/>
      <c r="U23" s="981"/>
      <c r="V23" s="433"/>
      <c r="W23" s="433"/>
      <c r="X23" s="433"/>
      <c r="Y23" s="433"/>
      <c r="Z23" s="433"/>
      <c r="AA23" s="433"/>
      <c r="AB23" s="433"/>
      <c r="AC23" s="486">
        <f>+AVERAGE(AC24:AC25)</f>
        <v>1</v>
      </c>
      <c r="AD23" s="486">
        <f>+AVERAGE(AD24:AD25)</f>
        <v>1</v>
      </c>
      <c r="AE23" s="486">
        <f>+AVERAGE(AE24:AE25)</f>
        <v>0</v>
      </c>
      <c r="AF23" s="486">
        <f>+(AF24+AF25)*E23</f>
        <v>0.1</v>
      </c>
      <c r="AG23" s="505">
        <f>+(AG24+AG25)*E23</f>
        <v>0.03</v>
      </c>
      <c r="AH23" s="1033">
        <f>+(AH24+AH25)*E23</f>
        <v>0</v>
      </c>
      <c r="AI23" s="446">
        <f>+AVERAGE(AI24:AI25)</f>
        <v>0.625</v>
      </c>
      <c r="AJ23" s="498">
        <v>0.75</v>
      </c>
      <c r="AK23" s="498">
        <f>+AVERAGE(AK24:AK25)</f>
        <v>0.75</v>
      </c>
      <c r="AL23" s="446">
        <f>+(AL24+AL25)*E23</f>
        <v>7.7499999999999999E-2</v>
      </c>
      <c r="AM23" s="498">
        <f>+(AM24+AM25)</f>
        <v>0.85</v>
      </c>
      <c r="AN23" s="498">
        <f>+(AN24+AN25)</f>
        <v>0.85</v>
      </c>
      <c r="AO23" s="172"/>
      <c r="AP23" s="400"/>
      <c r="AQ23" s="400"/>
      <c r="AR23" s="400"/>
      <c r="AS23" s="400"/>
      <c r="AT23" s="400"/>
      <c r="AU23" s="196"/>
      <c r="AV23" s="196"/>
    </row>
    <row r="24" spans="1:48" ht="94.95" customHeight="1" thickBot="1" x14ac:dyDescent="0.4">
      <c r="A24" s="264"/>
      <c r="B24" s="1430" t="s">
        <v>41</v>
      </c>
      <c r="C24" s="1430" t="s">
        <v>42</v>
      </c>
      <c r="D24" s="402" t="s">
        <v>43</v>
      </c>
      <c r="E24" s="310">
        <v>0.3</v>
      </c>
      <c r="F24" s="428">
        <v>4</v>
      </c>
      <c r="G24" s="429">
        <v>1</v>
      </c>
      <c r="H24" s="430">
        <v>1</v>
      </c>
      <c r="I24" s="430">
        <v>1</v>
      </c>
      <c r="J24" s="431">
        <f>+G24/F24</f>
        <v>0.25</v>
      </c>
      <c r="K24" s="434">
        <f t="shared" si="18"/>
        <v>0.25</v>
      </c>
      <c r="L24" s="434">
        <f t="shared" si="2"/>
        <v>0.25</v>
      </c>
      <c r="M24" s="431">
        <f>+(G24/F24)*E24</f>
        <v>7.4999999999999997E-2</v>
      </c>
      <c r="N24" s="434">
        <f>+(H24/F24)*E24</f>
        <v>7.4999999999999997E-2</v>
      </c>
      <c r="O24" s="434"/>
      <c r="P24" s="429">
        <v>1</v>
      </c>
      <c r="Q24" s="484">
        <v>0</v>
      </c>
      <c r="R24" s="484">
        <v>0</v>
      </c>
      <c r="S24" s="484">
        <v>1</v>
      </c>
      <c r="T24" s="484">
        <v>0</v>
      </c>
      <c r="U24" s="484">
        <v>0</v>
      </c>
      <c r="V24" s="430">
        <f>+Q24+R24+S24+T24+U24</f>
        <v>1</v>
      </c>
      <c r="W24" s="430">
        <f>+V24+P24+AB24</f>
        <v>2</v>
      </c>
      <c r="X24" s="484">
        <v>0</v>
      </c>
      <c r="Y24" s="430"/>
      <c r="Z24" s="430"/>
      <c r="AA24" s="430"/>
      <c r="AB24" s="430">
        <f t="shared" si="4"/>
        <v>0</v>
      </c>
      <c r="AC24" s="431">
        <f>+(P24/G24)</f>
        <v>1</v>
      </c>
      <c r="AD24" s="464">
        <f>+V24/H24</f>
        <v>1</v>
      </c>
      <c r="AE24" s="464">
        <f t="shared" si="5"/>
        <v>0</v>
      </c>
      <c r="AF24" s="478">
        <f>+AC24*E24</f>
        <v>0.3</v>
      </c>
      <c r="AG24" s="502">
        <f>+AD24*E24</f>
        <v>0.3</v>
      </c>
      <c r="AH24" s="509">
        <f t="shared" si="24"/>
        <v>0</v>
      </c>
      <c r="AI24" s="502">
        <f>+P24/F24</f>
        <v>0.25</v>
      </c>
      <c r="AJ24" s="503">
        <v>0.5</v>
      </c>
      <c r="AK24" s="503">
        <f>+W24/F24</f>
        <v>0.5</v>
      </c>
      <c r="AL24" s="502">
        <f>+AI24*E24</f>
        <v>7.4999999999999997E-2</v>
      </c>
      <c r="AM24" s="503">
        <f>+AJ24*E24</f>
        <v>0.15</v>
      </c>
      <c r="AN24" s="1426">
        <f t="shared" si="16"/>
        <v>0.15</v>
      </c>
      <c r="AO24" s="179" t="s">
        <v>1850</v>
      </c>
      <c r="AP24" s="571" t="s">
        <v>1892</v>
      </c>
      <c r="AQ24" s="571" t="s">
        <v>2264</v>
      </c>
      <c r="AR24" s="680" t="s">
        <v>2286</v>
      </c>
      <c r="AS24" s="680" t="s">
        <v>2401</v>
      </c>
      <c r="AT24" s="680" t="s">
        <v>2434</v>
      </c>
      <c r="AU24" s="196"/>
      <c r="AV24" s="680" t="s">
        <v>1893</v>
      </c>
    </row>
    <row r="25" spans="1:48" ht="94.95" customHeight="1" thickBot="1" x14ac:dyDescent="0.4">
      <c r="A25" s="264"/>
      <c r="B25" s="1427" t="s">
        <v>44</v>
      </c>
      <c r="C25" s="1427" t="s">
        <v>45</v>
      </c>
      <c r="D25" s="402" t="s">
        <v>43</v>
      </c>
      <c r="E25" s="310">
        <v>0.7</v>
      </c>
      <c r="F25" s="428">
        <v>20</v>
      </c>
      <c r="G25" s="429">
        <v>20</v>
      </c>
      <c r="H25" s="430"/>
      <c r="I25" s="430">
        <v>0</v>
      </c>
      <c r="J25" s="431">
        <f>+G25/F25</f>
        <v>1</v>
      </c>
      <c r="K25" s="434"/>
      <c r="L25" s="434"/>
      <c r="M25" s="431">
        <f>+(G25/F25)*E25</f>
        <v>0.7</v>
      </c>
      <c r="N25" s="434"/>
      <c r="O25" s="434"/>
      <c r="P25" s="429">
        <v>23</v>
      </c>
      <c r="Q25" s="484"/>
      <c r="R25" s="484"/>
      <c r="S25" s="484"/>
      <c r="T25" s="484">
        <v>0</v>
      </c>
      <c r="U25" s="484">
        <v>0</v>
      </c>
      <c r="V25" s="430">
        <f>+Q25+R25+S25+T25+U25</f>
        <v>0</v>
      </c>
      <c r="W25" s="430">
        <f>+V25+P25+AB25</f>
        <v>23</v>
      </c>
      <c r="X25" s="484">
        <v>0</v>
      </c>
      <c r="Y25" s="430"/>
      <c r="Z25" s="430"/>
      <c r="AA25" s="430"/>
      <c r="AB25" s="430">
        <f t="shared" si="4"/>
        <v>0</v>
      </c>
      <c r="AC25" s="431">
        <v>1</v>
      </c>
      <c r="AD25" s="464"/>
      <c r="AE25" s="464"/>
      <c r="AF25" s="478">
        <f>+AC25*E25</f>
        <v>0.7</v>
      </c>
      <c r="AG25" s="502"/>
      <c r="AH25" s="504">
        <f t="shared" si="24"/>
        <v>0</v>
      </c>
      <c r="AI25" s="502">
        <v>1</v>
      </c>
      <c r="AJ25" s="503">
        <v>1</v>
      </c>
      <c r="AK25" s="503">
        <v>1</v>
      </c>
      <c r="AL25" s="502">
        <f>+AI25*E25</f>
        <v>0.7</v>
      </c>
      <c r="AM25" s="503">
        <f>+AJ25*E25</f>
        <v>0.7</v>
      </c>
      <c r="AN25" s="1426">
        <f t="shared" si="16"/>
        <v>0.7</v>
      </c>
      <c r="AO25" s="179" t="s">
        <v>1591</v>
      </c>
      <c r="AP25" s="674" t="s">
        <v>1963</v>
      </c>
      <c r="AQ25" s="571" t="s">
        <v>2264</v>
      </c>
      <c r="AR25" s="680" t="s">
        <v>2286</v>
      </c>
      <c r="AS25" s="680" t="s">
        <v>2401</v>
      </c>
      <c r="AT25" s="680" t="s">
        <v>2434</v>
      </c>
      <c r="AU25" s="196"/>
      <c r="AV25" s="680" t="s">
        <v>1893</v>
      </c>
    </row>
    <row r="26" spans="1:48" ht="94.95" customHeight="1" thickBot="1" x14ac:dyDescent="0.45">
      <c r="A26" s="264"/>
      <c r="B26" s="1535" t="s">
        <v>1597</v>
      </c>
      <c r="C26" s="1534"/>
      <c r="D26" s="402"/>
      <c r="E26" s="424">
        <v>0.1</v>
      </c>
      <c r="F26" s="427"/>
      <c r="G26" s="429"/>
      <c r="H26" s="430"/>
      <c r="I26" s="430"/>
      <c r="J26" s="426">
        <f>+AVERAGE(J27:J30)</f>
        <v>0.15590277777777778</v>
      </c>
      <c r="K26" s="426">
        <f>+AVERAGE(K27:K30)</f>
        <v>0.26105944444444446</v>
      </c>
      <c r="L26" s="426">
        <f>+AVERAGE(L27:L30)</f>
        <v>0.32129916666666669</v>
      </c>
      <c r="M26" s="426">
        <f>+M27+M28+M29+M30</f>
        <v>0.15590277777777778</v>
      </c>
      <c r="N26" s="426">
        <f>+N27+N28+N29+N30</f>
        <v>0.26105944444444446</v>
      </c>
      <c r="O26" s="426"/>
      <c r="P26" s="427"/>
      <c r="Q26" s="433"/>
      <c r="R26" s="433"/>
      <c r="S26" s="433"/>
      <c r="T26" s="433"/>
      <c r="U26" s="981"/>
      <c r="V26" s="433"/>
      <c r="W26" s="433"/>
      <c r="X26" s="433"/>
      <c r="Y26" s="433"/>
      <c r="Z26" s="433"/>
      <c r="AA26" s="433"/>
      <c r="AB26" s="433"/>
      <c r="AC26" s="486">
        <f>+AVERAGE(AC27:AC30)</f>
        <v>1</v>
      </c>
      <c r="AD26" s="486">
        <f>+AVERAGE(AD27:AD30)</f>
        <v>0.87291666666666667</v>
      </c>
      <c r="AE26" s="486">
        <f>+AVERAGE(AE27:AE30)</f>
        <v>0.13004692986774311</v>
      </c>
      <c r="AF26" s="486">
        <f>+(AF27+AF28+AF29+AF30)*E26</f>
        <v>0.1</v>
      </c>
      <c r="AG26" s="505">
        <f>+(AG27+AG28+AG29+AG30)*E26</f>
        <v>8.729166666666667E-2</v>
      </c>
      <c r="AH26" s="1033">
        <f>+(AH27+AH28+AH29+AH30)*E26</f>
        <v>1.3004692986774312E-2</v>
      </c>
      <c r="AI26" s="446">
        <f>+AVERAGE(AI27:AI30)</f>
        <v>0.22168277777777778</v>
      </c>
      <c r="AJ26" s="498">
        <v>0.66974250000000002</v>
      </c>
      <c r="AK26" s="498">
        <f>+AVERAGE(AK27:AK30)</f>
        <v>0.71960138888888892</v>
      </c>
      <c r="AL26" s="446">
        <f>+(AL27+AL28+AL29+AL30)*E26</f>
        <v>2.216827777777778E-2</v>
      </c>
      <c r="AM26" s="498">
        <f>+(AM27+AM28+AM29+AM30)</f>
        <v>0.66974250000000002</v>
      </c>
      <c r="AN26" s="498">
        <f>+(AN27+AN28+AN29+AN30)</f>
        <v>0.71960138888888892</v>
      </c>
      <c r="AO26" s="172"/>
      <c r="AP26" s="400"/>
      <c r="AQ26" s="400"/>
      <c r="AR26" s="400"/>
      <c r="AS26" s="400"/>
      <c r="AT26" s="400"/>
      <c r="AU26" s="196"/>
      <c r="AV26" s="196"/>
    </row>
    <row r="27" spans="1:48" ht="94.95" customHeight="1" thickBot="1" x14ac:dyDescent="0.4">
      <c r="A27" s="264"/>
      <c r="B27" s="1430" t="s">
        <v>46</v>
      </c>
      <c r="C27" s="1430" t="s">
        <v>47</v>
      </c>
      <c r="D27" s="402" t="s">
        <v>48</v>
      </c>
      <c r="E27" s="310">
        <v>0.25</v>
      </c>
      <c r="F27" s="435">
        <v>100000</v>
      </c>
      <c r="G27" s="429">
        <v>20000</v>
      </c>
      <c r="H27" s="430">
        <v>21646</v>
      </c>
      <c r="I27" s="430">
        <v>4353</v>
      </c>
      <c r="J27" s="431">
        <f>+G27/F27</f>
        <v>0.2</v>
      </c>
      <c r="K27" s="434">
        <f t="shared" si="18"/>
        <v>0.21646000000000001</v>
      </c>
      <c r="L27" s="434">
        <f t="shared" ref="L27:L30" si="29">+I27/F27</f>
        <v>4.3529999999999999E-2</v>
      </c>
      <c r="M27" s="431">
        <f>+(G27/F27)*E27</f>
        <v>0.05</v>
      </c>
      <c r="N27" s="434">
        <f>+(H27/F27)*E27</f>
        <v>5.4115000000000003E-2</v>
      </c>
      <c r="O27" s="434"/>
      <c r="P27" s="429">
        <v>45062</v>
      </c>
      <c r="Q27" s="484">
        <v>5568</v>
      </c>
      <c r="R27" s="484">
        <v>20185</v>
      </c>
      <c r="S27" s="484">
        <v>8480</v>
      </c>
      <c r="T27" s="484">
        <v>7457</v>
      </c>
      <c r="U27" s="484">
        <v>5895</v>
      </c>
      <c r="V27" s="430">
        <f>+Q27+R27+S27+T27+U27</f>
        <v>47585</v>
      </c>
      <c r="W27" s="430">
        <f>+V27+P27+AB27</f>
        <v>93535</v>
      </c>
      <c r="X27" s="484">
        <v>888</v>
      </c>
      <c r="Y27" s="430"/>
      <c r="Z27" s="430"/>
      <c r="AA27" s="430"/>
      <c r="AB27" s="430">
        <f>+X27+Y27+Z27+AA27</f>
        <v>888</v>
      </c>
      <c r="AC27" s="431">
        <v>1</v>
      </c>
      <c r="AD27" s="464">
        <v>1</v>
      </c>
      <c r="AE27" s="464">
        <f>+AB27/I27</f>
        <v>0.2039972432804962</v>
      </c>
      <c r="AF27" s="478">
        <f>+AC27*E27</f>
        <v>0.25</v>
      </c>
      <c r="AG27" s="502">
        <f>+AD27*E27</f>
        <v>0.25</v>
      </c>
      <c r="AH27" s="509">
        <f t="shared" si="24"/>
        <v>5.0999310820124051E-2</v>
      </c>
      <c r="AI27" s="502">
        <f>+P27/F27</f>
        <v>0.45062000000000002</v>
      </c>
      <c r="AJ27" s="503">
        <v>0.92647000000000002</v>
      </c>
      <c r="AK27" s="503">
        <f t="shared" ref="AK27:AK30" si="30">+W27/F27</f>
        <v>0.93535000000000001</v>
      </c>
      <c r="AL27" s="502">
        <f>+AI27*E27</f>
        <v>0.11265500000000001</v>
      </c>
      <c r="AM27" s="503">
        <f>+AJ27*E27</f>
        <v>0.2316175</v>
      </c>
      <c r="AN27" s="1426">
        <f>+AK27*E27</f>
        <v>0.2338375</v>
      </c>
      <c r="AO27" s="179" t="s">
        <v>1850</v>
      </c>
      <c r="AP27" s="571" t="s">
        <v>1892</v>
      </c>
      <c r="AQ27" s="680" t="s">
        <v>2264</v>
      </c>
      <c r="AR27" s="680" t="s">
        <v>2286</v>
      </c>
      <c r="AS27" s="680" t="s">
        <v>2401</v>
      </c>
      <c r="AT27" s="680" t="s">
        <v>2434</v>
      </c>
      <c r="AU27" s="680" t="s">
        <v>2487</v>
      </c>
      <c r="AV27" s="680" t="s">
        <v>1893</v>
      </c>
    </row>
    <row r="28" spans="1:48" ht="94.95" customHeight="1" thickBot="1" x14ac:dyDescent="0.4">
      <c r="A28" s="264"/>
      <c r="B28" s="1430" t="s">
        <v>49</v>
      </c>
      <c r="C28" s="1430" t="s">
        <v>50</v>
      </c>
      <c r="D28" s="402" t="s">
        <v>48</v>
      </c>
      <c r="E28" s="310">
        <v>0.25</v>
      </c>
      <c r="F28" s="428">
        <v>400</v>
      </c>
      <c r="G28" s="429">
        <v>25</v>
      </c>
      <c r="H28" s="430">
        <v>120</v>
      </c>
      <c r="I28" s="430">
        <v>150</v>
      </c>
      <c r="J28" s="431">
        <f>+G28/F28</f>
        <v>6.25E-2</v>
      </c>
      <c r="K28" s="434">
        <f t="shared" si="18"/>
        <v>0.3</v>
      </c>
      <c r="L28" s="434">
        <f t="shared" si="29"/>
        <v>0.375</v>
      </c>
      <c r="M28" s="431">
        <f>+(G28/F28)*E28</f>
        <v>1.5625E-2</v>
      </c>
      <c r="N28" s="434">
        <f t="shared" ref="N28:N29" si="31">+(H28/F28)*E28</f>
        <v>7.4999999999999997E-2</v>
      </c>
      <c r="O28" s="434"/>
      <c r="P28" s="429">
        <v>30</v>
      </c>
      <c r="Q28" s="484">
        <v>0</v>
      </c>
      <c r="R28" s="484">
        <v>45</v>
      </c>
      <c r="S28" s="484">
        <v>0</v>
      </c>
      <c r="T28" s="484">
        <v>0</v>
      </c>
      <c r="U28" s="484">
        <v>14</v>
      </c>
      <c r="V28" s="430">
        <f t="shared" ref="V28:V30" si="32">+Q28+R28+S28+T28+U28</f>
        <v>59</v>
      </c>
      <c r="W28" s="430">
        <f>+V28+P28+AB28</f>
        <v>95</v>
      </c>
      <c r="X28" s="484">
        <v>6</v>
      </c>
      <c r="Y28" s="430"/>
      <c r="Z28" s="430"/>
      <c r="AA28" s="430"/>
      <c r="AB28" s="430">
        <f t="shared" si="4"/>
        <v>6</v>
      </c>
      <c r="AC28" s="431">
        <v>1</v>
      </c>
      <c r="AD28" s="464">
        <f>+V28/H28</f>
        <v>0.49166666666666664</v>
      </c>
      <c r="AE28" s="464">
        <f t="shared" si="5"/>
        <v>0.04</v>
      </c>
      <c r="AF28" s="478">
        <f>+AC28*E28</f>
        <v>0.25</v>
      </c>
      <c r="AG28" s="502">
        <f>+AD28*E28</f>
        <v>0.12291666666666666</v>
      </c>
      <c r="AH28" s="503">
        <f t="shared" si="24"/>
        <v>0.01</v>
      </c>
      <c r="AI28" s="502">
        <f>+P28/F28</f>
        <v>7.4999999999999997E-2</v>
      </c>
      <c r="AJ28" s="503">
        <v>0.2225</v>
      </c>
      <c r="AK28" s="503">
        <f t="shared" si="30"/>
        <v>0.23749999999999999</v>
      </c>
      <c r="AL28" s="502">
        <f>+AI28*E28</f>
        <v>1.8749999999999999E-2</v>
      </c>
      <c r="AM28" s="503">
        <f>+AJ28*E28</f>
        <v>5.5625000000000001E-2</v>
      </c>
      <c r="AN28" s="1426">
        <f t="shared" si="16"/>
        <v>5.9374999999999997E-2</v>
      </c>
      <c r="AO28" s="179" t="s">
        <v>1850</v>
      </c>
      <c r="AP28" s="571" t="s">
        <v>1892</v>
      </c>
      <c r="AQ28" s="680" t="s">
        <v>2264</v>
      </c>
      <c r="AR28" s="680" t="s">
        <v>2286</v>
      </c>
      <c r="AS28" s="680" t="s">
        <v>2401</v>
      </c>
      <c r="AT28" s="680" t="s">
        <v>2434</v>
      </c>
      <c r="AU28" s="680" t="s">
        <v>2487</v>
      </c>
      <c r="AV28" s="680" t="s">
        <v>1893</v>
      </c>
    </row>
    <row r="29" spans="1:48" ht="94.95" customHeight="1" thickBot="1" x14ac:dyDescent="0.4">
      <c r="A29" s="264"/>
      <c r="B29" s="1430" t="s">
        <v>51</v>
      </c>
      <c r="C29" s="1430" t="s">
        <v>52</v>
      </c>
      <c r="D29" s="402" t="s">
        <v>48</v>
      </c>
      <c r="E29" s="310">
        <v>0.25</v>
      </c>
      <c r="F29" s="428">
        <v>1</v>
      </c>
      <c r="G29" s="429">
        <v>0.25</v>
      </c>
      <c r="H29" s="430">
        <v>0.25</v>
      </c>
      <c r="I29" s="430">
        <v>0.7</v>
      </c>
      <c r="J29" s="431">
        <f>+G29/F29</f>
        <v>0.25</v>
      </c>
      <c r="K29" s="434">
        <f t="shared" si="18"/>
        <v>0.25</v>
      </c>
      <c r="L29" s="434">
        <f t="shared" si="29"/>
        <v>0.7</v>
      </c>
      <c r="M29" s="431">
        <f>+(G29/F29)*E29</f>
        <v>6.25E-2</v>
      </c>
      <c r="N29" s="434">
        <f t="shared" si="31"/>
        <v>6.25E-2</v>
      </c>
      <c r="O29" s="434"/>
      <c r="P29" s="429">
        <v>0.25</v>
      </c>
      <c r="Q29" s="484">
        <v>0.05</v>
      </c>
      <c r="R29" s="484">
        <v>0.1</v>
      </c>
      <c r="S29" s="484">
        <v>0.2</v>
      </c>
      <c r="T29" s="484">
        <v>0.23</v>
      </c>
      <c r="U29" s="484">
        <v>0</v>
      </c>
      <c r="V29" s="430">
        <f t="shared" si="32"/>
        <v>0.58000000000000007</v>
      </c>
      <c r="W29" s="463">
        <f>+V29+P29+AB29</f>
        <v>1</v>
      </c>
      <c r="X29" s="484">
        <v>0.17</v>
      </c>
      <c r="Y29" s="430"/>
      <c r="Z29" s="430"/>
      <c r="AA29" s="430"/>
      <c r="AB29" s="430">
        <f t="shared" si="4"/>
        <v>0.17</v>
      </c>
      <c r="AC29" s="431">
        <f>+(P29/G29)</f>
        <v>1</v>
      </c>
      <c r="AD29" s="464">
        <v>1</v>
      </c>
      <c r="AE29" s="464">
        <f>+AB29/I29</f>
        <v>0.24285714285714288</v>
      </c>
      <c r="AF29" s="478">
        <f>+AC29*E29</f>
        <v>0.25</v>
      </c>
      <c r="AG29" s="502">
        <f t="shared" ref="AG29" si="33">+AD29*E29</f>
        <v>0.25</v>
      </c>
      <c r="AH29" s="503">
        <f t="shared" si="24"/>
        <v>6.0714285714285721E-2</v>
      </c>
      <c r="AI29" s="502">
        <f>+P29/F29</f>
        <v>0.25</v>
      </c>
      <c r="AJ29" s="503">
        <v>0.83000000000000007</v>
      </c>
      <c r="AK29" s="503">
        <f t="shared" si="30"/>
        <v>1</v>
      </c>
      <c r="AL29" s="502">
        <f>+AI29*E29</f>
        <v>6.25E-2</v>
      </c>
      <c r="AM29" s="503">
        <f>+AJ29*E29</f>
        <v>0.20750000000000002</v>
      </c>
      <c r="AN29" s="1426">
        <f t="shared" si="16"/>
        <v>0.25</v>
      </c>
      <c r="AO29" s="179" t="s">
        <v>1850</v>
      </c>
      <c r="AP29" s="571" t="s">
        <v>1892</v>
      </c>
      <c r="AQ29" s="680" t="s">
        <v>2264</v>
      </c>
      <c r="AR29" s="680" t="s">
        <v>2286</v>
      </c>
      <c r="AS29" s="680" t="s">
        <v>2401</v>
      </c>
      <c r="AT29" s="680" t="s">
        <v>2434</v>
      </c>
      <c r="AU29" s="680" t="s">
        <v>2487</v>
      </c>
      <c r="AV29" s="680" t="s">
        <v>1893</v>
      </c>
    </row>
    <row r="30" spans="1:48" ht="94.95" customHeight="1" thickBot="1" x14ac:dyDescent="0.4">
      <c r="A30" s="264"/>
      <c r="B30" s="1430" t="s">
        <v>53</v>
      </c>
      <c r="C30" s="1430" t="s">
        <v>54</v>
      </c>
      <c r="D30" s="402" t="s">
        <v>48</v>
      </c>
      <c r="E30" s="310">
        <v>0.25</v>
      </c>
      <c r="F30" s="428">
        <v>180</v>
      </c>
      <c r="G30" s="429">
        <v>20</v>
      </c>
      <c r="H30" s="430">
        <v>50</v>
      </c>
      <c r="I30" s="430">
        <v>30</v>
      </c>
      <c r="J30" s="431">
        <f>+G30/F30</f>
        <v>0.1111111111111111</v>
      </c>
      <c r="K30" s="434">
        <f t="shared" si="18"/>
        <v>0.27777777777777779</v>
      </c>
      <c r="L30" s="434">
        <f t="shared" si="29"/>
        <v>0.16666666666666666</v>
      </c>
      <c r="M30" s="431">
        <f>+(G30/F30)*E30</f>
        <v>2.7777777777777776E-2</v>
      </c>
      <c r="N30" s="434">
        <f>+(H30/F30)*E30</f>
        <v>6.9444444444444448E-2</v>
      </c>
      <c r="O30" s="434"/>
      <c r="P30" s="429">
        <v>20</v>
      </c>
      <c r="Q30" s="484">
        <v>8</v>
      </c>
      <c r="R30" s="484">
        <v>80</v>
      </c>
      <c r="S30" s="484">
        <v>2</v>
      </c>
      <c r="T30" s="484">
        <v>16</v>
      </c>
      <c r="U30" s="484">
        <v>0</v>
      </c>
      <c r="V30" s="430">
        <f t="shared" si="32"/>
        <v>106</v>
      </c>
      <c r="W30" s="430">
        <f>+V30+P30+AB30</f>
        <v>127</v>
      </c>
      <c r="X30" s="484">
        <v>1</v>
      </c>
      <c r="Y30" s="430"/>
      <c r="Z30" s="430"/>
      <c r="AA30" s="430"/>
      <c r="AB30" s="430">
        <f t="shared" si="4"/>
        <v>1</v>
      </c>
      <c r="AC30" s="431">
        <f>+(P30/G30)</f>
        <v>1</v>
      </c>
      <c r="AD30" s="464">
        <v>1</v>
      </c>
      <c r="AE30" s="464">
        <f t="shared" si="5"/>
        <v>3.3333333333333333E-2</v>
      </c>
      <c r="AF30" s="478">
        <f>+AC30*E30</f>
        <v>0.25</v>
      </c>
      <c r="AG30" s="502">
        <f>+AD30*E30</f>
        <v>0.25</v>
      </c>
      <c r="AH30" s="504">
        <f t="shared" si="24"/>
        <v>8.3333333333333332E-3</v>
      </c>
      <c r="AI30" s="502">
        <f>+P30/F30</f>
        <v>0.1111111111111111</v>
      </c>
      <c r="AJ30" s="503">
        <v>0.7</v>
      </c>
      <c r="AK30" s="503">
        <f t="shared" si="30"/>
        <v>0.7055555555555556</v>
      </c>
      <c r="AL30" s="502">
        <f>+AI30*E30</f>
        <v>2.7777777777777776E-2</v>
      </c>
      <c r="AM30" s="503">
        <f>+AJ30*E30</f>
        <v>0.17499999999999999</v>
      </c>
      <c r="AN30" s="936">
        <f t="shared" si="16"/>
        <v>0.1763888888888889</v>
      </c>
      <c r="AO30" s="179" t="s">
        <v>1850</v>
      </c>
      <c r="AP30" s="571" t="s">
        <v>1892</v>
      </c>
      <c r="AQ30" s="680" t="s">
        <v>2264</v>
      </c>
      <c r="AR30" s="680" t="s">
        <v>2286</v>
      </c>
      <c r="AS30" s="680" t="s">
        <v>2401</v>
      </c>
      <c r="AT30" s="680" t="s">
        <v>2434</v>
      </c>
      <c r="AU30" s="680" t="s">
        <v>2487</v>
      </c>
      <c r="AV30" s="680" t="s">
        <v>1893</v>
      </c>
    </row>
    <row r="31" spans="1:48" ht="94.95" customHeight="1" thickBot="1" x14ac:dyDescent="0.45">
      <c r="A31" s="264"/>
      <c r="B31" s="1536" t="s">
        <v>55</v>
      </c>
      <c r="C31" s="1534"/>
      <c r="D31" s="399"/>
      <c r="E31" s="436">
        <v>0.1</v>
      </c>
      <c r="F31" s="436">
        <f>+E31*AF31</f>
        <v>6.4343375000000022E-2</v>
      </c>
      <c r="G31" s="427"/>
      <c r="H31" s="436">
        <f>E31*AG31</f>
        <v>6.9202413519813516E-2</v>
      </c>
      <c r="I31" s="436">
        <f>+E31*AH31</f>
        <v>1.95142461889935E-2</v>
      </c>
      <c r="J31" s="421">
        <f>+(J32+J36+J39+J44+J52+J57+J77+J87)/8</f>
        <v>0.23923611111111112</v>
      </c>
      <c r="K31" s="421">
        <f>+(K32+K36+K39+K44+K52+K57+K77+K87)/8</f>
        <v>0.33642940083979328</v>
      </c>
      <c r="L31" s="421">
        <f>+(L32+L36+L39+L44+L52+L57+L77+L87)/8</f>
        <v>0.27502184415298797</v>
      </c>
      <c r="M31" s="422">
        <f>+(M32+M36+M39+M44+M52+M57+M77+M87)/8</f>
        <v>0.16062499999999999</v>
      </c>
      <c r="N31" s="422"/>
      <c r="O31" s="422"/>
      <c r="P31" s="427"/>
      <c r="Q31" s="433"/>
      <c r="R31" s="433"/>
      <c r="S31" s="433"/>
      <c r="T31" s="433"/>
      <c r="U31" s="433"/>
      <c r="V31" s="433"/>
      <c r="W31" s="433"/>
      <c r="X31" s="433"/>
      <c r="Y31" s="433"/>
      <c r="Z31" s="433"/>
      <c r="AA31" s="433"/>
      <c r="AB31" s="433"/>
      <c r="AC31" s="421">
        <f>+(AC32+AC36+AC39+AC44+AC52+AC57+AC77+AC87)/8</f>
        <v>0.90306155303030311</v>
      </c>
      <c r="AD31" s="421">
        <f>+(AD32+AD36+AD39+AD44+AD52+AD57+AD77+AD87)/8</f>
        <v>0.82692475233100227</v>
      </c>
      <c r="AE31" s="421">
        <f>+(AE32+AE36+AE39+AE44+AE52+AE57+AE77+AE87)/8</f>
        <v>0.20136836927911761</v>
      </c>
      <c r="AF31" s="422">
        <f>+AF32+AF36+AF39+AF44+AF52+AF57+AF77+AF87</f>
        <v>0.64343375000000014</v>
      </c>
      <c r="AG31" s="496">
        <f>+AG32+AG36+AG39+AG44+AG52+AG57+AG77+AG87</f>
        <v>0.6920241351981351</v>
      </c>
      <c r="AH31" s="421">
        <f>+AH32+AH36+AH39+AH44+AH52+AH57+AH77+AH87</f>
        <v>0.19514246188993498</v>
      </c>
      <c r="AI31" s="501">
        <f>+(AI32+AI36+AI39+AI44+AI52+AI57+AI77+AI87)/8</f>
        <v>0.25041408617424243</v>
      </c>
      <c r="AJ31" s="497">
        <v>0.51564037674127183</v>
      </c>
      <c r="AK31" s="497">
        <f>+(AK32+AK36+AK39+AK44+AK52+AK57+AK77+AK87)/8</f>
        <v>0.55721489320920936</v>
      </c>
      <c r="AL31" s="496">
        <f>+AL32+AL36+AL39+AL44+AL52+AL57+AL77+AL87</f>
        <v>0.19896443750000001</v>
      </c>
      <c r="AM31" s="600">
        <f>+(AM32*E32)+(AM36*E36)+(AM39*E39)+(AM44*E44)+(AM52*E52)+(AM57*E57)+(AM77*E77)+(AM87*E87)</f>
        <v>0.49297341860465116</v>
      </c>
      <c r="AN31" s="600">
        <f>+(AN32*E32)+(AN36*E36)+(AN39*E39)+(AN44*E44)+(AN52*E52)+(AN57*E57)+(AN77*E77)+(AN87*E87)</f>
        <v>0.54219734284707533</v>
      </c>
      <c r="AO31" s="164"/>
      <c r="AP31" s="400"/>
      <c r="AQ31" s="400"/>
      <c r="AR31" s="400"/>
      <c r="AS31" s="400"/>
      <c r="AT31" s="400"/>
      <c r="AU31" s="196"/>
      <c r="AV31" s="196"/>
    </row>
    <row r="32" spans="1:48" ht="94.95" customHeight="1" thickBot="1" x14ac:dyDescent="0.45">
      <c r="A32" s="264"/>
      <c r="B32" s="1535" t="s">
        <v>1598</v>
      </c>
      <c r="C32" s="1534"/>
      <c r="D32" s="401"/>
      <c r="E32" s="424">
        <v>0.15</v>
      </c>
      <c r="F32" s="427"/>
      <c r="G32" s="429"/>
      <c r="H32" s="430"/>
      <c r="I32" s="430"/>
      <c r="J32" s="426">
        <f>+AVERAGE(J33:J35)</f>
        <v>0.17500000000000002</v>
      </c>
      <c r="K32" s="426">
        <f>+AVERAGE(K33:K35)</f>
        <v>0.25</v>
      </c>
      <c r="L32" s="426">
        <f>+AVERAGE(L33:L35)</f>
        <v>0.28333333333333333</v>
      </c>
      <c r="M32" s="426">
        <f>+M33+M34+M35</f>
        <v>0.1525</v>
      </c>
      <c r="N32" s="426">
        <f>+N33+N34+N35</f>
        <v>0.245</v>
      </c>
      <c r="O32" s="426"/>
      <c r="P32" s="429"/>
      <c r="Q32" s="430"/>
      <c r="R32" s="430"/>
      <c r="S32" s="430"/>
      <c r="T32" s="430"/>
      <c r="U32" s="430"/>
      <c r="V32" s="430"/>
      <c r="W32" s="430"/>
      <c r="X32" s="430"/>
      <c r="Y32" s="430"/>
      <c r="Z32" s="430"/>
      <c r="AA32" s="430"/>
      <c r="AB32" s="430"/>
      <c r="AC32" s="486">
        <f>+AVERAGE(AC33:AC35)</f>
        <v>1</v>
      </c>
      <c r="AD32" s="486">
        <f>+AVERAGE(AD33:AD35)</f>
        <v>1</v>
      </c>
      <c r="AE32" s="486">
        <f>+AVERAGE(AE33:AE35)</f>
        <v>0.28622222222222221</v>
      </c>
      <c r="AF32" s="486">
        <f>+(AF33+AF34+AF35)*E32</f>
        <v>0.15</v>
      </c>
      <c r="AG32" s="505">
        <f>+(AG33+AG34+AG35)*E32</f>
        <v>0.15</v>
      </c>
      <c r="AH32" s="1033">
        <f>+(AH33+AH34+AH35)*E32</f>
        <v>5.7769999999999995E-2</v>
      </c>
      <c r="AI32" s="446">
        <f>+AVERAGE(AI33:AI35)</f>
        <v>0.36919999999999997</v>
      </c>
      <c r="AJ32" s="498">
        <v>0.84073333333333322</v>
      </c>
      <c r="AK32" s="498">
        <f>+AVERAGE(AK33:AK35)</f>
        <v>0.89826666666666666</v>
      </c>
      <c r="AL32" s="446">
        <f>+(AL33+AL34+AL35)*E32</f>
        <v>6.1731000000000001E-2</v>
      </c>
      <c r="AM32" s="498">
        <f>+(AM33+AM34+AM35)</f>
        <v>0.87988</v>
      </c>
      <c r="AN32" s="1041">
        <f>+(AN33+AN34+AN35)</f>
        <v>0.95291999999999999</v>
      </c>
      <c r="AO32" s="172"/>
      <c r="AP32" s="400"/>
      <c r="AQ32" s="400"/>
      <c r="AR32" s="400"/>
      <c r="AS32" s="400"/>
      <c r="AT32" s="400"/>
      <c r="AU32" s="196"/>
      <c r="AV32" s="196"/>
    </row>
    <row r="33" spans="1:48" ht="94.95" customHeight="1" thickBot="1" x14ac:dyDescent="0.4">
      <c r="A33" s="264"/>
      <c r="B33" s="1430" t="s">
        <v>56</v>
      </c>
      <c r="C33" s="1430" t="s">
        <v>57</v>
      </c>
      <c r="D33" s="402" t="s">
        <v>58</v>
      </c>
      <c r="E33" s="437">
        <v>0.4</v>
      </c>
      <c r="F33" s="428">
        <v>5000</v>
      </c>
      <c r="G33" s="429">
        <v>500</v>
      </c>
      <c r="H33" s="430">
        <v>1500</v>
      </c>
      <c r="I33" s="430">
        <v>1500</v>
      </c>
      <c r="J33" s="431">
        <f>+G33/F33</f>
        <v>0.1</v>
      </c>
      <c r="K33" s="434">
        <f t="shared" ref="K33:K43" si="34">+H33/F33</f>
        <v>0.3</v>
      </c>
      <c r="L33" s="434">
        <f t="shared" ref="L33:L90" si="35">+I33/F33</f>
        <v>0.3</v>
      </c>
      <c r="M33" s="431">
        <f>+(G33/F33)*E33</f>
        <v>4.0000000000000008E-2</v>
      </c>
      <c r="N33" s="434">
        <f>+(H33/F33)*E33</f>
        <v>0.12</v>
      </c>
      <c r="O33" s="434"/>
      <c r="P33" s="429">
        <v>2113</v>
      </c>
      <c r="Q33" s="484">
        <v>950</v>
      </c>
      <c r="R33" s="484">
        <v>361</v>
      </c>
      <c r="S33" s="484">
        <v>356</v>
      </c>
      <c r="T33" s="484">
        <v>112</v>
      </c>
      <c r="U33" s="484">
        <v>169</v>
      </c>
      <c r="V33" s="485">
        <f>+Q33+R33+S33+T33+U33</f>
        <v>1948</v>
      </c>
      <c r="W33" s="1051">
        <f>+V33+P33+AB33</f>
        <v>4724</v>
      </c>
      <c r="X33" s="1051">
        <v>663</v>
      </c>
      <c r="Y33" s="1051"/>
      <c r="Z33" s="1051"/>
      <c r="AA33" s="1051"/>
      <c r="AB33" s="1051">
        <f t="shared" ref="AB33:AB90" si="36">+X33+Y33+Z33+AA33</f>
        <v>663</v>
      </c>
      <c r="AC33" s="431">
        <v>1</v>
      </c>
      <c r="AD33" s="464">
        <v>1</v>
      </c>
      <c r="AE33" s="464">
        <f t="shared" ref="AE33:AE90" si="37">+AB33/I33</f>
        <v>0.442</v>
      </c>
      <c r="AF33" s="478">
        <f>+AC33*E33</f>
        <v>0.4</v>
      </c>
      <c r="AG33" s="502">
        <f>+AD33*E33</f>
        <v>0.4</v>
      </c>
      <c r="AH33" s="509">
        <f t="shared" ref="AH33" si="38">+AE33*E33</f>
        <v>0.17680000000000001</v>
      </c>
      <c r="AI33" s="502">
        <f>+P33/F33</f>
        <v>0.42259999999999998</v>
      </c>
      <c r="AJ33" s="503">
        <v>0.81220000000000003</v>
      </c>
      <c r="AK33" s="503">
        <f t="shared" ref="AK33:AK90" si="39">+W33/F33</f>
        <v>0.94479999999999997</v>
      </c>
      <c r="AL33" s="502">
        <f>+AI33*E33</f>
        <v>0.16904</v>
      </c>
      <c r="AM33" s="503">
        <f>+AJ33*E33</f>
        <v>0.32488000000000006</v>
      </c>
      <c r="AN33" s="1431">
        <f t="shared" ref="AN33:AN90" si="40">+AK33*E33</f>
        <v>0.37792000000000003</v>
      </c>
      <c r="AO33" s="179" t="s">
        <v>1850</v>
      </c>
      <c r="AP33" s="571" t="s">
        <v>1892</v>
      </c>
      <c r="AQ33" s="680" t="s">
        <v>2264</v>
      </c>
      <c r="AR33" s="680" t="s">
        <v>2286</v>
      </c>
      <c r="AS33" s="680" t="s">
        <v>2401</v>
      </c>
      <c r="AT33" s="680" t="s">
        <v>2434</v>
      </c>
      <c r="AU33" s="680" t="s">
        <v>2487</v>
      </c>
      <c r="AV33" s="680" t="s">
        <v>1893</v>
      </c>
    </row>
    <row r="34" spans="1:48" ht="94.95" customHeight="1" thickBot="1" x14ac:dyDescent="0.4">
      <c r="A34" s="264"/>
      <c r="B34" s="1430" t="s">
        <v>59</v>
      </c>
      <c r="C34" s="1430" t="s">
        <v>60</v>
      </c>
      <c r="D34" s="402" t="s">
        <v>58</v>
      </c>
      <c r="E34" s="437">
        <v>0.5</v>
      </c>
      <c r="F34" s="428">
        <v>200</v>
      </c>
      <c r="G34" s="429">
        <v>35</v>
      </c>
      <c r="H34" s="430">
        <v>40</v>
      </c>
      <c r="I34" s="430">
        <v>60</v>
      </c>
      <c r="J34" s="431">
        <f>+G34/F34</f>
        <v>0.17499999999999999</v>
      </c>
      <c r="K34" s="434">
        <f t="shared" si="34"/>
        <v>0.2</v>
      </c>
      <c r="L34" s="434">
        <f t="shared" si="35"/>
        <v>0.3</v>
      </c>
      <c r="M34" s="431">
        <f>+(G34/F34)*E34</f>
        <v>8.7499999999999994E-2</v>
      </c>
      <c r="N34" s="434">
        <f t="shared" ref="N34:N90" si="41">+(H34/F34)*E34</f>
        <v>0.1</v>
      </c>
      <c r="O34" s="434"/>
      <c r="P34" s="429">
        <v>87</v>
      </c>
      <c r="Q34" s="484">
        <v>27</v>
      </c>
      <c r="R34" s="484">
        <v>35</v>
      </c>
      <c r="S34" s="484">
        <v>0</v>
      </c>
      <c r="T34" s="484">
        <v>28</v>
      </c>
      <c r="U34" s="484">
        <v>15</v>
      </c>
      <c r="V34" s="485">
        <f t="shared" ref="V34" si="42">+Q34+R34+S34+T34+U34</f>
        <v>105</v>
      </c>
      <c r="W34" s="1051">
        <f t="shared" ref="W34" si="43">+V34+P34+AB34</f>
        <v>217</v>
      </c>
      <c r="X34" s="1051">
        <v>25</v>
      </c>
      <c r="Y34" s="1051"/>
      <c r="Z34" s="1051"/>
      <c r="AA34" s="1051"/>
      <c r="AB34" s="1051">
        <f>+X34+Y34+Z34+AA34</f>
        <v>25</v>
      </c>
      <c r="AC34" s="431">
        <v>1</v>
      </c>
      <c r="AD34" s="464">
        <v>1</v>
      </c>
      <c r="AE34" s="464">
        <f>+AB34/I34</f>
        <v>0.41666666666666669</v>
      </c>
      <c r="AF34" s="478">
        <f>+AC34*E34</f>
        <v>0.5</v>
      </c>
      <c r="AG34" s="502">
        <f t="shared" ref="AG34:AG35" si="44">+AD34*E34</f>
        <v>0.5</v>
      </c>
      <c r="AH34" s="503">
        <f>+AE34*E34</f>
        <v>0.20833333333333334</v>
      </c>
      <c r="AI34" s="502">
        <f>+P34/F34</f>
        <v>0.435</v>
      </c>
      <c r="AJ34" s="503">
        <v>0.96</v>
      </c>
      <c r="AK34" s="504">
        <v>1</v>
      </c>
      <c r="AL34" s="502">
        <f>+AI34*E34</f>
        <v>0.2175</v>
      </c>
      <c r="AM34" s="503">
        <f>+AJ34*E34</f>
        <v>0.48</v>
      </c>
      <c r="AN34" s="1426">
        <f t="shared" si="40"/>
        <v>0.5</v>
      </c>
      <c r="AO34" s="179" t="s">
        <v>1850</v>
      </c>
      <c r="AP34" s="571" t="s">
        <v>1892</v>
      </c>
      <c r="AQ34" s="680" t="s">
        <v>2264</v>
      </c>
      <c r="AR34" s="680" t="s">
        <v>2286</v>
      </c>
      <c r="AS34" s="680" t="s">
        <v>2401</v>
      </c>
      <c r="AT34" s="680" t="s">
        <v>2434</v>
      </c>
      <c r="AU34" s="680" t="s">
        <v>2487</v>
      </c>
      <c r="AV34" s="680" t="s">
        <v>1893</v>
      </c>
    </row>
    <row r="35" spans="1:48" ht="108.6" customHeight="1" thickBot="1" x14ac:dyDescent="0.4">
      <c r="A35" s="264"/>
      <c r="B35" s="1430" t="s">
        <v>61</v>
      </c>
      <c r="C35" s="1430" t="s">
        <v>62</v>
      </c>
      <c r="D35" s="402" t="s">
        <v>58</v>
      </c>
      <c r="E35" s="437">
        <v>0.1</v>
      </c>
      <c r="F35" s="428">
        <v>4</v>
      </c>
      <c r="G35" s="429">
        <v>1</v>
      </c>
      <c r="H35" s="430">
        <v>1</v>
      </c>
      <c r="I35" s="430">
        <v>1</v>
      </c>
      <c r="J35" s="431">
        <f>+G35/F35</f>
        <v>0.25</v>
      </c>
      <c r="K35" s="434">
        <f t="shared" si="34"/>
        <v>0.25</v>
      </c>
      <c r="L35" s="434">
        <f t="shared" si="35"/>
        <v>0.25</v>
      </c>
      <c r="M35" s="431">
        <f>+(G35/F35)*E35</f>
        <v>2.5000000000000001E-2</v>
      </c>
      <c r="N35" s="434">
        <f t="shared" si="41"/>
        <v>2.5000000000000001E-2</v>
      </c>
      <c r="O35" s="434"/>
      <c r="P35" s="429">
        <v>1</v>
      </c>
      <c r="Q35" s="484">
        <v>0</v>
      </c>
      <c r="R35" s="484">
        <v>0</v>
      </c>
      <c r="S35" s="484">
        <v>0</v>
      </c>
      <c r="T35" s="484">
        <v>2</v>
      </c>
      <c r="U35" s="484">
        <v>0</v>
      </c>
      <c r="V35" s="485">
        <f>+Q35+R35+S35+T35+U35</f>
        <v>2</v>
      </c>
      <c r="W35" s="1051">
        <f>+V35+P35+AB35</f>
        <v>3</v>
      </c>
      <c r="X35" s="1051">
        <v>0</v>
      </c>
      <c r="Y35" s="1051"/>
      <c r="Z35" s="1051"/>
      <c r="AA35" s="1051"/>
      <c r="AB35" s="1051">
        <f t="shared" si="36"/>
        <v>0</v>
      </c>
      <c r="AC35" s="431">
        <f>+(P35/G35)</f>
        <v>1</v>
      </c>
      <c r="AD35" s="464">
        <v>1</v>
      </c>
      <c r="AE35" s="464">
        <f t="shared" si="37"/>
        <v>0</v>
      </c>
      <c r="AF35" s="478">
        <f>+AC35*E35</f>
        <v>0.1</v>
      </c>
      <c r="AG35" s="502">
        <f t="shared" si="44"/>
        <v>0.1</v>
      </c>
      <c r="AH35" s="504">
        <f>+AE35*E35</f>
        <v>0</v>
      </c>
      <c r="AI35" s="502">
        <f>+P35/F35</f>
        <v>0.25</v>
      </c>
      <c r="AJ35" s="503">
        <v>0.75</v>
      </c>
      <c r="AK35" s="1056">
        <f t="shared" si="39"/>
        <v>0.75</v>
      </c>
      <c r="AL35" s="502">
        <f>+AI35*E35</f>
        <v>2.5000000000000001E-2</v>
      </c>
      <c r="AM35" s="503">
        <f>+AJ35*E35</f>
        <v>7.5000000000000011E-2</v>
      </c>
      <c r="AN35" s="936">
        <f t="shared" si="40"/>
        <v>7.5000000000000011E-2</v>
      </c>
      <c r="AO35" s="179" t="s">
        <v>1850</v>
      </c>
      <c r="AP35" s="571" t="s">
        <v>1892</v>
      </c>
      <c r="AQ35" s="680" t="s">
        <v>2264</v>
      </c>
      <c r="AR35" s="680" t="s">
        <v>2286</v>
      </c>
      <c r="AS35" s="680" t="s">
        <v>2401</v>
      </c>
      <c r="AT35" s="680" t="s">
        <v>2434</v>
      </c>
      <c r="AU35" s="680" t="s">
        <v>2487</v>
      </c>
      <c r="AV35" s="680" t="s">
        <v>1893</v>
      </c>
    </row>
    <row r="36" spans="1:48" ht="62.25" customHeight="1" thickBot="1" x14ac:dyDescent="0.45">
      <c r="A36" s="264"/>
      <c r="B36" s="1535" t="s">
        <v>1599</v>
      </c>
      <c r="C36" s="1534"/>
      <c r="D36" s="402"/>
      <c r="E36" s="424">
        <v>0.1</v>
      </c>
      <c r="F36" s="427"/>
      <c r="G36" s="427"/>
      <c r="H36" s="433"/>
      <c r="I36" s="433"/>
      <c r="J36" s="426">
        <f>+AVERAGE(J37:J38)</f>
        <v>0.25</v>
      </c>
      <c r="K36" s="426">
        <f>+AVERAGE(K37:K38)</f>
        <v>0.21249999999999999</v>
      </c>
      <c r="L36" s="426">
        <f>+AVERAGE(L37:L38)</f>
        <v>0.22500000000000001</v>
      </c>
      <c r="M36" s="426">
        <f>+M37+M38</f>
        <v>0.25</v>
      </c>
      <c r="N36" s="426">
        <f>+N37+N38</f>
        <v>0.19</v>
      </c>
      <c r="O36" s="426"/>
      <c r="P36" s="427"/>
      <c r="Q36" s="433"/>
      <c r="R36" s="433"/>
      <c r="S36" s="433"/>
      <c r="T36" s="433"/>
      <c r="U36" s="433"/>
      <c r="V36" s="981"/>
      <c r="W36" s="1052"/>
      <c r="X36" s="1052"/>
      <c r="Y36" s="1052"/>
      <c r="Z36" s="1052"/>
      <c r="AA36" s="1052"/>
      <c r="AB36" s="1052"/>
      <c r="AC36" s="486">
        <f>+AVERAGE(AC37:AC38)</f>
        <v>1</v>
      </c>
      <c r="AD36" s="486">
        <f>+AVERAGE(AD37:AD38)</f>
        <v>1</v>
      </c>
      <c r="AE36" s="486">
        <f>+AVERAGE(AE37:AE38)</f>
        <v>0</v>
      </c>
      <c r="AF36" s="486">
        <f>+(AF37+AF38)*E36</f>
        <v>0.1</v>
      </c>
      <c r="AG36" s="505">
        <f>+(AG37+AG38)*E36</f>
        <v>0.1</v>
      </c>
      <c r="AH36" s="1033">
        <f>+(AH37+AH38)*E36</f>
        <v>0</v>
      </c>
      <c r="AI36" s="446">
        <f>+AVERAGE(AI37:AI38)</f>
        <v>0.33499999999999996</v>
      </c>
      <c r="AJ36" s="498">
        <v>0.54749999999999999</v>
      </c>
      <c r="AK36" s="498">
        <f>+AVERAGE(AK37:AK38)</f>
        <v>0.54749999999999999</v>
      </c>
      <c r="AL36" s="446">
        <f>+(AL37+AL38)*E36</f>
        <v>3.8600000000000002E-2</v>
      </c>
      <c r="AM36" s="498">
        <f>+(AM37+AM38)</f>
        <v>0.57599999999999996</v>
      </c>
      <c r="AN36" s="498">
        <f>+(AN37+AN38)</f>
        <v>0.57599999999999996</v>
      </c>
      <c r="AO36" s="172"/>
      <c r="AP36" s="400"/>
      <c r="AQ36" s="400"/>
      <c r="AR36" s="400"/>
      <c r="AS36" s="400"/>
      <c r="AT36" s="400"/>
      <c r="AU36" s="196"/>
      <c r="AV36" s="196"/>
    </row>
    <row r="37" spans="1:48" ht="103.2" customHeight="1" thickBot="1" x14ac:dyDescent="0.4">
      <c r="A37" s="264"/>
      <c r="B37" s="1430" t="s">
        <v>63</v>
      </c>
      <c r="C37" s="1430" t="s">
        <v>64</v>
      </c>
      <c r="D37" s="402" t="s">
        <v>58</v>
      </c>
      <c r="E37" s="310">
        <v>0.8</v>
      </c>
      <c r="F37" s="428">
        <v>200</v>
      </c>
      <c r="G37" s="429">
        <v>50</v>
      </c>
      <c r="H37" s="430">
        <v>35</v>
      </c>
      <c r="I37" s="430">
        <v>40</v>
      </c>
      <c r="J37" s="431">
        <f>+G37/F37</f>
        <v>0.25</v>
      </c>
      <c r="K37" s="447">
        <f t="shared" si="34"/>
        <v>0.17499999999999999</v>
      </c>
      <c r="L37" s="1432">
        <f t="shared" si="35"/>
        <v>0.2</v>
      </c>
      <c r="M37" s="434">
        <f>+(G37/F37)*E37</f>
        <v>0.2</v>
      </c>
      <c r="N37" s="434">
        <f t="shared" si="41"/>
        <v>0.13999999999999999</v>
      </c>
      <c r="O37" s="434"/>
      <c r="P37" s="429">
        <v>84</v>
      </c>
      <c r="Q37" s="484">
        <v>0</v>
      </c>
      <c r="R37" s="484">
        <v>0</v>
      </c>
      <c r="S37" s="484">
        <v>35</v>
      </c>
      <c r="T37" s="484">
        <v>0</v>
      </c>
      <c r="U37" s="484">
        <v>0</v>
      </c>
      <c r="V37" s="485">
        <f>+Q37+R37+S37+T37+U37</f>
        <v>35</v>
      </c>
      <c r="W37" s="1051">
        <f>+V37+P37+AB37</f>
        <v>119</v>
      </c>
      <c r="X37" s="484">
        <v>0</v>
      </c>
      <c r="Y37" s="1051"/>
      <c r="Z37" s="1051"/>
      <c r="AA37" s="1051"/>
      <c r="AB37" s="1051">
        <f t="shared" si="36"/>
        <v>0</v>
      </c>
      <c r="AC37" s="431">
        <v>1</v>
      </c>
      <c r="AD37" s="434">
        <f>+V37/H37</f>
        <v>1</v>
      </c>
      <c r="AE37" s="434">
        <f t="shared" si="37"/>
        <v>0</v>
      </c>
      <c r="AF37" s="431">
        <f>+AC37*E37</f>
        <v>0.8</v>
      </c>
      <c r="AG37" s="447">
        <f>+AD37*E37</f>
        <v>0.8</v>
      </c>
      <c r="AH37" s="507">
        <f t="shared" ref="AH37:AH90" si="45">+AE37*E37</f>
        <v>0</v>
      </c>
      <c r="AI37" s="502">
        <f>+P37/F37</f>
        <v>0.42</v>
      </c>
      <c r="AJ37" s="503">
        <v>0.59499999999999997</v>
      </c>
      <c r="AK37" s="503">
        <f t="shared" si="39"/>
        <v>0.59499999999999997</v>
      </c>
      <c r="AL37" s="502">
        <f>+AI37*E37</f>
        <v>0.33600000000000002</v>
      </c>
      <c r="AM37" s="503">
        <f>+AJ37*E37</f>
        <v>0.47599999999999998</v>
      </c>
      <c r="AN37" s="1426">
        <f t="shared" si="40"/>
        <v>0.47599999999999998</v>
      </c>
      <c r="AO37" s="179" t="s">
        <v>1850</v>
      </c>
      <c r="AP37" s="571" t="s">
        <v>1892</v>
      </c>
      <c r="AQ37" s="680" t="s">
        <v>2264</v>
      </c>
      <c r="AR37" s="680" t="s">
        <v>2286</v>
      </c>
      <c r="AS37" s="680" t="s">
        <v>2401</v>
      </c>
      <c r="AT37" s="680" t="s">
        <v>2434</v>
      </c>
      <c r="AU37" s="680" t="s">
        <v>2487</v>
      </c>
      <c r="AV37" s="680" t="s">
        <v>1893</v>
      </c>
    </row>
    <row r="38" spans="1:48" ht="84.6" customHeight="1" thickBot="1" x14ac:dyDescent="0.4">
      <c r="A38" s="264"/>
      <c r="B38" s="1430" t="s">
        <v>65</v>
      </c>
      <c r="C38" s="1430" t="s">
        <v>66</v>
      </c>
      <c r="D38" s="402" t="s">
        <v>58</v>
      </c>
      <c r="E38" s="310">
        <v>0.2</v>
      </c>
      <c r="F38" s="428">
        <v>4</v>
      </c>
      <c r="G38" s="429">
        <v>1</v>
      </c>
      <c r="H38" s="430">
        <v>1</v>
      </c>
      <c r="I38" s="430">
        <v>1</v>
      </c>
      <c r="J38" s="431">
        <f>+G38/F38</f>
        <v>0.25</v>
      </c>
      <c r="K38" s="447">
        <f t="shared" si="34"/>
        <v>0.25</v>
      </c>
      <c r="L38" s="508">
        <f t="shared" si="35"/>
        <v>0.25</v>
      </c>
      <c r="M38" s="434">
        <f>+(G38/F38)*E38</f>
        <v>0.05</v>
      </c>
      <c r="N38" s="434">
        <f t="shared" si="41"/>
        <v>0.05</v>
      </c>
      <c r="O38" s="434"/>
      <c r="P38" s="429">
        <v>1</v>
      </c>
      <c r="Q38" s="484">
        <v>0</v>
      </c>
      <c r="R38" s="484">
        <v>0</v>
      </c>
      <c r="S38" s="484">
        <v>1</v>
      </c>
      <c r="T38" s="484">
        <v>0</v>
      </c>
      <c r="U38" s="484">
        <v>0</v>
      </c>
      <c r="V38" s="485">
        <f>+Q38+R38+S38+T38+U38</f>
        <v>1</v>
      </c>
      <c r="W38" s="1051">
        <f>+V38+P38+AB38</f>
        <v>2</v>
      </c>
      <c r="X38" s="484">
        <v>0</v>
      </c>
      <c r="Y38" s="1051"/>
      <c r="Z38" s="1051"/>
      <c r="AA38" s="1051"/>
      <c r="AB38" s="1051">
        <f t="shared" si="36"/>
        <v>0</v>
      </c>
      <c r="AC38" s="431">
        <f>+(P38/G38)</f>
        <v>1</v>
      </c>
      <c r="AD38" s="434">
        <f>+V38/H38</f>
        <v>1</v>
      </c>
      <c r="AE38" s="434">
        <f t="shared" si="37"/>
        <v>0</v>
      </c>
      <c r="AF38" s="431">
        <f>+AC38*E38</f>
        <v>0.2</v>
      </c>
      <c r="AG38" s="1008">
        <f>+AD38*E38</f>
        <v>0.2</v>
      </c>
      <c r="AH38" s="508">
        <f t="shared" si="45"/>
        <v>0</v>
      </c>
      <c r="AI38" s="502">
        <f>+P38/F38</f>
        <v>0.25</v>
      </c>
      <c r="AJ38" s="503">
        <v>0.5</v>
      </c>
      <c r="AK38" s="1004">
        <f t="shared" si="39"/>
        <v>0.5</v>
      </c>
      <c r="AL38" s="502">
        <f>+AI38*E38</f>
        <v>0.05</v>
      </c>
      <c r="AM38" s="503">
        <f>+AJ38*E38</f>
        <v>0.1</v>
      </c>
      <c r="AN38" s="1426">
        <f t="shared" si="40"/>
        <v>0.1</v>
      </c>
      <c r="AO38" s="179" t="s">
        <v>1850</v>
      </c>
      <c r="AP38" s="571" t="s">
        <v>1892</v>
      </c>
      <c r="AQ38" s="680" t="s">
        <v>2264</v>
      </c>
      <c r="AR38" s="680" t="s">
        <v>2286</v>
      </c>
      <c r="AS38" s="680" t="s">
        <v>2401</v>
      </c>
      <c r="AT38" s="680" t="s">
        <v>2434</v>
      </c>
      <c r="AU38" s="680" t="s">
        <v>2487</v>
      </c>
      <c r="AV38" s="680" t="s">
        <v>1893</v>
      </c>
    </row>
    <row r="39" spans="1:48" ht="46.5" customHeight="1" thickBot="1" x14ac:dyDescent="0.45">
      <c r="A39" s="264"/>
      <c r="B39" s="1535" t="s">
        <v>1600</v>
      </c>
      <c r="C39" s="1534"/>
      <c r="D39" s="402"/>
      <c r="E39" s="424">
        <v>0.15</v>
      </c>
      <c r="F39" s="427"/>
      <c r="G39" s="429"/>
      <c r="H39" s="430"/>
      <c r="I39" s="439"/>
      <c r="J39" s="426">
        <f>+AVERAGE(J40:J43)</f>
        <v>0.18333333333333335</v>
      </c>
      <c r="K39" s="446">
        <f>+AVERAGE(K40:K43)</f>
        <v>0.3520833333333333</v>
      </c>
      <c r="L39" s="506">
        <f>+AVERAGE(L40:L43)</f>
        <v>0.2722222222222222</v>
      </c>
      <c r="M39" s="426">
        <f>+M40+M41+M42+M43</f>
        <v>0.18333333333333335</v>
      </c>
      <c r="N39" s="426">
        <f>+N40+N41+N42+N43</f>
        <v>0.31458333333333333</v>
      </c>
      <c r="O39" s="426"/>
      <c r="P39" s="427"/>
      <c r="Q39" s="433"/>
      <c r="R39" s="433"/>
      <c r="S39" s="433"/>
      <c r="T39" s="433"/>
      <c r="U39" s="470"/>
      <c r="V39" s="433"/>
      <c r="W39" s="433"/>
      <c r="X39" s="433"/>
      <c r="Y39" s="433"/>
      <c r="Z39" s="433"/>
      <c r="AA39" s="433"/>
      <c r="AB39" s="433"/>
      <c r="AC39" s="486">
        <f>+AVERAGE(AC40:AC43)</f>
        <v>1</v>
      </c>
      <c r="AD39" s="486">
        <f>+AVERAGE(AD40:AD43)</f>
        <v>0.75</v>
      </c>
      <c r="AE39" s="486">
        <f>+AVERAGE(AE40:AE43)</f>
        <v>0.375</v>
      </c>
      <c r="AF39" s="505">
        <f>+(AF40+AF41+AF42+AF43)*E39</f>
        <v>0.15</v>
      </c>
      <c r="AG39" s="1053">
        <f>+(AG40+AG41+AG42+AG43)*E39</f>
        <v>0.11249999999999999</v>
      </c>
      <c r="AH39" s="1033">
        <f>+(AH40+AH41+AH42+AH43)*E39</f>
        <v>5.6249999999999994E-2</v>
      </c>
      <c r="AI39" s="446">
        <f>+AVERAGE(AI40:AI43)</f>
        <v>0.27083333333333337</v>
      </c>
      <c r="AJ39" s="498">
        <v>0.625</v>
      </c>
      <c r="AK39" s="498">
        <f>+AVERAGE(AK40:AK43)</f>
        <v>0.6875</v>
      </c>
      <c r="AL39" s="446">
        <f>+(AL40+AL41+AL42+AL43)*E39</f>
        <v>3.6874999999999998E-2</v>
      </c>
      <c r="AM39" s="498">
        <f>+(AM40+AM41+AM42+AM43)</f>
        <v>0.57499999999999996</v>
      </c>
      <c r="AN39" s="498">
        <f>+(AN40+AN41+AN42+AN43)</f>
        <v>0.63749999999999996</v>
      </c>
      <c r="AO39" s="172"/>
      <c r="AP39" s="400"/>
      <c r="AQ39" s="400"/>
      <c r="AR39" s="400"/>
      <c r="AS39" s="400"/>
      <c r="AT39" s="400"/>
      <c r="AU39" s="196"/>
      <c r="AV39" s="196"/>
    </row>
    <row r="40" spans="1:48" ht="89.4" customHeight="1" thickBot="1" x14ac:dyDescent="0.4">
      <c r="A40" s="264"/>
      <c r="B40" s="409" t="s">
        <v>67</v>
      </c>
      <c r="C40" s="409" t="s">
        <v>68</v>
      </c>
      <c r="D40" s="402" t="s">
        <v>12</v>
      </c>
      <c r="E40" s="310">
        <v>0.35</v>
      </c>
      <c r="F40" s="428">
        <v>4</v>
      </c>
      <c r="G40" s="429">
        <v>1</v>
      </c>
      <c r="H40" s="440">
        <v>1</v>
      </c>
      <c r="I40" s="489">
        <v>1</v>
      </c>
      <c r="J40" s="434">
        <f>+G40/F40</f>
        <v>0.25</v>
      </c>
      <c r="K40" s="447">
        <f t="shared" si="34"/>
        <v>0.25</v>
      </c>
      <c r="L40" s="513">
        <f>+I40/F40</f>
        <v>0.25</v>
      </c>
      <c r="M40" s="434">
        <f>+(G40/F40)*E40</f>
        <v>8.7499999999999994E-2</v>
      </c>
      <c r="N40" s="434">
        <f t="shared" si="41"/>
        <v>8.7499999999999994E-2</v>
      </c>
      <c r="O40" s="434"/>
      <c r="P40" s="429">
        <v>1</v>
      </c>
      <c r="Q40" s="484">
        <v>0</v>
      </c>
      <c r="R40" s="484">
        <v>1</v>
      </c>
      <c r="S40" s="484">
        <v>0</v>
      </c>
      <c r="T40" s="953">
        <v>0</v>
      </c>
      <c r="U40" s="488">
        <v>0</v>
      </c>
      <c r="V40" s="430">
        <f>+Q40+R40+S40+T40+U40</f>
        <v>1</v>
      </c>
      <c r="W40" s="430">
        <f>+V40+P40+AB40</f>
        <v>2</v>
      </c>
      <c r="X40" s="430">
        <v>0</v>
      </c>
      <c r="Y40" s="430"/>
      <c r="Z40" s="430"/>
      <c r="AA40" s="430"/>
      <c r="AB40" s="430">
        <f t="shared" si="36"/>
        <v>0</v>
      </c>
      <c r="AC40" s="431">
        <f>+(P40/G40)</f>
        <v>1</v>
      </c>
      <c r="AD40" s="434">
        <f>+V40/H40</f>
        <v>1</v>
      </c>
      <c r="AE40" s="434">
        <f t="shared" si="37"/>
        <v>0</v>
      </c>
      <c r="AF40" s="431">
        <f>+AC40*E40</f>
        <v>0.35</v>
      </c>
      <c r="AG40" s="1020">
        <f>+AD40*E40</f>
        <v>0.35</v>
      </c>
      <c r="AH40" s="507">
        <f t="shared" si="45"/>
        <v>0</v>
      </c>
      <c r="AI40" s="502">
        <f>+P40/F40</f>
        <v>0.25</v>
      </c>
      <c r="AJ40" s="503">
        <v>0.5</v>
      </c>
      <c r="AK40" s="503">
        <f t="shared" si="39"/>
        <v>0.5</v>
      </c>
      <c r="AL40" s="502">
        <f>+AI40*E40</f>
        <v>8.7499999999999994E-2</v>
      </c>
      <c r="AM40" s="503">
        <f>+AJ40*E40</f>
        <v>0.17499999999999999</v>
      </c>
      <c r="AN40" s="1426">
        <f t="shared" si="40"/>
        <v>0.17499999999999999</v>
      </c>
      <c r="AO40" s="179" t="s">
        <v>1850</v>
      </c>
      <c r="AP40" s="571" t="s">
        <v>1892</v>
      </c>
      <c r="AQ40" s="680" t="s">
        <v>2264</v>
      </c>
      <c r="AR40" s="680" t="s">
        <v>2286</v>
      </c>
      <c r="AS40" s="583" t="s">
        <v>1865</v>
      </c>
      <c r="AT40" s="583" t="s">
        <v>1865</v>
      </c>
      <c r="AU40" s="583" t="s">
        <v>1865</v>
      </c>
      <c r="AV40" s="583" t="s">
        <v>1865</v>
      </c>
    </row>
    <row r="41" spans="1:48" ht="64.2" customHeight="1" thickBot="1" x14ac:dyDescent="0.4">
      <c r="A41" s="264"/>
      <c r="B41" s="1430" t="s">
        <v>69</v>
      </c>
      <c r="C41" s="1430" t="s">
        <v>70</v>
      </c>
      <c r="D41" s="402" t="s">
        <v>12</v>
      </c>
      <c r="E41" s="310">
        <v>0.25</v>
      </c>
      <c r="F41" s="428">
        <v>20</v>
      </c>
      <c r="G41" s="429">
        <v>3</v>
      </c>
      <c r="H41" s="440">
        <v>4</v>
      </c>
      <c r="I41" s="489">
        <v>8</v>
      </c>
      <c r="J41" s="438">
        <f>+G41/F41</f>
        <v>0.15</v>
      </c>
      <c r="K41" s="447">
        <f t="shared" si="34"/>
        <v>0.2</v>
      </c>
      <c r="L41" s="449">
        <f t="shared" si="35"/>
        <v>0.4</v>
      </c>
      <c r="M41" s="438">
        <f>+(G41/F41)*E41</f>
        <v>3.7499999999999999E-2</v>
      </c>
      <c r="N41" s="434">
        <f t="shared" si="41"/>
        <v>0.05</v>
      </c>
      <c r="O41" s="438"/>
      <c r="P41" s="439">
        <v>5</v>
      </c>
      <c r="Q41" s="484">
        <v>0</v>
      </c>
      <c r="R41" s="487">
        <v>0</v>
      </c>
      <c r="S41" s="487">
        <v>0</v>
      </c>
      <c r="T41" s="946">
        <v>0</v>
      </c>
      <c r="U41" s="488">
        <v>0</v>
      </c>
      <c r="V41" s="430">
        <f>+Q41+R41+S41+T41+U41</f>
        <v>0</v>
      </c>
      <c r="W41" s="430">
        <f t="shared" ref="W41:W42" si="46">+V41+P41+AB41</f>
        <v>5</v>
      </c>
      <c r="X41" s="430">
        <v>0</v>
      </c>
      <c r="Y41" s="430"/>
      <c r="Z41" s="430"/>
      <c r="AA41" s="430"/>
      <c r="AB41" s="430">
        <f t="shared" si="36"/>
        <v>0</v>
      </c>
      <c r="AC41" s="431">
        <v>1</v>
      </c>
      <c r="AD41" s="434">
        <f t="shared" ref="AD41:AD70" si="47">+V41/H41</f>
        <v>0</v>
      </c>
      <c r="AE41" s="434">
        <f t="shared" si="37"/>
        <v>0</v>
      </c>
      <c r="AF41" s="431">
        <f>+AC41*E41</f>
        <v>0.25</v>
      </c>
      <c r="AG41" s="447">
        <f t="shared" ref="AG41:AG89" si="48">+AD41*E41</f>
        <v>0</v>
      </c>
      <c r="AH41" s="448">
        <f t="shared" si="45"/>
        <v>0</v>
      </c>
      <c r="AI41" s="502">
        <f>+P41/F41</f>
        <v>0.25</v>
      </c>
      <c r="AJ41" s="503">
        <v>0.25</v>
      </c>
      <c r="AK41" s="503">
        <f t="shared" si="39"/>
        <v>0.25</v>
      </c>
      <c r="AL41" s="502">
        <f>+AI41*E41</f>
        <v>6.25E-2</v>
      </c>
      <c r="AM41" s="503">
        <f>+AJ41*E41</f>
        <v>6.25E-2</v>
      </c>
      <c r="AN41" s="1426">
        <f t="shared" si="40"/>
        <v>6.25E-2</v>
      </c>
      <c r="AO41" s="179" t="s">
        <v>1850</v>
      </c>
      <c r="AP41" s="571" t="s">
        <v>1892</v>
      </c>
      <c r="AQ41" s="680" t="s">
        <v>2264</v>
      </c>
      <c r="AR41" s="680" t="s">
        <v>2286</v>
      </c>
      <c r="AS41" s="680" t="s">
        <v>2401</v>
      </c>
      <c r="AT41" s="680" t="s">
        <v>2434</v>
      </c>
      <c r="AU41" s="680" t="s">
        <v>2487</v>
      </c>
      <c r="AV41" s="680" t="s">
        <v>1893</v>
      </c>
    </row>
    <row r="42" spans="1:48" ht="74.400000000000006" customHeight="1" thickBot="1" x14ac:dyDescent="0.4">
      <c r="A42" s="264"/>
      <c r="B42" s="1430" t="s">
        <v>71</v>
      </c>
      <c r="C42" s="1430" t="s">
        <v>72</v>
      </c>
      <c r="D42" s="402" t="s">
        <v>12</v>
      </c>
      <c r="E42" s="310">
        <v>0.25</v>
      </c>
      <c r="F42" s="428">
        <v>12</v>
      </c>
      <c r="G42" s="429">
        <v>1</v>
      </c>
      <c r="H42" s="440">
        <v>4</v>
      </c>
      <c r="I42" s="489">
        <v>2</v>
      </c>
      <c r="J42" s="441">
        <f>+G42/F42</f>
        <v>8.3333333333333329E-2</v>
      </c>
      <c r="K42" s="447">
        <f t="shared" si="34"/>
        <v>0.33333333333333331</v>
      </c>
      <c r="L42" s="449">
        <f t="shared" si="35"/>
        <v>0.16666666666666666</v>
      </c>
      <c r="M42" s="441">
        <f>+(G42/F42)*E42</f>
        <v>2.0833333333333332E-2</v>
      </c>
      <c r="N42" s="447">
        <f t="shared" si="41"/>
        <v>8.3333333333333329E-2</v>
      </c>
      <c r="O42" s="449"/>
      <c r="P42" s="442">
        <v>1</v>
      </c>
      <c r="Q42" s="487">
        <v>0</v>
      </c>
      <c r="R42" s="803">
        <v>2</v>
      </c>
      <c r="S42" s="803">
        <v>3</v>
      </c>
      <c r="T42" s="954">
        <v>0</v>
      </c>
      <c r="U42" s="488">
        <v>3</v>
      </c>
      <c r="V42" s="430">
        <f>+Q42+R42+S42+T42+U42</f>
        <v>8</v>
      </c>
      <c r="W42" s="430">
        <f t="shared" si="46"/>
        <v>12</v>
      </c>
      <c r="X42" s="430">
        <v>3</v>
      </c>
      <c r="Y42" s="430"/>
      <c r="Z42" s="430"/>
      <c r="AA42" s="430"/>
      <c r="AB42" s="430">
        <f t="shared" si="36"/>
        <v>3</v>
      </c>
      <c r="AC42" s="431">
        <f>+(P42/G42)</f>
        <v>1</v>
      </c>
      <c r="AD42" s="434">
        <v>1</v>
      </c>
      <c r="AE42" s="434">
        <f>+AB42/I42</f>
        <v>1.5</v>
      </c>
      <c r="AF42" s="431">
        <f>+AC42*E42</f>
        <v>0.25</v>
      </c>
      <c r="AG42" s="447">
        <f t="shared" si="48"/>
        <v>0.25</v>
      </c>
      <c r="AH42" s="448">
        <f t="shared" si="45"/>
        <v>0.375</v>
      </c>
      <c r="AI42" s="502">
        <f>+P42/F42</f>
        <v>8.3333333333333329E-2</v>
      </c>
      <c r="AJ42" s="503">
        <v>0.75</v>
      </c>
      <c r="AK42" s="504">
        <f t="shared" si="39"/>
        <v>1</v>
      </c>
      <c r="AL42" s="502">
        <f>+AI42*E42</f>
        <v>2.0833333333333332E-2</v>
      </c>
      <c r="AM42" s="503">
        <f>+AJ42*E42</f>
        <v>0.1875</v>
      </c>
      <c r="AN42" s="1426">
        <f t="shared" si="40"/>
        <v>0.25</v>
      </c>
      <c r="AO42" s="179" t="s">
        <v>1850</v>
      </c>
      <c r="AP42" s="571" t="s">
        <v>1892</v>
      </c>
      <c r="AQ42" s="680" t="s">
        <v>2264</v>
      </c>
      <c r="AR42" s="680" t="s">
        <v>2286</v>
      </c>
      <c r="AS42" s="680" t="s">
        <v>2401</v>
      </c>
      <c r="AT42" s="680" t="s">
        <v>2434</v>
      </c>
      <c r="AU42" s="680" t="s">
        <v>2487</v>
      </c>
      <c r="AV42" s="680" t="s">
        <v>1893</v>
      </c>
    </row>
    <row r="43" spans="1:48" ht="90" customHeight="1" thickBot="1" x14ac:dyDescent="0.4">
      <c r="A43" s="264"/>
      <c r="B43" s="1427" t="s">
        <v>73</v>
      </c>
      <c r="C43" s="1427" t="s">
        <v>74</v>
      </c>
      <c r="D43" s="402" t="s">
        <v>31</v>
      </c>
      <c r="E43" s="310">
        <v>0.15</v>
      </c>
      <c r="F43" s="428">
        <v>8</v>
      </c>
      <c r="G43" s="429">
        <v>2</v>
      </c>
      <c r="H43" s="440">
        <v>5</v>
      </c>
      <c r="I43" s="489">
        <v>2</v>
      </c>
      <c r="J43" s="434">
        <f>+G43/F43</f>
        <v>0.25</v>
      </c>
      <c r="K43" s="447">
        <f t="shared" si="34"/>
        <v>0.625</v>
      </c>
      <c r="L43" s="449"/>
      <c r="M43" s="438">
        <f>+(G43/F43)*E43</f>
        <v>3.7499999999999999E-2</v>
      </c>
      <c r="N43" s="447">
        <f t="shared" si="41"/>
        <v>9.375E-2</v>
      </c>
      <c r="O43" s="1157"/>
      <c r="P43" s="444">
        <v>4</v>
      </c>
      <c r="Q43" s="488">
        <v>0</v>
      </c>
      <c r="R43" s="488">
        <v>2</v>
      </c>
      <c r="S43" s="488">
        <v>0</v>
      </c>
      <c r="T43" s="946">
        <v>0</v>
      </c>
      <c r="U43" s="488">
        <v>4</v>
      </c>
      <c r="V43" s="439">
        <f>+Q43+R43+S43+T43+U43</f>
        <v>6</v>
      </c>
      <c r="W43" s="430">
        <f>+V43+P43+AB43</f>
        <v>10</v>
      </c>
      <c r="X43" s="484">
        <v>0</v>
      </c>
      <c r="Y43" s="430"/>
      <c r="Z43" s="430"/>
      <c r="AA43" s="430"/>
      <c r="AB43" s="430">
        <f t="shared" si="36"/>
        <v>0</v>
      </c>
      <c r="AC43" s="431">
        <v>1</v>
      </c>
      <c r="AD43" s="434">
        <v>1</v>
      </c>
      <c r="AE43" s="434">
        <f t="shared" si="37"/>
        <v>0</v>
      </c>
      <c r="AF43" s="431">
        <f>+AC43*E43</f>
        <v>0.15</v>
      </c>
      <c r="AG43" s="447">
        <f t="shared" si="48"/>
        <v>0.15</v>
      </c>
      <c r="AH43" s="508">
        <f t="shared" si="45"/>
        <v>0</v>
      </c>
      <c r="AI43" s="502">
        <f>+P43/F43</f>
        <v>0.5</v>
      </c>
      <c r="AJ43" s="504">
        <v>1</v>
      </c>
      <c r="AK43" s="1426">
        <v>1</v>
      </c>
      <c r="AL43" s="502">
        <f>+AI43*E43</f>
        <v>7.4999999999999997E-2</v>
      </c>
      <c r="AM43" s="503">
        <f>+AJ43*E43</f>
        <v>0.15</v>
      </c>
      <c r="AN43" s="1431">
        <f t="shared" si="40"/>
        <v>0.15</v>
      </c>
      <c r="AO43" s="179" t="s">
        <v>1850</v>
      </c>
      <c r="AP43" s="571" t="s">
        <v>1892</v>
      </c>
      <c r="AQ43" s="680" t="s">
        <v>2264</v>
      </c>
      <c r="AR43" s="680" t="s">
        <v>2286</v>
      </c>
      <c r="AS43" s="870" t="s">
        <v>2354</v>
      </c>
      <c r="AT43" s="680" t="s">
        <v>2434</v>
      </c>
      <c r="AU43" s="680" t="s">
        <v>2487</v>
      </c>
      <c r="AV43" s="680" t="s">
        <v>1893</v>
      </c>
    </row>
    <row r="44" spans="1:48" ht="100.5" customHeight="1" thickBot="1" x14ac:dyDescent="0.45">
      <c r="A44" s="264"/>
      <c r="B44" s="1535" t="s">
        <v>1601</v>
      </c>
      <c r="C44" s="1534"/>
      <c r="D44" s="402"/>
      <c r="E44" s="424">
        <v>0.15</v>
      </c>
      <c r="F44" s="427"/>
      <c r="G44" s="429"/>
      <c r="H44" s="440"/>
      <c r="I44" s="489"/>
      <c r="J44" s="426">
        <f>+AVERAGE(J45:J51)</f>
        <v>0.30555555555555552</v>
      </c>
      <c r="K44" s="446">
        <f>+AVERAGE(K45:K51)</f>
        <v>0.6347222222222223</v>
      </c>
      <c r="L44" s="506">
        <f>+AVERAGE(L45:L51)</f>
        <v>0.43806818181818186</v>
      </c>
      <c r="M44" s="1042">
        <f>+M45+M46+M47+M48+M49+M50+M51</f>
        <v>0.16666666666666666</v>
      </c>
      <c r="N44" s="1101">
        <f>+N45+N46+N47+N48+N49+N50+N51</f>
        <v>0.53083333333333338</v>
      </c>
      <c r="O44" s="506"/>
      <c r="P44" s="1156"/>
      <c r="Q44" s="490"/>
      <c r="R44" s="490"/>
      <c r="S44" s="491"/>
      <c r="T44" s="955"/>
      <c r="U44" s="982"/>
      <c r="V44" s="490"/>
      <c r="W44" s="490"/>
      <c r="X44" s="430"/>
      <c r="Y44" s="430"/>
      <c r="Z44" s="430"/>
      <c r="AA44" s="430"/>
      <c r="AB44" s="430"/>
      <c r="AC44" s="486">
        <f>+AVERAGE(AC45:AC51)</f>
        <v>0.33333333333333331</v>
      </c>
      <c r="AD44" s="486">
        <f>+AVERAGE(AD45:AD51)</f>
        <v>0.66666666666666663</v>
      </c>
      <c r="AE44" s="486">
        <f>+AVERAGE(AE45:AE51)</f>
        <v>0.05</v>
      </c>
      <c r="AF44" s="486">
        <f>+(AF45+AF46+AF47+AF48+AF49+AF50+AF51)*E44</f>
        <v>1.4999999999999999E-2</v>
      </c>
      <c r="AG44" s="505">
        <f>+(AG45+AG46+AG47+AG48+AG49+AG50+AG51)*E44</f>
        <v>0.06</v>
      </c>
      <c r="AH44" s="1033">
        <f>+(AH45+AH46+AH47+AH48+AH49+AH50+AH51)*E44</f>
        <v>3.7499999999999999E-3</v>
      </c>
      <c r="AI44" s="446">
        <f>+AVERAGE(AI45:AI51)</f>
        <v>8.3333333333333329E-2</v>
      </c>
      <c r="AJ44" s="506">
        <v>0.47022380952380949</v>
      </c>
      <c r="AK44" s="506">
        <f>+AVERAGE(AK45:AK51)</f>
        <v>0.4312770562770562</v>
      </c>
      <c r="AL44" s="1057">
        <f>+(AL45+AL46+AL47+AL48+AL49+AL50+AL51)*E44</f>
        <v>3.7499999999999999E-3</v>
      </c>
      <c r="AM44" s="1041">
        <f>+(AM45+AM46+AM47+AM48+AM49+AM50+AM51)</f>
        <v>0.29582333333333333</v>
      </c>
      <c r="AN44" s="1041">
        <f>+(AN45+AN46+AN47+AN48+AN49+AN50+AN51)</f>
        <v>0.30189393939393938</v>
      </c>
      <c r="AO44" s="172"/>
      <c r="AP44" s="400"/>
      <c r="AQ44" s="400"/>
      <c r="AR44" s="400"/>
      <c r="AS44" s="400"/>
      <c r="AT44" s="400"/>
      <c r="AU44" s="196"/>
      <c r="AV44" s="196"/>
    </row>
    <row r="45" spans="1:48" ht="138" customHeight="1" thickBot="1" x14ac:dyDescent="0.4">
      <c r="A45" s="264"/>
      <c r="B45" s="1430" t="s">
        <v>75</v>
      </c>
      <c r="C45" s="1430" t="s">
        <v>76</v>
      </c>
      <c r="D45" s="402" t="s">
        <v>12</v>
      </c>
      <c r="E45" s="310">
        <v>0.25</v>
      </c>
      <c r="F45" s="428">
        <v>2</v>
      </c>
      <c r="G45" s="429">
        <v>1</v>
      </c>
      <c r="H45" s="1212">
        <v>2</v>
      </c>
      <c r="I45" s="1213">
        <v>2</v>
      </c>
      <c r="J45" s="443">
        <f t="shared" ref="J45:J51" si="49">+G45/F45</f>
        <v>0.5</v>
      </c>
      <c r="K45" s="447">
        <f>+H45/F45</f>
        <v>1</v>
      </c>
      <c r="L45" s="507">
        <f>+I45/F45</f>
        <v>1</v>
      </c>
      <c r="M45" s="1010">
        <f t="shared" ref="M45:M51" si="50">+(G45/F45)*E45</f>
        <v>0.125</v>
      </c>
      <c r="N45" s="449">
        <f>+(H45/F45)*E45</f>
        <v>0.25</v>
      </c>
      <c r="O45" s="1102"/>
      <c r="P45" s="450">
        <v>0</v>
      </c>
      <c r="Q45" s="488">
        <v>0</v>
      </c>
      <c r="R45" s="804">
        <v>0</v>
      </c>
      <c r="S45" s="875">
        <v>0</v>
      </c>
      <c r="T45" s="804">
        <v>0</v>
      </c>
      <c r="U45" s="875">
        <v>0</v>
      </c>
      <c r="V45" s="451">
        <f>+Q45+R45+S45+T45+U45</f>
        <v>0</v>
      </c>
      <c r="W45" s="492">
        <f>+V45+P45+AB45</f>
        <v>0</v>
      </c>
      <c r="X45" s="430">
        <v>0</v>
      </c>
      <c r="Y45" s="430"/>
      <c r="Z45" s="430"/>
      <c r="AA45" s="430"/>
      <c r="AB45" s="430">
        <f t="shared" si="36"/>
        <v>0</v>
      </c>
      <c r="AC45" s="431">
        <f t="shared" ref="AC45:AC51" si="51">+(P45/G45)</f>
        <v>0</v>
      </c>
      <c r="AD45" s="434">
        <f t="shared" si="47"/>
        <v>0</v>
      </c>
      <c r="AE45" s="434">
        <f t="shared" si="37"/>
        <v>0</v>
      </c>
      <c r="AF45" s="431">
        <f>+AC45*E45</f>
        <v>0</v>
      </c>
      <c r="AG45" s="447">
        <f t="shared" si="48"/>
        <v>0</v>
      </c>
      <c r="AH45" s="449">
        <f t="shared" si="45"/>
        <v>0</v>
      </c>
      <c r="AI45" s="502">
        <f t="shared" ref="AI45:AI51" si="52">+P45/F45</f>
        <v>0</v>
      </c>
      <c r="AJ45" s="509">
        <v>0</v>
      </c>
      <c r="AK45" s="1056">
        <f t="shared" si="39"/>
        <v>0</v>
      </c>
      <c r="AL45" s="1058">
        <f>+AI45*E45</f>
        <v>0</v>
      </c>
      <c r="AM45" s="1056">
        <f>+AJ45*E45</f>
        <v>0</v>
      </c>
      <c r="AN45" s="1426">
        <f t="shared" si="40"/>
        <v>0</v>
      </c>
      <c r="AO45" s="179" t="s">
        <v>1850</v>
      </c>
      <c r="AP45" s="571" t="s">
        <v>1892</v>
      </c>
      <c r="AQ45" s="680" t="s">
        <v>2264</v>
      </c>
      <c r="AR45" s="680" t="s">
        <v>2286</v>
      </c>
      <c r="AS45" s="680" t="s">
        <v>2401</v>
      </c>
      <c r="AT45" s="680" t="s">
        <v>2434</v>
      </c>
      <c r="AU45" s="680" t="s">
        <v>2487</v>
      </c>
      <c r="AV45" s="680" t="s">
        <v>1893</v>
      </c>
    </row>
    <row r="46" spans="1:48" ht="138" customHeight="1" thickBot="1" x14ac:dyDescent="0.4">
      <c r="A46" s="264"/>
      <c r="B46" s="1430" t="s">
        <v>77</v>
      </c>
      <c r="C46" s="1430" t="s">
        <v>78</v>
      </c>
      <c r="D46" s="402" t="s">
        <v>12</v>
      </c>
      <c r="E46" s="310">
        <v>0.1</v>
      </c>
      <c r="F46" s="428">
        <v>1</v>
      </c>
      <c r="G46" s="429">
        <v>0</v>
      </c>
      <c r="H46" s="1212">
        <v>1</v>
      </c>
      <c r="I46" s="1214">
        <v>1</v>
      </c>
      <c r="J46" s="443"/>
      <c r="K46" s="447">
        <f t="shared" ref="K46:K50" si="53">+H46/F46</f>
        <v>1</v>
      </c>
      <c r="L46" s="448"/>
      <c r="M46" s="1010"/>
      <c r="N46" s="449">
        <f>+(H46/F46)*E46</f>
        <v>0.1</v>
      </c>
      <c r="O46" s="449"/>
      <c r="P46" s="451"/>
      <c r="Q46" s="488">
        <v>0</v>
      </c>
      <c r="R46" s="805">
        <v>0</v>
      </c>
      <c r="S46" s="876">
        <v>1</v>
      </c>
      <c r="T46" s="805">
        <v>0</v>
      </c>
      <c r="U46" s="875">
        <v>0</v>
      </c>
      <c r="V46" s="451">
        <f>+Q46+R46+S46+T46+U46</f>
        <v>1</v>
      </c>
      <c r="W46" s="492">
        <f t="shared" ref="W46:W50" si="54">+V46+P46+AB46</f>
        <v>1</v>
      </c>
      <c r="X46" s="430">
        <v>0</v>
      </c>
      <c r="Y46" s="430"/>
      <c r="Z46" s="430"/>
      <c r="AA46" s="430"/>
      <c r="AB46" s="430">
        <f t="shared" si="36"/>
        <v>0</v>
      </c>
      <c r="AC46" s="431"/>
      <c r="AD46" s="434">
        <f>+V46/H46</f>
        <v>1</v>
      </c>
      <c r="AE46" s="434">
        <f t="shared" si="37"/>
        <v>0</v>
      </c>
      <c r="AF46" s="431"/>
      <c r="AG46" s="447">
        <f t="shared" si="48"/>
        <v>0.1</v>
      </c>
      <c r="AH46" s="507">
        <f t="shared" si="45"/>
        <v>0</v>
      </c>
      <c r="AI46" s="502"/>
      <c r="AJ46" s="509">
        <v>1</v>
      </c>
      <c r="AK46" s="509">
        <f t="shared" si="39"/>
        <v>1</v>
      </c>
      <c r="AL46" s="502">
        <v>0</v>
      </c>
      <c r="AM46" s="503">
        <f t="shared" ref="AM46:AM51" si="55">+AJ46*E46</f>
        <v>0.1</v>
      </c>
      <c r="AN46" s="1426">
        <f t="shared" si="40"/>
        <v>0.1</v>
      </c>
      <c r="AO46" s="179" t="s">
        <v>1850</v>
      </c>
      <c r="AP46" s="588" t="s">
        <v>1919</v>
      </c>
      <c r="AQ46" s="680" t="s">
        <v>2264</v>
      </c>
      <c r="AR46" s="680" t="s">
        <v>2286</v>
      </c>
      <c r="AS46" s="870" t="s">
        <v>2400</v>
      </c>
      <c r="AT46" s="680" t="s">
        <v>2434</v>
      </c>
      <c r="AU46" s="680" t="s">
        <v>2487</v>
      </c>
      <c r="AV46" s="680" t="s">
        <v>1893</v>
      </c>
    </row>
    <row r="47" spans="1:48" ht="138" customHeight="1" thickBot="1" x14ac:dyDescent="0.4">
      <c r="A47" s="264"/>
      <c r="B47" s="1430" t="s">
        <v>79</v>
      </c>
      <c r="C47" s="1430" t="s">
        <v>80</v>
      </c>
      <c r="D47" s="402" t="s">
        <v>12</v>
      </c>
      <c r="E47" s="310">
        <v>0.1</v>
      </c>
      <c r="F47" s="428">
        <v>1200</v>
      </c>
      <c r="G47" s="429">
        <v>200</v>
      </c>
      <c r="H47" s="1212">
        <v>550</v>
      </c>
      <c r="I47" s="1214">
        <v>350</v>
      </c>
      <c r="J47" s="443">
        <f t="shared" si="49"/>
        <v>0.16666666666666666</v>
      </c>
      <c r="K47" s="447">
        <f t="shared" si="53"/>
        <v>0.45833333333333331</v>
      </c>
      <c r="L47" s="448">
        <f t="shared" si="35"/>
        <v>0.29166666666666669</v>
      </c>
      <c r="M47" s="1010">
        <f t="shared" si="50"/>
        <v>1.6666666666666666E-2</v>
      </c>
      <c r="N47" s="449">
        <f>+(H47/F47)*E47</f>
        <v>4.5833333333333337E-2</v>
      </c>
      <c r="O47" s="449"/>
      <c r="P47" s="451">
        <v>0</v>
      </c>
      <c r="Q47" s="488">
        <v>194</v>
      </c>
      <c r="R47" s="806">
        <v>0</v>
      </c>
      <c r="S47" s="875">
        <v>356</v>
      </c>
      <c r="T47" s="806">
        <v>0</v>
      </c>
      <c r="U47" s="875">
        <v>0</v>
      </c>
      <c r="V47" s="451">
        <f t="shared" ref="V47:V50" si="56">+Q47+R47+S47+T47+U47</f>
        <v>550</v>
      </c>
      <c r="W47" s="492">
        <f t="shared" si="54"/>
        <v>550</v>
      </c>
      <c r="X47" s="430">
        <v>0</v>
      </c>
      <c r="Y47" s="430"/>
      <c r="Z47" s="430"/>
      <c r="AA47" s="430"/>
      <c r="AB47" s="430">
        <f t="shared" si="36"/>
        <v>0</v>
      </c>
      <c r="AC47" s="431">
        <f t="shared" si="51"/>
        <v>0</v>
      </c>
      <c r="AD47" s="434">
        <f t="shared" si="47"/>
        <v>1</v>
      </c>
      <c r="AE47" s="434">
        <f t="shared" si="37"/>
        <v>0</v>
      </c>
      <c r="AF47" s="431">
        <f>+AC47*E47</f>
        <v>0</v>
      </c>
      <c r="AG47" s="447">
        <f t="shared" si="48"/>
        <v>0.1</v>
      </c>
      <c r="AH47" s="448">
        <f t="shared" si="45"/>
        <v>0</v>
      </c>
      <c r="AI47" s="502">
        <f t="shared" si="52"/>
        <v>0</v>
      </c>
      <c r="AJ47" s="503">
        <v>0.45833333333333331</v>
      </c>
      <c r="AK47" s="503">
        <f t="shared" si="39"/>
        <v>0.45833333333333331</v>
      </c>
      <c r="AL47" s="502">
        <f>+AI47*E47</f>
        <v>0</v>
      </c>
      <c r="AM47" s="503">
        <f t="shared" si="55"/>
        <v>4.5833333333333337E-2</v>
      </c>
      <c r="AN47" s="1426">
        <f t="shared" si="40"/>
        <v>4.5833333333333337E-2</v>
      </c>
      <c r="AO47" s="179" t="s">
        <v>1850</v>
      </c>
      <c r="AP47" s="571" t="s">
        <v>1892</v>
      </c>
      <c r="AQ47" s="680" t="s">
        <v>2264</v>
      </c>
      <c r="AR47" s="680" t="s">
        <v>2337</v>
      </c>
      <c r="AS47" s="680" t="s">
        <v>2401</v>
      </c>
      <c r="AT47" s="680" t="s">
        <v>2434</v>
      </c>
      <c r="AU47" s="680" t="s">
        <v>2487</v>
      </c>
      <c r="AV47" s="680" t="s">
        <v>1893</v>
      </c>
    </row>
    <row r="48" spans="1:48" ht="138" customHeight="1" thickBot="1" x14ac:dyDescent="0.4">
      <c r="A48" s="264"/>
      <c r="B48" s="409" t="s">
        <v>81</v>
      </c>
      <c r="C48" s="409" t="s">
        <v>82</v>
      </c>
      <c r="D48" s="402" t="s">
        <v>12</v>
      </c>
      <c r="E48" s="310">
        <v>0.1</v>
      </c>
      <c r="F48" s="428">
        <v>1</v>
      </c>
      <c r="G48" s="429">
        <v>0</v>
      </c>
      <c r="H48" s="1212">
        <v>0.5</v>
      </c>
      <c r="I48" s="1214">
        <v>0</v>
      </c>
      <c r="J48" s="443"/>
      <c r="K48" s="447">
        <f t="shared" si="53"/>
        <v>0.5</v>
      </c>
      <c r="L48" s="508"/>
      <c r="M48" s="1010"/>
      <c r="N48" s="449">
        <f t="shared" si="41"/>
        <v>0.05</v>
      </c>
      <c r="O48" s="1103"/>
      <c r="P48" s="452"/>
      <c r="Q48" s="488">
        <v>0</v>
      </c>
      <c r="R48" s="806">
        <v>0</v>
      </c>
      <c r="S48" s="875">
        <v>0</v>
      </c>
      <c r="T48" s="806">
        <v>0</v>
      </c>
      <c r="U48" s="1002">
        <v>1</v>
      </c>
      <c r="V48" s="451">
        <f t="shared" si="56"/>
        <v>1</v>
      </c>
      <c r="W48" s="492">
        <f t="shared" si="54"/>
        <v>1</v>
      </c>
      <c r="X48" s="430">
        <v>0</v>
      </c>
      <c r="Y48" s="430"/>
      <c r="Z48" s="430"/>
      <c r="AA48" s="430"/>
      <c r="AB48" s="430">
        <f t="shared" si="36"/>
        <v>0</v>
      </c>
      <c r="AC48" s="431"/>
      <c r="AD48" s="434">
        <v>1</v>
      </c>
      <c r="AE48" s="434"/>
      <c r="AF48" s="431"/>
      <c r="AG48" s="447">
        <f t="shared" si="48"/>
        <v>0.1</v>
      </c>
      <c r="AH48" s="448">
        <f t="shared" si="45"/>
        <v>0</v>
      </c>
      <c r="AI48" s="502"/>
      <c r="AJ48" s="503">
        <v>1</v>
      </c>
      <c r="AK48" s="503">
        <f t="shared" si="39"/>
        <v>1</v>
      </c>
      <c r="AL48" s="502">
        <v>0</v>
      </c>
      <c r="AM48" s="503">
        <f t="shared" si="55"/>
        <v>0.1</v>
      </c>
      <c r="AN48" s="1426">
        <f t="shared" si="40"/>
        <v>0.1</v>
      </c>
      <c r="AO48" s="179" t="s">
        <v>1850</v>
      </c>
      <c r="AP48" s="583" t="s">
        <v>1921</v>
      </c>
      <c r="AQ48" s="583" t="s">
        <v>2277</v>
      </c>
      <c r="AR48" s="680" t="s">
        <v>2337</v>
      </c>
      <c r="AS48" s="680" t="s">
        <v>2401</v>
      </c>
      <c r="AT48" s="680" t="s">
        <v>2434</v>
      </c>
      <c r="AU48" s="680" t="s">
        <v>2487</v>
      </c>
      <c r="AV48" s="583" t="s">
        <v>1865</v>
      </c>
    </row>
    <row r="49" spans="1:48" ht="138" customHeight="1" thickBot="1" x14ac:dyDescent="0.4">
      <c r="A49" s="264"/>
      <c r="B49" s="1430" t="s">
        <v>83</v>
      </c>
      <c r="C49" s="1430" t="s">
        <v>84</v>
      </c>
      <c r="D49" s="402" t="s">
        <v>12</v>
      </c>
      <c r="E49" s="310">
        <v>0.25</v>
      </c>
      <c r="F49" s="428">
        <v>5</v>
      </c>
      <c r="G49" s="429">
        <v>0</v>
      </c>
      <c r="H49" s="440">
        <v>0</v>
      </c>
      <c r="I49" s="1045">
        <v>2</v>
      </c>
      <c r="J49" s="443"/>
      <c r="K49" s="447"/>
      <c r="L49" s="1157">
        <f t="shared" si="35"/>
        <v>0.4</v>
      </c>
      <c r="M49" s="1010"/>
      <c r="N49" s="449">
        <f t="shared" si="41"/>
        <v>0</v>
      </c>
      <c r="O49" s="449"/>
      <c r="P49" s="451"/>
      <c r="Q49" s="488"/>
      <c r="R49" s="805"/>
      <c r="S49" s="877"/>
      <c r="T49" s="805"/>
      <c r="U49" s="875"/>
      <c r="V49" s="451">
        <f t="shared" si="56"/>
        <v>0</v>
      </c>
      <c r="W49" s="492">
        <f t="shared" si="54"/>
        <v>0</v>
      </c>
      <c r="X49" s="430">
        <v>0</v>
      </c>
      <c r="Y49" s="430"/>
      <c r="Z49" s="430"/>
      <c r="AA49" s="430"/>
      <c r="AB49" s="430">
        <f t="shared" si="36"/>
        <v>0</v>
      </c>
      <c r="AC49" s="431"/>
      <c r="AD49" s="434"/>
      <c r="AE49" s="434">
        <f t="shared" si="37"/>
        <v>0</v>
      </c>
      <c r="AF49" s="431"/>
      <c r="AG49" s="447">
        <f t="shared" si="48"/>
        <v>0</v>
      </c>
      <c r="AH49" s="448">
        <f t="shared" si="45"/>
        <v>0</v>
      </c>
      <c r="AI49" s="502"/>
      <c r="AJ49" s="503">
        <v>0</v>
      </c>
      <c r="AK49" s="503">
        <f t="shared" si="39"/>
        <v>0</v>
      </c>
      <c r="AL49" s="502">
        <v>0</v>
      </c>
      <c r="AM49" s="503">
        <f t="shared" si="55"/>
        <v>0</v>
      </c>
      <c r="AN49" s="1426">
        <f t="shared" si="40"/>
        <v>0</v>
      </c>
      <c r="AO49" s="179" t="s">
        <v>1850</v>
      </c>
      <c r="AP49" s="571" t="s">
        <v>1892</v>
      </c>
      <c r="AQ49" s="680" t="s">
        <v>2264</v>
      </c>
      <c r="AR49" s="680" t="s">
        <v>2286</v>
      </c>
      <c r="AS49" s="680" t="s">
        <v>2401</v>
      </c>
      <c r="AT49" s="680" t="s">
        <v>2434</v>
      </c>
      <c r="AU49" s="680" t="s">
        <v>2487</v>
      </c>
      <c r="AV49" s="680" t="s">
        <v>1893</v>
      </c>
    </row>
    <row r="50" spans="1:48" ht="138" customHeight="1" thickBot="1" x14ac:dyDescent="0.4">
      <c r="A50" s="264"/>
      <c r="B50" s="1430" t="s">
        <v>85</v>
      </c>
      <c r="C50" s="1430" t="s">
        <v>86</v>
      </c>
      <c r="D50" s="402" t="s">
        <v>12</v>
      </c>
      <c r="E50" s="310">
        <v>0.1</v>
      </c>
      <c r="F50" s="428">
        <v>5</v>
      </c>
      <c r="G50" s="429">
        <v>0</v>
      </c>
      <c r="H50" s="440">
        <v>3</v>
      </c>
      <c r="I50" s="1045">
        <v>0</v>
      </c>
      <c r="J50" s="443"/>
      <c r="K50" s="447">
        <f t="shared" si="53"/>
        <v>0.6</v>
      </c>
      <c r="L50" s="449"/>
      <c r="M50" s="1011"/>
      <c r="N50" s="449">
        <f t="shared" si="41"/>
        <v>0.06</v>
      </c>
      <c r="O50" s="449"/>
      <c r="P50" s="489"/>
      <c r="Q50" s="488">
        <v>0</v>
      </c>
      <c r="R50" s="484">
        <v>0</v>
      </c>
      <c r="S50" s="878">
        <v>0</v>
      </c>
      <c r="T50" s="953">
        <v>0</v>
      </c>
      <c r="U50" s="488">
        <v>0</v>
      </c>
      <c r="V50" s="956">
        <f t="shared" si="56"/>
        <v>0</v>
      </c>
      <c r="W50" s="492">
        <f t="shared" si="54"/>
        <v>0</v>
      </c>
      <c r="X50" s="430">
        <v>0</v>
      </c>
      <c r="Y50" s="430"/>
      <c r="Z50" s="430"/>
      <c r="AA50" s="430"/>
      <c r="AB50" s="430">
        <f t="shared" si="36"/>
        <v>0</v>
      </c>
      <c r="AC50" s="431"/>
      <c r="AD50" s="434">
        <f t="shared" si="47"/>
        <v>0</v>
      </c>
      <c r="AE50" s="434"/>
      <c r="AF50" s="431"/>
      <c r="AG50" s="447">
        <f t="shared" si="48"/>
        <v>0</v>
      </c>
      <c r="AH50" s="448">
        <v>0</v>
      </c>
      <c r="AI50" s="502"/>
      <c r="AJ50" s="504">
        <v>0</v>
      </c>
      <c r="AK50" s="504">
        <f t="shared" si="39"/>
        <v>0</v>
      </c>
      <c r="AL50" s="502">
        <v>0</v>
      </c>
      <c r="AM50" s="503">
        <f t="shared" si="55"/>
        <v>0</v>
      </c>
      <c r="AN50" s="1426">
        <f t="shared" si="40"/>
        <v>0</v>
      </c>
      <c r="AO50" s="179" t="s">
        <v>1850</v>
      </c>
      <c r="AP50" s="588" t="s">
        <v>1919</v>
      </c>
      <c r="AQ50" s="680" t="s">
        <v>2264</v>
      </c>
      <c r="AR50" s="680" t="s">
        <v>2286</v>
      </c>
      <c r="AS50" s="680" t="s">
        <v>2401</v>
      </c>
      <c r="AT50" s="680" t="s">
        <v>2434</v>
      </c>
      <c r="AU50" s="680" t="s">
        <v>2487</v>
      </c>
      <c r="AV50" s="680" t="s">
        <v>1893</v>
      </c>
    </row>
    <row r="51" spans="1:48" ht="138" customHeight="1" thickBot="1" x14ac:dyDescent="0.4">
      <c r="A51" s="264"/>
      <c r="B51" s="409" t="s">
        <v>87</v>
      </c>
      <c r="C51" s="409" t="s">
        <v>88</v>
      </c>
      <c r="D51" s="402" t="s">
        <v>12</v>
      </c>
      <c r="E51" s="310">
        <v>0.1</v>
      </c>
      <c r="F51" s="428">
        <f>33*4</f>
        <v>132</v>
      </c>
      <c r="G51" s="429">
        <v>33</v>
      </c>
      <c r="H51" s="440">
        <v>33</v>
      </c>
      <c r="I51" s="1045">
        <v>8</v>
      </c>
      <c r="J51" s="443">
        <f t="shared" si="49"/>
        <v>0.25</v>
      </c>
      <c r="K51" s="447">
        <f>+H51/F51</f>
        <v>0.25</v>
      </c>
      <c r="L51" s="449">
        <f t="shared" si="35"/>
        <v>6.0606060606060608E-2</v>
      </c>
      <c r="M51" s="1012">
        <f t="shared" si="50"/>
        <v>2.5000000000000001E-2</v>
      </c>
      <c r="N51" s="449">
        <f t="shared" si="41"/>
        <v>2.5000000000000001E-2</v>
      </c>
      <c r="O51" s="449"/>
      <c r="P51" s="489">
        <v>33</v>
      </c>
      <c r="Q51" s="488">
        <v>33</v>
      </c>
      <c r="R51" s="484">
        <v>0</v>
      </c>
      <c r="S51" s="484">
        <v>0</v>
      </c>
      <c r="T51" s="484">
        <v>0</v>
      </c>
      <c r="U51" s="1003">
        <v>0</v>
      </c>
      <c r="V51" s="451">
        <f>+Q51+R51+S51+T51+U51</f>
        <v>33</v>
      </c>
      <c r="W51" s="492">
        <f>+V51+P51+AB51</f>
        <v>74</v>
      </c>
      <c r="X51" s="430">
        <v>8</v>
      </c>
      <c r="Y51" s="430"/>
      <c r="Z51" s="430"/>
      <c r="AA51" s="430"/>
      <c r="AB51" s="430">
        <f t="shared" si="36"/>
        <v>8</v>
      </c>
      <c r="AC51" s="431">
        <f t="shared" si="51"/>
        <v>1</v>
      </c>
      <c r="AD51" s="464">
        <v>1</v>
      </c>
      <c r="AE51" s="464">
        <v>0.25</v>
      </c>
      <c r="AF51" s="431">
        <f>+AC51*E51</f>
        <v>0.1</v>
      </c>
      <c r="AG51" s="447">
        <f t="shared" si="48"/>
        <v>0.1</v>
      </c>
      <c r="AH51" s="508">
        <f t="shared" si="45"/>
        <v>2.5000000000000001E-2</v>
      </c>
      <c r="AI51" s="502">
        <f t="shared" si="52"/>
        <v>0.25</v>
      </c>
      <c r="AJ51" s="504">
        <v>0.49990000000000001</v>
      </c>
      <c r="AK51" s="504">
        <f>+W51/F51</f>
        <v>0.56060606060606055</v>
      </c>
      <c r="AL51" s="502">
        <f>+AI51*E51</f>
        <v>2.5000000000000001E-2</v>
      </c>
      <c r="AM51" s="503">
        <f t="shared" si="55"/>
        <v>4.9990000000000007E-2</v>
      </c>
      <c r="AN51" s="1426">
        <f t="shared" si="40"/>
        <v>5.6060606060606061E-2</v>
      </c>
      <c r="AO51" s="179" t="s">
        <v>1850</v>
      </c>
      <c r="AP51" s="571" t="s">
        <v>1892</v>
      </c>
      <c r="AQ51" s="680" t="s">
        <v>2264</v>
      </c>
      <c r="AR51" s="680" t="s">
        <v>2286</v>
      </c>
      <c r="AS51" s="583" t="s">
        <v>1865</v>
      </c>
      <c r="AT51" s="680" t="s">
        <v>2434</v>
      </c>
      <c r="AU51" s="680" t="s">
        <v>2487</v>
      </c>
      <c r="AV51" s="583" t="s">
        <v>1865</v>
      </c>
    </row>
    <row r="52" spans="1:48" ht="138" customHeight="1" thickBot="1" x14ac:dyDescent="0.45">
      <c r="A52" s="264"/>
      <c r="B52" s="1535" t="s">
        <v>1602</v>
      </c>
      <c r="C52" s="1534"/>
      <c r="D52" s="402"/>
      <c r="E52" s="424">
        <v>0.15</v>
      </c>
      <c r="F52" s="427"/>
      <c r="G52" s="427"/>
      <c r="H52" s="454"/>
      <c r="I52" s="1050"/>
      <c r="J52" s="445">
        <f>+AVERAGE(J53:J56)</f>
        <v>0.25</v>
      </c>
      <c r="K52" s="446">
        <f>+AVERAGE(K53:K56)</f>
        <v>0.32750000000000001</v>
      </c>
      <c r="L52" s="506">
        <f>+AVERAGE(L53:L56)</f>
        <v>0.21789999999999998</v>
      </c>
      <c r="M52" s="455">
        <f>+M53+M54+M55+M56</f>
        <v>0.125</v>
      </c>
      <c r="N52" s="426">
        <f>+N53+N54+N55+N56</f>
        <v>0.32750000000000001</v>
      </c>
      <c r="O52" s="455"/>
      <c r="P52" s="425"/>
      <c r="Q52" s="433"/>
      <c r="R52" s="433"/>
      <c r="S52" s="433"/>
      <c r="T52" s="433"/>
      <c r="U52" s="981"/>
      <c r="V52" s="425"/>
      <c r="W52" s="303"/>
      <c r="X52" s="430"/>
      <c r="Y52" s="430"/>
      <c r="Z52" s="430"/>
      <c r="AA52" s="430"/>
      <c r="AB52" s="430"/>
      <c r="AC52" s="486">
        <f>+AVERAGE(AC53:AC56)</f>
        <v>1</v>
      </c>
      <c r="AD52" s="486">
        <f>+AVERAGE(AD53:AD56)</f>
        <v>0.75</v>
      </c>
      <c r="AE52" s="486">
        <f>+AVERAGE(AE53:AE56)</f>
        <v>9.2495669760410099E-2</v>
      </c>
      <c r="AF52" s="486">
        <f>+(AF53+AF54+AF55+AF56)*E52</f>
        <v>7.4999999999999997E-2</v>
      </c>
      <c r="AG52" s="505">
        <f>+(AG53+AG54+AG55+AG56)*E52</f>
        <v>0.11249999999999999</v>
      </c>
      <c r="AH52" s="1033">
        <f>+(AH53+AH54+AH55+AH56)*E52</f>
        <v>1.3874350464061514E-2</v>
      </c>
      <c r="AI52" s="446">
        <f>+AVERAGE(AI53:AI56)</f>
        <v>0.26200000000000001</v>
      </c>
      <c r="AJ52" s="506">
        <v>0.50180000000000002</v>
      </c>
      <c r="AK52" s="506">
        <f>+AVERAGE(AK53:AK56)</f>
        <v>0.51910000000000001</v>
      </c>
      <c r="AL52" s="446">
        <f>+(AL53+AL54+AL55+AL56)*E52</f>
        <v>1.9650000000000001E-2</v>
      </c>
      <c r="AM52" s="498">
        <f>+(AM53+AM54+AM55+AM56)</f>
        <v>0.50180000000000002</v>
      </c>
      <c r="AN52" s="498">
        <f>+(AN53+AN54+AN55+AN56)</f>
        <v>0.51910000000000001</v>
      </c>
      <c r="AO52" s="172"/>
      <c r="AP52" s="400"/>
      <c r="AQ52" s="400"/>
      <c r="AR52" s="400"/>
      <c r="AS52" s="400"/>
      <c r="AT52" s="400"/>
      <c r="AU52" s="196"/>
      <c r="AV52" s="196"/>
    </row>
    <row r="53" spans="1:48" ht="138" customHeight="1" thickBot="1" x14ac:dyDescent="0.4">
      <c r="A53" s="264"/>
      <c r="B53" s="1430" t="s">
        <v>89</v>
      </c>
      <c r="C53" s="1430" t="s">
        <v>90</v>
      </c>
      <c r="D53" s="402" t="s">
        <v>12</v>
      </c>
      <c r="E53" s="310">
        <v>0.25</v>
      </c>
      <c r="F53" s="428">
        <v>2500</v>
      </c>
      <c r="G53" s="429">
        <v>0</v>
      </c>
      <c r="H53" s="440">
        <v>835</v>
      </c>
      <c r="I53" s="1045">
        <v>591</v>
      </c>
      <c r="J53" s="443"/>
      <c r="K53" s="447">
        <f>+H53/F53</f>
        <v>0.33400000000000002</v>
      </c>
      <c r="L53" s="507">
        <f>+I53/F53</f>
        <v>0.2364</v>
      </c>
      <c r="M53" s="434"/>
      <c r="N53" s="434">
        <f>+(H53/F53)*E53</f>
        <v>8.3500000000000005E-2</v>
      </c>
      <c r="O53" s="434"/>
      <c r="P53" s="430"/>
      <c r="Q53" s="488">
        <v>0</v>
      </c>
      <c r="R53" s="484">
        <v>305</v>
      </c>
      <c r="S53" s="484">
        <v>1013</v>
      </c>
      <c r="T53" s="484">
        <v>0</v>
      </c>
      <c r="U53" s="484">
        <v>0</v>
      </c>
      <c r="V53" s="430">
        <f>+Q53+R53+S53+T53+U53</f>
        <v>1318</v>
      </c>
      <c r="W53" s="493">
        <f>+V53+P53+AB53</f>
        <v>1430</v>
      </c>
      <c r="X53" s="430">
        <v>112</v>
      </c>
      <c r="Y53" s="430"/>
      <c r="Z53" s="430"/>
      <c r="AA53" s="430"/>
      <c r="AB53" s="430">
        <f t="shared" si="36"/>
        <v>112</v>
      </c>
      <c r="AC53" s="431"/>
      <c r="AD53" s="434">
        <v>1</v>
      </c>
      <c r="AE53" s="434">
        <f t="shared" si="37"/>
        <v>0.1895093062605753</v>
      </c>
      <c r="AF53" s="431"/>
      <c r="AG53" s="447">
        <f t="shared" si="48"/>
        <v>0.25</v>
      </c>
      <c r="AH53" s="507">
        <f t="shared" si="45"/>
        <v>4.7377326565143825E-2</v>
      </c>
      <c r="AI53" s="502"/>
      <c r="AJ53" s="509">
        <v>0.5272</v>
      </c>
      <c r="AK53" s="509">
        <f t="shared" si="39"/>
        <v>0.57199999999999995</v>
      </c>
      <c r="AL53" s="502">
        <v>0</v>
      </c>
      <c r="AM53" s="503">
        <f t="shared" ref="AM53:AM54" si="57">+AJ53*E53</f>
        <v>0.1318</v>
      </c>
      <c r="AN53" s="1426">
        <f t="shared" si="40"/>
        <v>0.14299999999999999</v>
      </c>
      <c r="AO53" s="179" t="s">
        <v>1850</v>
      </c>
      <c r="AP53" s="588" t="s">
        <v>1919</v>
      </c>
      <c r="AQ53" s="680" t="s">
        <v>2264</v>
      </c>
      <c r="AR53" s="680" t="s">
        <v>2286</v>
      </c>
      <c r="AS53" s="680" t="s">
        <v>2401</v>
      </c>
      <c r="AT53" s="680" t="s">
        <v>2434</v>
      </c>
      <c r="AU53" s="680" t="s">
        <v>2487</v>
      </c>
      <c r="AV53" s="680" t="s">
        <v>1893</v>
      </c>
    </row>
    <row r="54" spans="1:48" ht="138" customHeight="1" thickBot="1" x14ac:dyDescent="0.4">
      <c r="A54" s="264"/>
      <c r="B54" s="1430" t="s">
        <v>91</v>
      </c>
      <c r="C54" s="1430" t="s">
        <v>92</v>
      </c>
      <c r="D54" s="402" t="s">
        <v>12</v>
      </c>
      <c r="E54" s="310">
        <v>0.25</v>
      </c>
      <c r="F54" s="428">
        <v>4</v>
      </c>
      <c r="G54" s="429">
        <v>0</v>
      </c>
      <c r="H54" s="440">
        <v>2</v>
      </c>
      <c r="I54" s="1045">
        <v>1</v>
      </c>
      <c r="J54" s="443"/>
      <c r="K54" s="447">
        <f t="shared" ref="K54:K90" si="58">+H54/F54</f>
        <v>0.5</v>
      </c>
      <c r="L54" s="448">
        <f t="shared" si="35"/>
        <v>0.25</v>
      </c>
      <c r="M54" s="434"/>
      <c r="N54" s="434">
        <f t="shared" si="41"/>
        <v>0.125</v>
      </c>
      <c r="O54" s="434"/>
      <c r="P54" s="430"/>
      <c r="Q54" s="488">
        <v>0</v>
      </c>
      <c r="R54" s="484">
        <v>0</v>
      </c>
      <c r="S54" s="484">
        <v>0</v>
      </c>
      <c r="T54" s="484">
        <v>2</v>
      </c>
      <c r="U54" s="484">
        <v>0</v>
      </c>
      <c r="V54" s="430">
        <f t="shared" ref="V54:V55" si="59">+Q54+R54+S54+T54+U54</f>
        <v>2</v>
      </c>
      <c r="W54" s="493">
        <f t="shared" ref="W54:W56" si="60">+V54+P54+AB54</f>
        <v>2</v>
      </c>
      <c r="X54" s="430">
        <v>0</v>
      </c>
      <c r="Y54" s="430"/>
      <c r="Z54" s="430"/>
      <c r="AA54" s="430"/>
      <c r="AB54" s="430">
        <f t="shared" si="36"/>
        <v>0</v>
      </c>
      <c r="AC54" s="431"/>
      <c r="AD54" s="434">
        <f t="shared" si="47"/>
        <v>1</v>
      </c>
      <c r="AE54" s="434">
        <f t="shared" si="37"/>
        <v>0</v>
      </c>
      <c r="AF54" s="431"/>
      <c r="AG54" s="447">
        <f t="shared" si="48"/>
        <v>0.25</v>
      </c>
      <c r="AH54" s="448">
        <f t="shared" si="45"/>
        <v>0</v>
      </c>
      <c r="AI54" s="502"/>
      <c r="AJ54" s="503">
        <v>0.5</v>
      </c>
      <c r="AK54" s="503">
        <f t="shared" si="39"/>
        <v>0.5</v>
      </c>
      <c r="AL54" s="502">
        <v>0</v>
      </c>
      <c r="AM54" s="503">
        <f t="shared" si="57"/>
        <v>0.125</v>
      </c>
      <c r="AN54" s="1426">
        <f t="shared" si="40"/>
        <v>0.125</v>
      </c>
      <c r="AO54" s="179" t="s">
        <v>1850</v>
      </c>
      <c r="AP54" s="588" t="s">
        <v>1919</v>
      </c>
      <c r="AQ54" s="680" t="s">
        <v>2264</v>
      </c>
      <c r="AR54" s="680" t="s">
        <v>2286</v>
      </c>
      <c r="AS54" s="680" t="s">
        <v>2401</v>
      </c>
      <c r="AT54" s="680" t="s">
        <v>2434</v>
      </c>
      <c r="AU54" s="680" t="s">
        <v>2487</v>
      </c>
      <c r="AV54" s="680" t="s">
        <v>1893</v>
      </c>
    </row>
    <row r="55" spans="1:48" ht="138" customHeight="1" thickBot="1" x14ac:dyDescent="0.4">
      <c r="A55" s="264"/>
      <c r="B55" s="1430" t="s">
        <v>93</v>
      </c>
      <c r="C55" s="1430" t="s">
        <v>94</v>
      </c>
      <c r="D55" s="402" t="s">
        <v>12</v>
      </c>
      <c r="E55" s="310">
        <v>0.25</v>
      </c>
      <c r="F55" s="428">
        <v>2500</v>
      </c>
      <c r="G55" s="429">
        <v>625</v>
      </c>
      <c r="H55" s="440">
        <v>565</v>
      </c>
      <c r="I55" s="1047">
        <v>338</v>
      </c>
      <c r="J55" s="443">
        <f>+G55/F55</f>
        <v>0.25</v>
      </c>
      <c r="K55" s="447">
        <f t="shared" si="58"/>
        <v>0.22600000000000001</v>
      </c>
      <c r="L55" s="448">
        <f t="shared" si="35"/>
        <v>0.13519999999999999</v>
      </c>
      <c r="M55" s="434">
        <f>+(G55/F55)*E55</f>
        <v>6.25E-2</v>
      </c>
      <c r="N55" s="434">
        <f t="shared" si="41"/>
        <v>5.6500000000000002E-2</v>
      </c>
      <c r="O55" s="434"/>
      <c r="P55" s="430">
        <v>685</v>
      </c>
      <c r="Q55" s="488">
        <v>200</v>
      </c>
      <c r="R55" s="484">
        <v>544</v>
      </c>
      <c r="S55" s="484">
        <v>396</v>
      </c>
      <c r="T55" s="484">
        <v>0</v>
      </c>
      <c r="U55" s="484">
        <v>0</v>
      </c>
      <c r="V55" s="430">
        <f t="shared" si="59"/>
        <v>1140</v>
      </c>
      <c r="W55" s="493">
        <f t="shared" si="60"/>
        <v>1886</v>
      </c>
      <c r="X55" s="430">
        <v>61</v>
      </c>
      <c r="Y55" s="430"/>
      <c r="Z55" s="430"/>
      <c r="AA55" s="430"/>
      <c r="AB55" s="430">
        <f t="shared" si="36"/>
        <v>61</v>
      </c>
      <c r="AC55" s="431">
        <v>1</v>
      </c>
      <c r="AD55" s="434">
        <v>1</v>
      </c>
      <c r="AE55" s="434">
        <f t="shared" si="37"/>
        <v>0.18047337278106509</v>
      </c>
      <c r="AF55" s="431">
        <f>+AC55*E55</f>
        <v>0.25</v>
      </c>
      <c r="AG55" s="447">
        <f t="shared" si="48"/>
        <v>0.25</v>
      </c>
      <c r="AH55" s="448">
        <f t="shared" si="45"/>
        <v>4.5118343195266274E-2</v>
      </c>
      <c r="AI55" s="502">
        <f>+P55/F55</f>
        <v>0.27400000000000002</v>
      </c>
      <c r="AJ55" s="503">
        <v>0.73</v>
      </c>
      <c r="AK55" s="504">
        <f t="shared" si="39"/>
        <v>0.75439999999999996</v>
      </c>
      <c r="AL55" s="502">
        <f>+AI55*E55</f>
        <v>6.8500000000000005E-2</v>
      </c>
      <c r="AM55" s="503">
        <f>+AJ55*E55</f>
        <v>0.1825</v>
      </c>
      <c r="AN55" s="1426">
        <f t="shared" si="40"/>
        <v>0.18859999999999999</v>
      </c>
      <c r="AO55" s="179" t="s">
        <v>1850</v>
      </c>
      <c r="AP55" s="571" t="s">
        <v>1892</v>
      </c>
      <c r="AQ55" s="680" t="s">
        <v>2264</v>
      </c>
      <c r="AR55" s="680" t="s">
        <v>2286</v>
      </c>
      <c r="AS55" s="680" t="s">
        <v>2401</v>
      </c>
      <c r="AT55" s="680" t="s">
        <v>2434</v>
      </c>
      <c r="AU55" s="680" t="s">
        <v>2487</v>
      </c>
      <c r="AV55" s="680" t="s">
        <v>1893</v>
      </c>
    </row>
    <row r="56" spans="1:48" ht="138" customHeight="1" thickBot="1" x14ac:dyDescent="0.4">
      <c r="A56" s="264"/>
      <c r="B56" s="1430" t="s">
        <v>95</v>
      </c>
      <c r="C56" s="1430" t="s">
        <v>96</v>
      </c>
      <c r="D56" s="402" t="s">
        <v>12</v>
      </c>
      <c r="E56" s="310">
        <v>0.25</v>
      </c>
      <c r="F56" s="428">
        <v>4</v>
      </c>
      <c r="G56" s="429">
        <v>1</v>
      </c>
      <c r="H56" s="440">
        <v>1</v>
      </c>
      <c r="I56" s="489">
        <v>1</v>
      </c>
      <c r="J56" s="434">
        <f>+G56/F56</f>
        <v>0.25</v>
      </c>
      <c r="K56" s="447">
        <f t="shared" si="58"/>
        <v>0.25</v>
      </c>
      <c r="L56" s="508">
        <f t="shared" si="35"/>
        <v>0.25</v>
      </c>
      <c r="M56" s="434">
        <f>+(G56/F56)*E56</f>
        <v>6.25E-2</v>
      </c>
      <c r="N56" s="434">
        <f t="shared" si="41"/>
        <v>6.25E-2</v>
      </c>
      <c r="O56" s="434"/>
      <c r="P56" s="430">
        <v>1</v>
      </c>
      <c r="Q56" s="488">
        <v>0</v>
      </c>
      <c r="R56" s="484">
        <v>0</v>
      </c>
      <c r="S56" s="484">
        <v>0</v>
      </c>
      <c r="T56" s="484">
        <v>0</v>
      </c>
      <c r="U56" s="484">
        <v>0</v>
      </c>
      <c r="V56" s="430">
        <f>+Q56+R56+S56+T56+U56</f>
        <v>0</v>
      </c>
      <c r="W56" s="493">
        <f t="shared" si="60"/>
        <v>1</v>
      </c>
      <c r="X56" s="430">
        <v>0</v>
      </c>
      <c r="Y56" s="430"/>
      <c r="Z56" s="430"/>
      <c r="AA56" s="430"/>
      <c r="AB56" s="430">
        <f t="shared" si="36"/>
        <v>0</v>
      </c>
      <c r="AC56" s="431">
        <f>+(P56/G56)</f>
        <v>1</v>
      </c>
      <c r="AD56" s="434">
        <f t="shared" si="47"/>
        <v>0</v>
      </c>
      <c r="AE56" s="434">
        <f t="shared" si="37"/>
        <v>0</v>
      </c>
      <c r="AF56" s="431">
        <f>+AC56*E56</f>
        <v>0.25</v>
      </c>
      <c r="AG56" s="447">
        <f t="shared" si="48"/>
        <v>0</v>
      </c>
      <c r="AH56" s="508">
        <f t="shared" si="45"/>
        <v>0</v>
      </c>
      <c r="AI56" s="502">
        <f>+P56/F56</f>
        <v>0.25</v>
      </c>
      <c r="AJ56" s="504">
        <v>0.25</v>
      </c>
      <c r="AK56" s="1426">
        <f t="shared" si="39"/>
        <v>0.25</v>
      </c>
      <c r="AL56" s="502">
        <f>+AI56*E56</f>
        <v>6.25E-2</v>
      </c>
      <c r="AM56" s="503">
        <f>+AJ56*E56</f>
        <v>6.25E-2</v>
      </c>
      <c r="AN56" s="1426">
        <f t="shared" si="40"/>
        <v>6.25E-2</v>
      </c>
      <c r="AO56" s="179" t="s">
        <v>1850</v>
      </c>
      <c r="AP56" s="571" t="s">
        <v>1892</v>
      </c>
      <c r="AQ56" s="680" t="s">
        <v>2264</v>
      </c>
      <c r="AR56" s="680" t="s">
        <v>2286</v>
      </c>
      <c r="AS56" s="680" t="s">
        <v>2401</v>
      </c>
      <c r="AT56" s="680" t="s">
        <v>2434</v>
      </c>
      <c r="AU56" s="680" t="s">
        <v>2487</v>
      </c>
      <c r="AV56" s="680" t="s">
        <v>1893</v>
      </c>
    </row>
    <row r="57" spans="1:48" ht="72" customHeight="1" thickBot="1" x14ac:dyDescent="0.45">
      <c r="A57" s="264"/>
      <c r="B57" s="1535" t="s">
        <v>1603</v>
      </c>
      <c r="C57" s="1534"/>
      <c r="D57" s="402"/>
      <c r="E57" s="424">
        <v>0.1</v>
      </c>
      <c r="F57" s="427"/>
      <c r="G57" s="456"/>
      <c r="H57" s="457"/>
      <c r="I57" s="1049"/>
      <c r="J57" s="426">
        <f>+AVERAGE(J58:J76)</f>
        <v>0.25</v>
      </c>
      <c r="K57" s="446">
        <f>+AVERAGE(K58:K76)</f>
        <v>0.29290000000000005</v>
      </c>
      <c r="L57" s="506">
        <f>+AVERAGE(L58:L76)</f>
        <v>0.31080769230769228</v>
      </c>
      <c r="M57" s="458">
        <f>+M58+M59+M60+M61+M62+M63+M64+M65+M66+M67+M68+M69+M70+M71+M72+M73+M74+M75+M76</f>
        <v>0.14500000000000005</v>
      </c>
      <c r="N57" s="458">
        <f>+N58+N59+N60+N61+N62+N63+N64+N65+N66+N67+N68+N69+N70+N71+N72+N73+N74+N75+N76</f>
        <v>0.14290000000000003</v>
      </c>
      <c r="O57" s="458"/>
      <c r="P57" s="433"/>
      <c r="Q57" s="433"/>
      <c r="R57" s="433"/>
      <c r="S57" s="433"/>
      <c r="T57" s="433"/>
      <c r="U57" s="981"/>
      <c r="V57" s="433"/>
      <c r="W57" s="303"/>
      <c r="X57" s="430"/>
      <c r="Y57" s="430"/>
      <c r="Z57" s="430"/>
      <c r="AA57" s="430"/>
      <c r="AB57" s="430"/>
      <c r="AC57" s="486">
        <f>+AVERAGE(AC58:AC76)</f>
        <v>0.9349090909090908</v>
      </c>
      <c r="AD57" s="486">
        <f>+AVERAGE(AD58:AD76)</f>
        <v>0.95048135198135209</v>
      </c>
      <c r="AE57" s="486">
        <f>+AVERAGE(AE58:AE76)</f>
        <v>0.10639572891697538</v>
      </c>
      <c r="AF57" s="486">
        <f>+(AF58+AF59+AF60+AF61+AF62+AF63+AF64+AF65+AF66+AF67+AF68+AF69+AF70+AF71+AF72+AF73+AF74+AF75+AF76)*E57</f>
        <v>5.0840000000000024E-2</v>
      </c>
      <c r="AG57" s="505">
        <f>+(AG58+AG59+AG60+AG61+AG62+AG63+AG64+AG65+AG66+AG67+AG68+AG69+AG70+AG71+AG72+AG73+AG74+AG76)*E57</f>
        <v>4.3178135198135202E-2</v>
      </c>
      <c r="AH57" s="1033">
        <f>+(AH58+AH59+AH60+AH61+AH62+AH63+AH64+AH65+AH66+AH67+AH68+AH69+AH70+AH71+AH72+AH73+AH74+AH76)*E57</f>
        <v>1.18314447592068E-2</v>
      </c>
      <c r="AI57" s="446">
        <f>+AVERAGE(AI58:AI76)</f>
        <v>0.2337272727272727</v>
      </c>
      <c r="AJ57" s="506">
        <v>0.28501315789473686</v>
      </c>
      <c r="AK57" s="506">
        <f>+AVERAGE(AK58:AK76)</f>
        <v>0.34340789473684213</v>
      </c>
      <c r="AL57" s="446">
        <f>+(AL58+AL59+AL60+AL61+AL62+AL63+AL64+AL65+AL66+AL67+AL68+AL69+AL70+AL71+AL72+AL73+AL74+AL75+AL76)*E57</f>
        <v>1.2710000000000006E-2</v>
      </c>
      <c r="AM57" s="498">
        <f>+(AM58+AM59+AM60+AM61+AM62+AM63+AM64+AM65+AM66+AM67+AM68+AM69+AM70+AM71+AM72+AM73+AM74+AM75+AM76)</f>
        <v>0.26117500000000005</v>
      </c>
      <c r="AN57" s="498">
        <f>+(AN58+AN59+AN60+AN61+AN62+AN63+AN64+AN65+AN66+AN67+AN68+AN69+AN70+AN71+AN72+AN73+AN74+AN75+AN76)</f>
        <v>0.35152500000000009</v>
      </c>
      <c r="AO57" s="172"/>
      <c r="AP57" s="400"/>
      <c r="AQ57" s="400"/>
      <c r="AR57" s="400"/>
      <c r="AS57" s="400"/>
      <c r="AT57" s="400"/>
      <c r="AU57" s="196"/>
      <c r="AV57" s="196"/>
    </row>
    <row r="58" spans="1:48" ht="132.6" customHeight="1" thickBot="1" x14ac:dyDescent="0.4">
      <c r="A58" s="264"/>
      <c r="B58" s="1430" t="s">
        <v>97</v>
      </c>
      <c r="C58" s="1430" t="s">
        <v>98</v>
      </c>
      <c r="D58" s="402" t="s">
        <v>12</v>
      </c>
      <c r="E58" s="459">
        <v>0.1</v>
      </c>
      <c r="F58" s="428">
        <v>1000</v>
      </c>
      <c r="G58" s="429">
        <v>0</v>
      </c>
      <c r="H58" s="440">
        <v>0</v>
      </c>
      <c r="I58" s="1045">
        <v>0</v>
      </c>
      <c r="J58" s="434"/>
      <c r="K58" s="447"/>
      <c r="L58" s="507"/>
      <c r="M58" s="434"/>
      <c r="N58" s="434"/>
      <c r="O58" s="434"/>
      <c r="P58" s="430"/>
      <c r="Q58" s="488"/>
      <c r="R58" s="484"/>
      <c r="S58" s="484"/>
      <c r="T58" s="484"/>
      <c r="U58" s="484"/>
      <c r="V58" s="430"/>
      <c r="W58" s="493">
        <f>+V58+P58+AB58</f>
        <v>0</v>
      </c>
      <c r="X58" s="484">
        <v>0</v>
      </c>
      <c r="Y58" s="430"/>
      <c r="Z58" s="430"/>
      <c r="AA58" s="430"/>
      <c r="AB58" s="430">
        <f t="shared" si="36"/>
        <v>0</v>
      </c>
      <c r="AC58" s="431"/>
      <c r="AD58" s="464"/>
      <c r="AE58" s="464"/>
      <c r="AF58" s="478"/>
      <c r="AG58" s="502">
        <f t="shared" si="48"/>
        <v>0</v>
      </c>
      <c r="AH58" s="1056"/>
      <c r="AI58" s="502"/>
      <c r="AJ58" s="509">
        <v>0</v>
      </c>
      <c r="AK58" s="1056">
        <f t="shared" si="39"/>
        <v>0</v>
      </c>
      <c r="AL58" s="502">
        <v>0</v>
      </c>
      <c r="AM58" s="503">
        <v>0</v>
      </c>
      <c r="AN58" s="1426">
        <f t="shared" si="40"/>
        <v>0</v>
      </c>
      <c r="AO58" s="179" t="s">
        <v>1850</v>
      </c>
      <c r="AP58" s="571" t="s">
        <v>1892</v>
      </c>
      <c r="AQ58" s="680" t="s">
        <v>2264</v>
      </c>
      <c r="AR58" s="680" t="s">
        <v>2286</v>
      </c>
      <c r="AS58" s="680" t="s">
        <v>2401</v>
      </c>
      <c r="AT58" s="680" t="s">
        <v>2434</v>
      </c>
      <c r="AU58" s="680" t="s">
        <v>2487</v>
      </c>
      <c r="AV58" s="680" t="s">
        <v>1893</v>
      </c>
    </row>
    <row r="59" spans="1:48" ht="132.6" customHeight="1" thickBot="1" x14ac:dyDescent="0.4">
      <c r="A59" s="264"/>
      <c r="B59" s="1430" t="s">
        <v>99</v>
      </c>
      <c r="C59" s="1430" t="s">
        <v>100</v>
      </c>
      <c r="D59" s="402" t="s">
        <v>12</v>
      </c>
      <c r="E59" s="459">
        <v>0.1</v>
      </c>
      <c r="F59" s="428">
        <v>1000</v>
      </c>
      <c r="G59" s="429">
        <v>250</v>
      </c>
      <c r="H59" s="440">
        <v>429</v>
      </c>
      <c r="I59" s="1045">
        <v>353</v>
      </c>
      <c r="J59" s="434">
        <f t="shared" ref="J59:J73" si="61">+G59/F59</f>
        <v>0.25</v>
      </c>
      <c r="K59" s="447">
        <f t="shared" si="58"/>
        <v>0.42899999999999999</v>
      </c>
      <c r="L59" s="448">
        <f t="shared" si="35"/>
        <v>0.35299999999999998</v>
      </c>
      <c r="M59" s="434">
        <f t="shared" ref="M59:M73" si="62">+(G59/F59)*E59</f>
        <v>2.5000000000000001E-2</v>
      </c>
      <c r="N59" s="434">
        <f t="shared" si="41"/>
        <v>4.2900000000000001E-2</v>
      </c>
      <c r="O59" s="434"/>
      <c r="P59" s="430">
        <v>71</v>
      </c>
      <c r="Q59" s="488">
        <v>50</v>
      </c>
      <c r="R59" s="484">
        <v>101</v>
      </c>
      <c r="S59" s="484">
        <v>72</v>
      </c>
      <c r="T59" s="484">
        <v>0</v>
      </c>
      <c r="U59" s="487">
        <v>0</v>
      </c>
      <c r="V59" s="430">
        <f>+Q59+R59+S59+T59+U59</f>
        <v>223</v>
      </c>
      <c r="W59" s="493">
        <f>+V59+P59+AB59</f>
        <v>341</v>
      </c>
      <c r="X59" s="484">
        <v>47</v>
      </c>
      <c r="Y59" s="430"/>
      <c r="Z59" s="430"/>
      <c r="AA59" s="430"/>
      <c r="AB59" s="430">
        <f t="shared" si="36"/>
        <v>47</v>
      </c>
      <c r="AC59" s="431">
        <f t="shared" ref="AC59:AC73" si="63">+(P59/G59)</f>
        <v>0.28399999999999997</v>
      </c>
      <c r="AD59" s="464">
        <f t="shared" si="47"/>
        <v>0.51981351981351986</v>
      </c>
      <c r="AE59" s="464">
        <f t="shared" si="37"/>
        <v>0.13314447592067988</v>
      </c>
      <c r="AF59" s="478">
        <f>+AC59*E59</f>
        <v>2.8399999999999998E-2</v>
      </c>
      <c r="AG59" s="502">
        <f t="shared" si="48"/>
        <v>5.1981351981351988E-2</v>
      </c>
      <c r="AH59" s="503">
        <f t="shared" si="45"/>
        <v>1.3314447592067988E-2</v>
      </c>
      <c r="AI59" s="502">
        <f t="shared" ref="AI59:AI73" si="64">+P59/F59</f>
        <v>7.0999999999999994E-2</v>
      </c>
      <c r="AJ59" s="503">
        <v>0.29399999999999998</v>
      </c>
      <c r="AK59" s="503">
        <f t="shared" si="39"/>
        <v>0.34100000000000003</v>
      </c>
      <c r="AL59" s="502">
        <f>+AI59*E59</f>
        <v>7.0999999999999995E-3</v>
      </c>
      <c r="AM59" s="503"/>
      <c r="AN59" s="1426">
        <f t="shared" si="40"/>
        <v>3.4100000000000005E-2</v>
      </c>
      <c r="AO59" s="179" t="s">
        <v>1850</v>
      </c>
      <c r="AP59" s="571" t="s">
        <v>1892</v>
      </c>
      <c r="AQ59" s="680" t="s">
        <v>2264</v>
      </c>
      <c r="AR59" s="680" t="s">
        <v>2286</v>
      </c>
      <c r="AS59" s="680" t="s">
        <v>2401</v>
      </c>
      <c r="AT59" s="680" t="s">
        <v>2434</v>
      </c>
      <c r="AU59" s="680" t="s">
        <v>2487</v>
      </c>
      <c r="AV59" s="680" t="s">
        <v>1893</v>
      </c>
    </row>
    <row r="60" spans="1:48" ht="132.6" customHeight="1" thickBot="1" x14ac:dyDescent="0.4">
      <c r="A60" s="264"/>
      <c r="B60" s="1427" t="s">
        <v>101</v>
      </c>
      <c r="C60" s="1427" t="s">
        <v>102</v>
      </c>
      <c r="D60" s="402" t="s">
        <v>12</v>
      </c>
      <c r="E60" s="459">
        <v>0.1</v>
      </c>
      <c r="F60" s="460">
        <v>1</v>
      </c>
      <c r="G60" s="461">
        <f>0.0625*4</f>
        <v>0.25</v>
      </c>
      <c r="H60" s="462">
        <v>0.25</v>
      </c>
      <c r="I60" s="1046">
        <v>0.25</v>
      </c>
      <c r="J60" s="434">
        <f t="shared" si="61"/>
        <v>0.25</v>
      </c>
      <c r="K60" s="447">
        <f t="shared" si="58"/>
        <v>0.25</v>
      </c>
      <c r="L60" s="448">
        <f t="shared" si="35"/>
        <v>0.25</v>
      </c>
      <c r="M60" s="434">
        <f t="shared" si="62"/>
        <v>2.5000000000000001E-2</v>
      </c>
      <c r="N60" s="434">
        <f t="shared" si="41"/>
        <v>2.5000000000000001E-2</v>
      </c>
      <c r="O60" s="434"/>
      <c r="P60" s="463">
        <v>0.25</v>
      </c>
      <c r="Q60" s="488">
        <v>6.25E-2</v>
      </c>
      <c r="R60" s="488">
        <v>6.25E-2</v>
      </c>
      <c r="S60" s="488">
        <v>6.25E-2</v>
      </c>
      <c r="T60" s="488">
        <v>3.125E-2</v>
      </c>
      <c r="U60" s="488">
        <v>3.125E-2</v>
      </c>
      <c r="V60" s="430">
        <f t="shared" ref="V60:V76" si="65">+Q60+R60+S60+T60+U60</f>
        <v>0.25</v>
      </c>
      <c r="W60" s="493">
        <f t="shared" ref="W60:W67" si="66">+V60+P60+AB60</f>
        <v>0.5625</v>
      </c>
      <c r="X60" s="484">
        <v>6.25E-2</v>
      </c>
      <c r="Y60" s="430"/>
      <c r="Z60" s="430"/>
      <c r="AA60" s="430"/>
      <c r="AB60" s="430">
        <f t="shared" si="36"/>
        <v>6.25E-2</v>
      </c>
      <c r="AC60" s="431">
        <f t="shared" si="63"/>
        <v>1</v>
      </c>
      <c r="AD60" s="464">
        <f t="shared" si="47"/>
        <v>1</v>
      </c>
      <c r="AE60" s="464">
        <f t="shared" si="37"/>
        <v>0.25</v>
      </c>
      <c r="AF60" s="478">
        <f>+AC60*E60</f>
        <v>0.1</v>
      </c>
      <c r="AG60" s="502">
        <f t="shared" si="48"/>
        <v>0.1</v>
      </c>
      <c r="AH60" s="503">
        <f t="shared" si="45"/>
        <v>2.5000000000000001E-2</v>
      </c>
      <c r="AI60" s="502">
        <f t="shared" si="64"/>
        <v>0.25</v>
      </c>
      <c r="AJ60" s="503">
        <v>0.5</v>
      </c>
      <c r="AK60" s="503">
        <f t="shared" si="39"/>
        <v>0.5625</v>
      </c>
      <c r="AL60" s="502">
        <f>+AI60*E60</f>
        <v>2.5000000000000001E-2</v>
      </c>
      <c r="AM60" s="503">
        <f>+AJ60*E60</f>
        <v>0.05</v>
      </c>
      <c r="AN60" s="1426">
        <f t="shared" si="40"/>
        <v>5.6250000000000001E-2</v>
      </c>
      <c r="AO60" s="179" t="s">
        <v>1850</v>
      </c>
      <c r="AP60" s="571" t="s">
        <v>1892</v>
      </c>
      <c r="AQ60" s="680" t="s">
        <v>2264</v>
      </c>
      <c r="AR60" s="680" t="s">
        <v>2286</v>
      </c>
      <c r="AS60" s="680" t="s">
        <v>2401</v>
      </c>
      <c r="AT60" s="680" t="s">
        <v>2434</v>
      </c>
      <c r="AU60" s="680" t="s">
        <v>2487</v>
      </c>
      <c r="AV60" s="680" t="s">
        <v>1893</v>
      </c>
    </row>
    <row r="61" spans="1:48" ht="132.6" customHeight="1" thickBot="1" x14ac:dyDescent="0.4">
      <c r="A61" s="264"/>
      <c r="B61" s="1427" t="s">
        <v>103</v>
      </c>
      <c r="C61" s="1427" t="s">
        <v>104</v>
      </c>
      <c r="D61" s="402" t="s">
        <v>12</v>
      </c>
      <c r="E61" s="459">
        <v>0.1</v>
      </c>
      <c r="F61" s="460">
        <v>1</v>
      </c>
      <c r="G61" s="461">
        <f>0.0625*4</f>
        <v>0.25</v>
      </c>
      <c r="H61" s="462">
        <v>0.25</v>
      </c>
      <c r="I61" s="1046">
        <v>0.25</v>
      </c>
      <c r="J61" s="434">
        <f t="shared" si="61"/>
        <v>0.25</v>
      </c>
      <c r="K61" s="447">
        <f t="shared" si="58"/>
        <v>0.25</v>
      </c>
      <c r="L61" s="448">
        <f t="shared" si="35"/>
        <v>0.25</v>
      </c>
      <c r="M61" s="434">
        <f t="shared" si="62"/>
        <v>2.5000000000000001E-2</v>
      </c>
      <c r="N61" s="434">
        <f t="shared" si="41"/>
        <v>2.5000000000000001E-2</v>
      </c>
      <c r="O61" s="434"/>
      <c r="P61" s="463">
        <v>0.25</v>
      </c>
      <c r="Q61" s="488">
        <v>0</v>
      </c>
      <c r="R61" s="807">
        <f>0.0625*2</f>
        <v>0.125</v>
      </c>
      <c r="S61" s="807">
        <v>6.25E-2</v>
      </c>
      <c r="T61" s="488">
        <v>3.125E-2</v>
      </c>
      <c r="U61" s="488">
        <v>3.125E-2</v>
      </c>
      <c r="V61" s="430">
        <f t="shared" si="65"/>
        <v>0.25</v>
      </c>
      <c r="W61" s="493">
        <f t="shared" si="66"/>
        <v>0.5</v>
      </c>
      <c r="X61" s="484">
        <v>0</v>
      </c>
      <c r="Y61" s="430"/>
      <c r="Z61" s="430"/>
      <c r="AA61" s="430"/>
      <c r="AB61" s="430">
        <f t="shared" si="36"/>
        <v>0</v>
      </c>
      <c r="AC61" s="431">
        <f t="shared" si="63"/>
        <v>1</v>
      </c>
      <c r="AD61" s="464">
        <f t="shared" si="47"/>
        <v>1</v>
      </c>
      <c r="AE61" s="464">
        <f t="shared" si="37"/>
        <v>0</v>
      </c>
      <c r="AF61" s="478">
        <f>+AC61*E61</f>
        <v>0.1</v>
      </c>
      <c r="AG61" s="502">
        <f t="shared" si="48"/>
        <v>0.1</v>
      </c>
      <c r="AH61" s="503">
        <f t="shared" si="45"/>
        <v>0</v>
      </c>
      <c r="AI61" s="502">
        <f t="shared" si="64"/>
        <v>0.25</v>
      </c>
      <c r="AJ61" s="503">
        <v>0.5</v>
      </c>
      <c r="AK61" s="503">
        <f t="shared" si="39"/>
        <v>0.5</v>
      </c>
      <c r="AL61" s="502">
        <f>+AI61*E61</f>
        <v>2.5000000000000001E-2</v>
      </c>
      <c r="AM61" s="503">
        <f>+AJ61*E61</f>
        <v>0.05</v>
      </c>
      <c r="AN61" s="1426">
        <f t="shared" si="40"/>
        <v>0.05</v>
      </c>
      <c r="AO61" s="179" t="s">
        <v>1850</v>
      </c>
      <c r="AP61" s="571" t="s">
        <v>1892</v>
      </c>
      <c r="AQ61" s="680" t="s">
        <v>2264</v>
      </c>
      <c r="AR61" s="680" t="s">
        <v>2286</v>
      </c>
      <c r="AS61" s="680" t="s">
        <v>2401</v>
      </c>
      <c r="AT61" s="680" t="s">
        <v>2434</v>
      </c>
      <c r="AU61" s="680" t="s">
        <v>2487</v>
      </c>
      <c r="AV61" s="680" t="s">
        <v>1893</v>
      </c>
    </row>
    <row r="62" spans="1:48" ht="132.6" customHeight="1" thickBot="1" x14ac:dyDescent="0.4">
      <c r="A62" s="264"/>
      <c r="B62" s="1427" t="s">
        <v>105</v>
      </c>
      <c r="C62" s="1427" t="s">
        <v>106</v>
      </c>
      <c r="D62" s="402" t="s">
        <v>12</v>
      </c>
      <c r="E62" s="459">
        <v>0.05</v>
      </c>
      <c r="F62" s="428">
        <f>22*4</f>
        <v>88</v>
      </c>
      <c r="G62" s="429">
        <v>22</v>
      </c>
      <c r="H62" s="440">
        <v>22</v>
      </c>
      <c r="I62" s="1045">
        <v>22</v>
      </c>
      <c r="J62" s="434">
        <f t="shared" si="61"/>
        <v>0.25</v>
      </c>
      <c r="K62" s="447">
        <f t="shared" si="58"/>
        <v>0.25</v>
      </c>
      <c r="L62" s="448">
        <f t="shared" si="35"/>
        <v>0.25</v>
      </c>
      <c r="M62" s="464">
        <f>+(G62/F62)*E62</f>
        <v>1.2500000000000001E-2</v>
      </c>
      <c r="N62" s="434">
        <f t="shared" si="41"/>
        <v>1.2500000000000001E-2</v>
      </c>
      <c r="O62" s="434"/>
      <c r="P62" s="430">
        <v>22</v>
      </c>
      <c r="Q62" s="488">
        <v>0</v>
      </c>
      <c r="R62" s="484">
        <v>0</v>
      </c>
      <c r="S62" s="484">
        <v>22</v>
      </c>
      <c r="T62" s="484">
        <v>0</v>
      </c>
      <c r="U62" s="878">
        <v>0</v>
      </c>
      <c r="V62" s="430">
        <f t="shared" si="65"/>
        <v>22</v>
      </c>
      <c r="W62" s="493">
        <f t="shared" si="66"/>
        <v>44</v>
      </c>
      <c r="X62" s="484">
        <v>0</v>
      </c>
      <c r="Y62" s="430"/>
      <c r="Z62" s="430"/>
      <c r="AA62" s="430"/>
      <c r="AB62" s="430">
        <f t="shared" si="36"/>
        <v>0</v>
      </c>
      <c r="AC62" s="431">
        <f t="shared" si="63"/>
        <v>1</v>
      </c>
      <c r="AD62" s="464">
        <f t="shared" si="47"/>
        <v>1</v>
      </c>
      <c r="AE62" s="464">
        <f t="shared" si="37"/>
        <v>0</v>
      </c>
      <c r="AF62" s="478">
        <f>+AC62*E62</f>
        <v>0.05</v>
      </c>
      <c r="AG62" s="502">
        <f t="shared" si="48"/>
        <v>0.05</v>
      </c>
      <c r="AH62" s="503">
        <f t="shared" si="45"/>
        <v>0</v>
      </c>
      <c r="AI62" s="502">
        <f t="shared" si="64"/>
        <v>0.25</v>
      </c>
      <c r="AJ62" s="503">
        <v>0.5</v>
      </c>
      <c r="AK62" s="503">
        <f t="shared" si="39"/>
        <v>0.5</v>
      </c>
      <c r="AL62" s="502">
        <f>+AI62*E62</f>
        <v>1.2500000000000001E-2</v>
      </c>
      <c r="AM62" s="503">
        <f>+AJ62*E62</f>
        <v>2.5000000000000001E-2</v>
      </c>
      <c r="AN62" s="1426">
        <f t="shared" si="40"/>
        <v>2.5000000000000001E-2</v>
      </c>
      <c r="AO62" s="179" t="s">
        <v>1850</v>
      </c>
      <c r="AP62" s="571" t="s">
        <v>1892</v>
      </c>
      <c r="AQ62" s="680" t="s">
        <v>2264</v>
      </c>
      <c r="AR62" s="680" t="s">
        <v>2286</v>
      </c>
      <c r="AS62" s="680" t="s">
        <v>2401</v>
      </c>
      <c r="AT62" s="680" t="s">
        <v>2434</v>
      </c>
      <c r="AU62" s="680" t="s">
        <v>2487</v>
      </c>
      <c r="AV62" s="680" t="s">
        <v>1893</v>
      </c>
    </row>
    <row r="63" spans="1:48" ht="132.6" customHeight="1" thickBot="1" x14ac:dyDescent="0.4">
      <c r="A63" s="264"/>
      <c r="B63" s="1430" t="s">
        <v>107</v>
      </c>
      <c r="C63" s="1430" t="s">
        <v>108</v>
      </c>
      <c r="D63" s="402" t="s">
        <v>12</v>
      </c>
      <c r="E63" s="459">
        <v>0.02</v>
      </c>
      <c r="F63" s="428">
        <v>1</v>
      </c>
      <c r="G63" s="429">
        <v>0</v>
      </c>
      <c r="H63" s="440">
        <v>0</v>
      </c>
      <c r="I63" s="1045">
        <v>0</v>
      </c>
      <c r="J63" s="434"/>
      <c r="K63" s="447"/>
      <c r="L63" s="448"/>
      <c r="M63" s="434"/>
      <c r="N63" s="434"/>
      <c r="O63" s="434"/>
      <c r="P63" s="430"/>
      <c r="Q63" s="488"/>
      <c r="R63" s="484"/>
      <c r="S63" s="484"/>
      <c r="T63" s="484"/>
      <c r="U63" s="484"/>
      <c r="V63" s="430">
        <f t="shared" si="65"/>
        <v>0</v>
      </c>
      <c r="W63" s="493">
        <f t="shared" si="66"/>
        <v>0</v>
      </c>
      <c r="X63" s="484">
        <v>0</v>
      </c>
      <c r="Y63" s="430"/>
      <c r="Z63" s="430"/>
      <c r="AA63" s="430"/>
      <c r="AB63" s="430">
        <f t="shared" si="36"/>
        <v>0</v>
      </c>
      <c r="AC63" s="431"/>
      <c r="AD63" s="464"/>
      <c r="AE63" s="464"/>
      <c r="AF63" s="478"/>
      <c r="AG63" s="502"/>
      <c r="AH63" s="503"/>
      <c r="AI63" s="502"/>
      <c r="AJ63" s="503">
        <v>0</v>
      </c>
      <c r="AK63" s="503">
        <f t="shared" si="39"/>
        <v>0</v>
      </c>
      <c r="AL63" s="502">
        <v>0</v>
      </c>
      <c r="AM63" s="503">
        <f>+AJ63*E63</f>
        <v>0</v>
      </c>
      <c r="AN63" s="1426">
        <f t="shared" si="40"/>
        <v>0</v>
      </c>
      <c r="AO63" s="179" t="s">
        <v>1850</v>
      </c>
      <c r="AP63" s="571" t="s">
        <v>1892</v>
      </c>
      <c r="AQ63" s="680" t="s">
        <v>2264</v>
      </c>
      <c r="AR63" s="680" t="s">
        <v>2286</v>
      </c>
      <c r="AS63" s="680" t="s">
        <v>2401</v>
      </c>
      <c r="AT63" s="680" t="s">
        <v>2434</v>
      </c>
      <c r="AU63" s="680" t="s">
        <v>2487</v>
      </c>
      <c r="AV63" s="680" t="s">
        <v>1893</v>
      </c>
    </row>
    <row r="64" spans="1:48" ht="132.6" customHeight="1" thickBot="1" x14ac:dyDescent="0.4">
      <c r="A64" s="264"/>
      <c r="B64" s="1430" t="s">
        <v>109</v>
      </c>
      <c r="C64" s="1430" t="s">
        <v>110</v>
      </c>
      <c r="D64" s="402" t="s">
        <v>12</v>
      </c>
      <c r="E64" s="459">
        <v>0.02</v>
      </c>
      <c r="F64" s="428">
        <v>1</v>
      </c>
      <c r="G64" s="429">
        <v>0</v>
      </c>
      <c r="H64" s="440">
        <v>0</v>
      </c>
      <c r="I64" s="1047">
        <v>0</v>
      </c>
      <c r="J64" s="434"/>
      <c r="K64" s="447"/>
      <c r="L64" s="508"/>
      <c r="M64" s="434"/>
      <c r="N64" s="434"/>
      <c r="O64" s="434"/>
      <c r="P64" s="430"/>
      <c r="Q64" s="488"/>
      <c r="R64" s="484"/>
      <c r="S64" s="484"/>
      <c r="T64" s="484"/>
      <c r="U64" s="487"/>
      <c r="V64" s="430">
        <f t="shared" si="65"/>
        <v>0</v>
      </c>
      <c r="W64" s="493">
        <f t="shared" si="66"/>
        <v>0</v>
      </c>
      <c r="X64" s="484">
        <v>0</v>
      </c>
      <c r="Y64" s="430"/>
      <c r="Z64" s="430"/>
      <c r="AA64" s="430"/>
      <c r="AB64" s="430">
        <f t="shared" si="36"/>
        <v>0</v>
      </c>
      <c r="AC64" s="431"/>
      <c r="AD64" s="434"/>
      <c r="AE64" s="434"/>
      <c r="AF64" s="431"/>
      <c r="AG64" s="447"/>
      <c r="AH64" s="448"/>
      <c r="AI64" s="447"/>
      <c r="AJ64" s="448">
        <v>0</v>
      </c>
      <c r="AK64" s="503">
        <f t="shared" si="39"/>
        <v>0</v>
      </c>
      <c r="AL64" s="502">
        <v>0</v>
      </c>
      <c r="AM64" s="503">
        <f t="shared" ref="AM64:AM66" si="67">+AJ64*E64</f>
        <v>0</v>
      </c>
      <c r="AN64" s="1426">
        <f t="shared" si="40"/>
        <v>0</v>
      </c>
      <c r="AO64" s="179" t="s">
        <v>1850</v>
      </c>
      <c r="AP64" s="571" t="s">
        <v>1892</v>
      </c>
      <c r="AQ64" s="680" t="s">
        <v>2264</v>
      </c>
      <c r="AR64" s="680" t="s">
        <v>2286</v>
      </c>
      <c r="AS64" s="680" t="s">
        <v>2401</v>
      </c>
      <c r="AT64" s="680" t="s">
        <v>2434</v>
      </c>
      <c r="AU64" s="680" t="s">
        <v>2487</v>
      </c>
      <c r="AV64" s="680" t="s">
        <v>1893</v>
      </c>
    </row>
    <row r="65" spans="1:48" ht="132.6" customHeight="1" thickBot="1" x14ac:dyDescent="0.4">
      <c r="A65" s="264"/>
      <c r="B65" s="1430" t="s">
        <v>111</v>
      </c>
      <c r="C65" s="1430" t="s">
        <v>112</v>
      </c>
      <c r="D65" s="402" t="s">
        <v>12</v>
      </c>
      <c r="E65" s="459">
        <v>0.05</v>
      </c>
      <c r="F65" s="428">
        <v>1</v>
      </c>
      <c r="G65" s="429">
        <v>0</v>
      </c>
      <c r="H65" s="440">
        <v>0</v>
      </c>
      <c r="I65" s="489">
        <v>0</v>
      </c>
      <c r="J65" s="465"/>
      <c r="K65" s="447"/>
      <c r="L65" s="449"/>
      <c r="M65" s="465"/>
      <c r="N65" s="434"/>
      <c r="O65" s="438"/>
      <c r="P65" s="466"/>
      <c r="Q65" s="488"/>
      <c r="R65" s="808"/>
      <c r="S65" s="808"/>
      <c r="T65" s="957"/>
      <c r="U65" s="488"/>
      <c r="V65" s="430">
        <f t="shared" si="65"/>
        <v>0</v>
      </c>
      <c r="W65" s="493">
        <f t="shared" si="66"/>
        <v>0</v>
      </c>
      <c r="X65" s="484">
        <v>0</v>
      </c>
      <c r="Y65" s="430"/>
      <c r="Z65" s="430"/>
      <c r="AA65" s="430"/>
      <c r="AB65" s="430">
        <f t="shared" si="36"/>
        <v>0</v>
      </c>
      <c r="AC65" s="431"/>
      <c r="AD65" s="434"/>
      <c r="AE65" s="434"/>
      <c r="AF65" s="431"/>
      <c r="AG65" s="447"/>
      <c r="AH65" s="448"/>
      <c r="AI65" s="447"/>
      <c r="AJ65" s="448">
        <v>0</v>
      </c>
      <c r="AK65" s="503">
        <f t="shared" si="39"/>
        <v>0</v>
      </c>
      <c r="AL65" s="502">
        <v>0</v>
      </c>
      <c r="AM65" s="503">
        <f t="shared" si="67"/>
        <v>0</v>
      </c>
      <c r="AN65" s="1426">
        <f t="shared" si="40"/>
        <v>0</v>
      </c>
      <c r="AO65" s="179" t="s">
        <v>1850</v>
      </c>
      <c r="AP65" s="571" t="s">
        <v>1892</v>
      </c>
      <c r="AQ65" s="680" t="s">
        <v>2264</v>
      </c>
      <c r="AR65" s="680" t="s">
        <v>2286</v>
      </c>
      <c r="AS65" s="680" t="s">
        <v>2401</v>
      </c>
      <c r="AT65" s="680" t="s">
        <v>2434</v>
      </c>
      <c r="AU65" s="680" t="s">
        <v>2487</v>
      </c>
      <c r="AV65" s="680" t="s">
        <v>1893</v>
      </c>
    </row>
    <row r="66" spans="1:48" ht="132.6" customHeight="1" thickBot="1" x14ac:dyDescent="0.4">
      <c r="A66" s="264"/>
      <c r="B66" s="409" t="s">
        <v>113</v>
      </c>
      <c r="C66" s="409" t="s">
        <v>114</v>
      </c>
      <c r="D66" s="402" t="s">
        <v>12</v>
      </c>
      <c r="E66" s="459">
        <v>0.02</v>
      </c>
      <c r="F66" s="428">
        <v>4</v>
      </c>
      <c r="G66" s="429">
        <v>1</v>
      </c>
      <c r="H66" s="440">
        <v>1</v>
      </c>
      <c r="I66" s="1048">
        <v>0.25</v>
      </c>
      <c r="J66" s="467">
        <f t="shared" si="61"/>
        <v>0.25</v>
      </c>
      <c r="K66" s="447">
        <v>0.25</v>
      </c>
      <c r="L66" s="507">
        <f>+I66/F66</f>
        <v>6.25E-2</v>
      </c>
      <c r="M66" s="467">
        <f t="shared" si="62"/>
        <v>5.0000000000000001E-3</v>
      </c>
      <c r="N66" s="434"/>
      <c r="O66" s="467"/>
      <c r="P66" s="468">
        <v>1</v>
      </c>
      <c r="Q66" s="488">
        <v>0</v>
      </c>
      <c r="R66" s="808">
        <v>0.5</v>
      </c>
      <c r="S66" s="878">
        <v>0.25</v>
      </c>
      <c r="T66" s="958">
        <v>0.1225</v>
      </c>
      <c r="U66" s="488">
        <v>0.1225</v>
      </c>
      <c r="V66" s="430">
        <f t="shared" si="65"/>
        <v>0.99500000000000011</v>
      </c>
      <c r="W66" s="493">
        <f>+V66+P66+AB66</f>
        <v>1.9950000000000001</v>
      </c>
      <c r="X66" s="484">
        <v>0</v>
      </c>
      <c r="Y66" s="430"/>
      <c r="Z66" s="430"/>
      <c r="AA66" s="430"/>
      <c r="AB66" s="430">
        <f t="shared" si="36"/>
        <v>0</v>
      </c>
      <c r="AC66" s="478">
        <f>+(P66/G66)</f>
        <v>1</v>
      </c>
      <c r="AD66" s="464">
        <f t="shared" si="47"/>
        <v>0.99500000000000011</v>
      </c>
      <c r="AE66" s="464">
        <f t="shared" si="37"/>
        <v>0</v>
      </c>
      <c r="AF66" s="478">
        <f t="shared" ref="AF66:AF71" si="68">+AC66*E66</f>
        <v>0.02</v>
      </c>
      <c r="AG66" s="502"/>
      <c r="AH66" s="503">
        <f t="shared" si="45"/>
        <v>0</v>
      </c>
      <c r="AI66" s="502">
        <f>+P66/F66</f>
        <v>0.25</v>
      </c>
      <c r="AJ66" s="503">
        <v>0.49875000000000003</v>
      </c>
      <c r="AK66" s="503">
        <f t="shared" si="39"/>
        <v>0.49875000000000003</v>
      </c>
      <c r="AL66" s="502">
        <f t="shared" ref="AL66:AL71" si="69">+AI66*E66</f>
        <v>5.0000000000000001E-3</v>
      </c>
      <c r="AM66" s="503">
        <f t="shared" si="67"/>
        <v>9.9750000000000012E-3</v>
      </c>
      <c r="AN66" s="1426">
        <f t="shared" si="40"/>
        <v>9.9750000000000012E-3</v>
      </c>
      <c r="AO66" s="179" t="s">
        <v>1850</v>
      </c>
      <c r="AP66" s="571" t="s">
        <v>1892</v>
      </c>
      <c r="AQ66" s="680" t="s">
        <v>2264</v>
      </c>
      <c r="AR66" s="680" t="s">
        <v>2286</v>
      </c>
      <c r="AS66" s="583" t="s">
        <v>1865</v>
      </c>
      <c r="AT66" s="583" t="s">
        <v>1865</v>
      </c>
      <c r="AU66" s="680" t="s">
        <v>2487</v>
      </c>
      <c r="AV66" s="583" t="s">
        <v>1865</v>
      </c>
    </row>
    <row r="67" spans="1:48" ht="132.6" customHeight="1" thickBot="1" x14ac:dyDescent="0.4">
      <c r="A67" s="264"/>
      <c r="B67" s="1430" t="s">
        <v>115</v>
      </c>
      <c r="C67" s="1430" t="s">
        <v>116</v>
      </c>
      <c r="D67" s="402" t="s">
        <v>12</v>
      </c>
      <c r="E67" s="459">
        <v>0.02</v>
      </c>
      <c r="F67" s="428">
        <v>4</v>
      </c>
      <c r="G67" s="429">
        <v>1</v>
      </c>
      <c r="H67" s="430">
        <v>1</v>
      </c>
      <c r="I67" s="468">
        <v>0.25</v>
      </c>
      <c r="J67" s="431">
        <f t="shared" si="61"/>
        <v>0.25</v>
      </c>
      <c r="K67" s="447">
        <f t="shared" si="58"/>
        <v>0.25</v>
      </c>
      <c r="L67" s="448">
        <f t="shared" si="35"/>
        <v>6.25E-2</v>
      </c>
      <c r="M67" s="434">
        <f t="shared" si="62"/>
        <v>5.0000000000000001E-3</v>
      </c>
      <c r="N67" s="434">
        <f t="shared" si="41"/>
        <v>5.0000000000000001E-3</v>
      </c>
      <c r="O67" s="434"/>
      <c r="P67" s="429">
        <v>1</v>
      </c>
      <c r="Q67" s="488">
        <v>0.25</v>
      </c>
      <c r="R67" s="808">
        <v>0.25</v>
      </c>
      <c r="S67" s="484">
        <v>0.25</v>
      </c>
      <c r="T67" s="484">
        <v>0.1225</v>
      </c>
      <c r="U67" s="878">
        <v>0.1225</v>
      </c>
      <c r="V67" s="430">
        <f t="shared" si="65"/>
        <v>0.99500000000000011</v>
      </c>
      <c r="W67" s="493">
        <f t="shared" si="66"/>
        <v>1.9950000000000001</v>
      </c>
      <c r="X67" s="484">
        <v>0</v>
      </c>
      <c r="Y67" s="430"/>
      <c r="Z67" s="430"/>
      <c r="AA67" s="430"/>
      <c r="AB67" s="430">
        <f t="shared" si="36"/>
        <v>0</v>
      </c>
      <c r="AC67" s="478">
        <f>+(P67/G67)</f>
        <v>1</v>
      </c>
      <c r="AD67" s="464">
        <f t="shared" si="47"/>
        <v>0.99500000000000011</v>
      </c>
      <c r="AE67" s="464">
        <f t="shared" si="37"/>
        <v>0</v>
      </c>
      <c r="AF67" s="478">
        <f t="shared" si="68"/>
        <v>0.02</v>
      </c>
      <c r="AG67" s="502">
        <f t="shared" si="48"/>
        <v>1.9900000000000001E-2</v>
      </c>
      <c r="AH67" s="503">
        <f t="shared" si="45"/>
        <v>0</v>
      </c>
      <c r="AI67" s="502">
        <f>+P67/F67</f>
        <v>0.25</v>
      </c>
      <c r="AJ67" s="503">
        <v>0.49875000000000003</v>
      </c>
      <c r="AK67" s="503">
        <f t="shared" si="39"/>
        <v>0.49875000000000003</v>
      </c>
      <c r="AL67" s="502">
        <f t="shared" si="69"/>
        <v>5.0000000000000001E-3</v>
      </c>
      <c r="AM67" s="503">
        <f t="shared" ref="AM67:AM71" si="70">+AJ67*E67</f>
        <v>9.9750000000000012E-3</v>
      </c>
      <c r="AN67" s="1426">
        <f t="shared" si="40"/>
        <v>9.9750000000000012E-3</v>
      </c>
      <c r="AO67" s="179" t="s">
        <v>1850</v>
      </c>
      <c r="AP67" s="571" t="s">
        <v>1892</v>
      </c>
      <c r="AQ67" s="680" t="s">
        <v>2264</v>
      </c>
      <c r="AR67" s="680" t="s">
        <v>2286</v>
      </c>
      <c r="AS67" s="680" t="s">
        <v>2401</v>
      </c>
      <c r="AT67" s="680" t="s">
        <v>2434</v>
      </c>
      <c r="AU67" s="680" t="s">
        <v>2487</v>
      </c>
      <c r="AV67" s="680" t="s">
        <v>1893</v>
      </c>
    </row>
    <row r="68" spans="1:48" ht="132.6" customHeight="1" thickBot="1" x14ac:dyDescent="0.4">
      <c r="A68" s="264"/>
      <c r="B68" s="1430" t="s">
        <v>117</v>
      </c>
      <c r="C68" s="1430" t="s">
        <v>118</v>
      </c>
      <c r="D68" s="402" t="s">
        <v>12</v>
      </c>
      <c r="E68" s="459">
        <v>0.02</v>
      </c>
      <c r="F68" s="428">
        <v>4</v>
      </c>
      <c r="G68" s="429">
        <v>1</v>
      </c>
      <c r="H68" s="430">
        <v>1</v>
      </c>
      <c r="I68" s="430">
        <v>0.25</v>
      </c>
      <c r="J68" s="431">
        <f t="shared" si="61"/>
        <v>0.25</v>
      </c>
      <c r="K68" s="447">
        <f t="shared" si="58"/>
        <v>0.25</v>
      </c>
      <c r="L68" s="448">
        <f t="shared" si="35"/>
        <v>6.25E-2</v>
      </c>
      <c r="M68" s="434">
        <f t="shared" si="62"/>
        <v>5.0000000000000001E-3</v>
      </c>
      <c r="N68" s="434">
        <f t="shared" si="41"/>
        <v>5.0000000000000001E-3</v>
      </c>
      <c r="O68" s="434"/>
      <c r="P68" s="429">
        <v>1</v>
      </c>
      <c r="Q68" s="488">
        <v>0.25</v>
      </c>
      <c r="R68" s="808">
        <v>0.25</v>
      </c>
      <c r="S68" s="484">
        <v>0.25</v>
      </c>
      <c r="T68" s="484">
        <v>0.1225</v>
      </c>
      <c r="U68" s="484">
        <v>0.1225</v>
      </c>
      <c r="V68" s="430">
        <f t="shared" si="65"/>
        <v>0.99500000000000011</v>
      </c>
      <c r="W68" s="493">
        <f>+V68+P68+AB68</f>
        <v>1.9950000000000001</v>
      </c>
      <c r="X68" s="484">
        <v>0</v>
      </c>
      <c r="Y68" s="430"/>
      <c r="Z68" s="430"/>
      <c r="AA68" s="430"/>
      <c r="AB68" s="430">
        <f t="shared" si="36"/>
        <v>0</v>
      </c>
      <c r="AC68" s="478">
        <f>+(P68/G68)</f>
        <v>1</v>
      </c>
      <c r="AD68" s="464">
        <f t="shared" si="47"/>
        <v>0.99500000000000011</v>
      </c>
      <c r="AE68" s="464">
        <f t="shared" si="37"/>
        <v>0</v>
      </c>
      <c r="AF68" s="478">
        <f t="shared" si="68"/>
        <v>0.02</v>
      </c>
      <c r="AG68" s="502">
        <f t="shared" si="48"/>
        <v>1.9900000000000001E-2</v>
      </c>
      <c r="AH68" s="503">
        <f t="shared" si="45"/>
        <v>0</v>
      </c>
      <c r="AI68" s="502">
        <f>+P68/F68</f>
        <v>0.25</v>
      </c>
      <c r="AJ68" s="503">
        <v>0.49875000000000003</v>
      </c>
      <c r="AK68" s="503">
        <f t="shared" si="39"/>
        <v>0.49875000000000003</v>
      </c>
      <c r="AL68" s="502">
        <f t="shared" si="69"/>
        <v>5.0000000000000001E-3</v>
      </c>
      <c r="AM68" s="503">
        <f t="shared" si="70"/>
        <v>9.9750000000000012E-3</v>
      </c>
      <c r="AN68" s="1426">
        <f t="shared" si="40"/>
        <v>9.9750000000000012E-3</v>
      </c>
      <c r="AO68" s="179" t="s">
        <v>1850</v>
      </c>
      <c r="AP68" s="571" t="s">
        <v>1892</v>
      </c>
      <c r="AQ68" s="680" t="s">
        <v>2264</v>
      </c>
      <c r="AR68" s="680" t="s">
        <v>2286</v>
      </c>
      <c r="AS68" s="680" t="s">
        <v>2401</v>
      </c>
      <c r="AT68" s="680" t="s">
        <v>2434</v>
      </c>
      <c r="AU68" s="680" t="s">
        <v>2487</v>
      </c>
      <c r="AV68" s="680" t="s">
        <v>1893</v>
      </c>
    </row>
    <row r="69" spans="1:48" ht="132.6" customHeight="1" thickBot="1" x14ac:dyDescent="0.4">
      <c r="A69" s="264"/>
      <c r="B69" s="409" t="s">
        <v>119</v>
      </c>
      <c r="C69" s="409" t="s">
        <v>120</v>
      </c>
      <c r="D69" s="402" t="s">
        <v>12</v>
      </c>
      <c r="E69" s="459">
        <v>0.02</v>
      </c>
      <c r="F69" s="428">
        <v>4</v>
      </c>
      <c r="G69" s="429">
        <v>1</v>
      </c>
      <c r="H69" s="430">
        <v>0</v>
      </c>
      <c r="I69" s="430">
        <v>1</v>
      </c>
      <c r="J69" s="431">
        <f t="shared" si="61"/>
        <v>0.25</v>
      </c>
      <c r="K69" s="447"/>
      <c r="L69" s="448">
        <f t="shared" si="35"/>
        <v>0.25</v>
      </c>
      <c r="M69" s="434">
        <f t="shared" si="62"/>
        <v>5.0000000000000001E-3</v>
      </c>
      <c r="N69" s="434"/>
      <c r="O69" s="434"/>
      <c r="P69" s="429">
        <v>1</v>
      </c>
      <c r="Q69" s="488"/>
      <c r="R69" s="484"/>
      <c r="S69" s="484"/>
      <c r="T69" s="484"/>
      <c r="U69" s="484"/>
      <c r="V69" s="430">
        <f t="shared" si="65"/>
        <v>0</v>
      </c>
      <c r="W69" s="493">
        <f t="shared" ref="W69:W76" si="71">+V69+P69+AB69</f>
        <v>1</v>
      </c>
      <c r="X69" s="484">
        <v>0</v>
      </c>
      <c r="Y69" s="430"/>
      <c r="Z69" s="430"/>
      <c r="AA69" s="430"/>
      <c r="AB69" s="430">
        <f t="shared" si="36"/>
        <v>0</v>
      </c>
      <c r="AC69" s="478">
        <f t="shared" si="63"/>
        <v>1</v>
      </c>
      <c r="AD69" s="464"/>
      <c r="AE69" s="464">
        <f t="shared" si="37"/>
        <v>0</v>
      </c>
      <c r="AF69" s="478">
        <f t="shared" si="68"/>
        <v>0.02</v>
      </c>
      <c r="AG69" s="502"/>
      <c r="AH69" s="503">
        <f t="shared" si="45"/>
        <v>0</v>
      </c>
      <c r="AI69" s="502">
        <f t="shared" si="64"/>
        <v>0.25</v>
      </c>
      <c r="AJ69" s="503">
        <v>0.25</v>
      </c>
      <c r="AK69" s="503">
        <f t="shared" si="39"/>
        <v>0.25</v>
      </c>
      <c r="AL69" s="502">
        <f t="shared" si="69"/>
        <v>5.0000000000000001E-3</v>
      </c>
      <c r="AM69" s="503">
        <f t="shared" si="70"/>
        <v>5.0000000000000001E-3</v>
      </c>
      <c r="AN69" s="1426">
        <f t="shared" si="40"/>
        <v>5.0000000000000001E-3</v>
      </c>
      <c r="AO69" s="179" t="s">
        <v>1850</v>
      </c>
      <c r="AP69" s="571" t="s">
        <v>1892</v>
      </c>
      <c r="AQ69" s="680" t="s">
        <v>2264</v>
      </c>
      <c r="AR69" s="680" t="s">
        <v>2286</v>
      </c>
      <c r="AS69" s="583" t="s">
        <v>1865</v>
      </c>
      <c r="AT69" s="583" t="s">
        <v>1865</v>
      </c>
      <c r="AU69" s="680" t="s">
        <v>2487</v>
      </c>
      <c r="AV69" s="583" t="s">
        <v>1865</v>
      </c>
    </row>
    <row r="70" spans="1:48" ht="132.6" customHeight="1" thickBot="1" x14ac:dyDescent="0.4">
      <c r="A70" s="264"/>
      <c r="B70" s="1430" t="s">
        <v>121</v>
      </c>
      <c r="C70" s="1430" t="s">
        <v>122</v>
      </c>
      <c r="D70" s="402" t="s">
        <v>12</v>
      </c>
      <c r="E70" s="459">
        <v>0.02</v>
      </c>
      <c r="F70" s="428">
        <v>4</v>
      </c>
      <c r="G70" s="429">
        <v>1</v>
      </c>
      <c r="H70" s="430">
        <v>1</v>
      </c>
      <c r="I70" s="430">
        <v>1</v>
      </c>
      <c r="J70" s="431">
        <f t="shared" si="61"/>
        <v>0.25</v>
      </c>
      <c r="K70" s="447">
        <f t="shared" si="58"/>
        <v>0.25</v>
      </c>
      <c r="L70" s="448">
        <f t="shared" si="35"/>
        <v>0.25</v>
      </c>
      <c r="M70" s="434">
        <f t="shared" si="62"/>
        <v>5.0000000000000001E-3</v>
      </c>
      <c r="N70" s="434">
        <f t="shared" si="41"/>
        <v>5.0000000000000001E-3</v>
      </c>
      <c r="O70" s="434"/>
      <c r="P70" s="429">
        <v>1</v>
      </c>
      <c r="Q70" s="488">
        <v>0.25</v>
      </c>
      <c r="R70" s="484">
        <v>0.25</v>
      </c>
      <c r="S70" s="484">
        <v>0</v>
      </c>
      <c r="T70" s="484">
        <v>0</v>
      </c>
      <c r="U70" s="484">
        <v>0.5</v>
      </c>
      <c r="V70" s="430">
        <f t="shared" si="65"/>
        <v>1</v>
      </c>
      <c r="W70" s="493">
        <f t="shared" si="71"/>
        <v>2</v>
      </c>
      <c r="X70" s="484">
        <v>0</v>
      </c>
      <c r="Y70" s="430"/>
      <c r="Z70" s="430"/>
      <c r="AA70" s="430"/>
      <c r="AB70" s="430">
        <f t="shared" si="36"/>
        <v>0</v>
      </c>
      <c r="AC70" s="478">
        <f t="shared" si="63"/>
        <v>1</v>
      </c>
      <c r="AD70" s="464">
        <f t="shared" si="47"/>
        <v>1</v>
      </c>
      <c r="AE70" s="464">
        <f t="shared" si="37"/>
        <v>0</v>
      </c>
      <c r="AF70" s="478">
        <f t="shared" si="68"/>
        <v>0.02</v>
      </c>
      <c r="AG70" s="502">
        <f t="shared" si="48"/>
        <v>0.02</v>
      </c>
      <c r="AH70" s="503">
        <f t="shared" si="45"/>
        <v>0</v>
      </c>
      <c r="AI70" s="502">
        <f t="shared" si="64"/>
        <v>0.25</v>
      </c>
      <c r="AJ70" s="503">
        <v>0.5</v>
      </c>
      <c r="AK70" s="503">
        <f t="shared" si="39"/>
        <v>0.5</v>
      </c>
      <c r="AL70" s="502">
        <f t="shared" si="69"/>
        <v>5.0000000000000001E-3</v>
      </c>
      <c r="AM70" s="503">
        <f t="shared" si="70"/>
        <v>0.01</v>
      </c>
      <c r="AN70" s="1426">
        <f t="shared" si="40"/>
        <v>0.01</v>
      </c>
      <c r="AO70" s="179" t="s">
        <v>1850</v>
      </c>
      <c r="AP70" s="571" t="s">
        <v>1892</v>
      </c>
      <c r="AQ70" s="680" t="s">
        <v>2264</v>
      </c>
      <c r="AR70" s="680" t="s">
        <v>2286</v>
      </c>
      <c r="AS70" s="680" t="s">
        <v>2401</v>
      </c>
      <c r="AT70" s="680" t="s">
        <v>2434</v>
      </c>
      <c r="AU70" s="680" t="s">
        <v>2487</v>
      </c>
      <c r="AV70" s="680" t="s">
        <v>1893</v>
      </c>
    </row>
    <row r="71" spans="1:48" ht="132.6" customHeight="1" thickBot="1" x14ac:dyDescent="0.4">
      <c r="A71" s="264"/>
      <c r="B71" s="1430" t="s">
        <v>123</v>
      </c>
      <c r="C71" s="1430" t="s">
        <v>124</v>
      </c>
      <c r="D71" s="402" t="s">
        <v>12</v>
      </c>
      <c r="E71" s="459">
        <v>0.08</v>
      </c>
      <c r="F71" s="428">
        <v>8</v>
      </c>
      <c r="G71" s="429">
        <v>2</v>
      </c>
      <c r="H71" s="430">
        <v>0</v>
      </c>
      <c r="I71" s="430">
        <v>0</v>
      </c>
      <c r="J71" s="431">
        <f t="shared" si="61"/>
        <v>0.25</v>
      </c>
      <c r="K71" s="447"/>
      <c r="L71" s="448"/>
      <c r="M71" s="434">
        <f t="shared" si="62"/>
        <v>0.02</v>
      </c>
      <c r="N71" s="434"/>
      <c r="O71" s="434"/>
      <c r="P71" s="429">
        <v>2</v>
      </c>
      <c r="Q71" s="488"/>
      <c r="R71" s="484"/>
      <c r="S71" s="484"/>
      <c r="T71" s="484"/>
      <c r="U71" s="484"/>
      <c r="V71" s="430">
        <f t="shared" si="65"/>
        <v>0</v>
      </c>
      <c r="W71" s="493">
        <f t="shared" si="71"/>
        <v>2</v>
      </c>
      <c r="X71" s="484">
        <v>0</v>
      </c>
      <c r="Y71" s="430"/>
      <c r="Z71" s="430"/>
      <c r="AA71" s="430"/>
      <c r="AB71" s="430">
        <f t="shared" si="36"/>
        <v>0</v>
      </c>
      <c r="AC71" s="478">
        <f t="shared" si="63"/>
        <v>1</v>
      </c>
      <c r="AD71" s="464"/>
      <c r="AE71" s="464"/>
      <c r="AF71" s="478">
        <f t="shared" si="68"/>
        <v>0.08</v>
      </c>
      <c r="AG71" s="502"/>
      <c r="AH71" s="503"/>
      <c r="AI71" s="502">
        <f t="shared" si="64"/>
        <v>0.25</v>
      </c>
      <c r="AJ71" s="503">
        <v>0.25</v>
      </c>
      <c r="AK71" s="503">
        <f t="shared" si="39"/>
        <v>0.25</v>
      </c>
      <c r="AL71" s="502">
        <f t="shared" si="69"/>
        <v>0.02</v>
      </c>
      <c r="AM71" s="503">
        <f t="shared" si="70"/>
        <v>0.02</v>
      </c>
      <c r="AN71" s="1426">
        <f t="shared" si="40"/>
        <v>0.02</v>
      </c>
      <c r="AO71" s="179" t="s">
        <v>1850</v>
      </c>
      <c r="AP71" s="571" t="s">
        <v>1892</v>
      </c>
      <c r="AQ71" s="680" t="s">
        <v>2264</v>
      </c>
      <c r="AR71" s="680" t="s">
        <v>2286</v>
      </c>
      <c r="AS71" s="680" t="s">
        <v>2401</v>
      </c>
      <c r="AT71" s="680" t="s">
        <v>2434</v>
      </c>
      <c r="AU71" s="680" t="s">
        <v>2487</v>
      </c>
      <c r="AV71" s="680" t="s">
        <v>1893</v>
      </c>
    </row>
    <row r="72" spans="1:48" ht="132.6" customHeight="1" thickBot="1" x14ac:dyDescent="0.4">
      <c r="A72" s="264"/>
      <c r="B72" s="1430" t="s">
        <v>125</v>
      </c>
      <c r="C72" s="1430" t="s">
        <v>126</v>
      </c>
      <c r="D72" s="402" t="s">
        <v>12</v>
      </c>
      <c r="E72" s="459">
        <v>0.05</v>
      </c>
      <c r="F72" s="428">
        <v>4</v>
      </c>
      <c r="G72" s="429">
        <v>0</v>
      </c>
      <c r="H72" s="430">
        <v>0</v>
      </c>
      <c r="I72" s="430">
        <v>2</v>
      </c>
      <c r="J72" s="431"/>
      <c r="K72" s="447"/>
      <c r="L72" s="448">
        <f t="shared" si="35"/>
        <v>0.5</v>
      </c>
      <c r="M72" s="434"/>
      <c r="N72" s="434">
        <f t="shared" si="41"/>
        <v>0</v>
      </c>
      <c r="O72" s="434"/>
      <c r="P72" s="429"/>
      <c r="Q72" s="488"/>
      <c r="R72" s="484"/>
      <c r="S72" s="484"/>
      <c r="T72" s="484"/>
      <c r="U72" s="484"/>
      <c r="V72" s="430">
        <f t="shared" si="65"/>
        <v>0</v>
      </c>
      <c r="W72" s="493">
        <f t="shared" si="71"/>
        <v>0</v>
      </c>
      <c r="X72" s="484">
        <v>0</v>
      </c>
      <c r="Y72" s="430"/>
      <c r="Z72" s="430"/>
      <c r="AA72" s="430"/>
      <c r="AB72" s="430">
        <f t="shared" si="36"/>
        <v>0</v>
      </c>
      <c r="AC72" s="478"/>
      <c r="AD72" s="464"/>
      <c r="AE72" s="464">
        <f t="shared" si="37"/>
        <v>0</v>
      </c>
      <c r="AF72" s="478"/>
      <c r="AG72" s="502"/>
      <c r="AH72" s="503">
        <f t="shared" si="45"/>
        <v>0</v>
      </c>
      <c r="AI72" s="502"/>
      <c r="AJ72" s="503">
        <v>0</v>
      </c>
      <c r="AK72" s="504">
        <f t="shared" si="39"/>
        <v>0</v>
      </c>
      <c r="AL72" s="502">
        <v>0</v>
      </c>
      <c r="AM72" s="503">
        <v>0</v>
      </c>
      <c r="AN72" s="1426">
        <f t="shared" si="40"/>
        <v>0</v>
      </c>
      <c r="AO72" s="179" t="s">
        <v>1850</v>
      </c>
      <c r="AP72" s="571" t="s">
        <v>1892</v>
      </c>
      <c r="AQ72" s="680" t="s">
        <v>2264</v>
      </c>
      <c r="AR72" s="680" t="s">
        <v>2286</v>
      </c>
      <c r="AS72" s="680" t="s">
        <v>2401</v>
      </c>
      <c r="AT72" s="680" t="s">
        <v>2434</v>
      </c>
      <c r="AU72" s="680" t="s">
        <v>2487</v>
      </c>
      <c r="AV72" s="680" t="s">
        <v>1893</v>
      </c>
    </row>
    <row r="73" spans="1:48" ht="132.6" customHeight="1" thickBot="1" x14ac:dyDescent="0.4">
      <c r="A73" s="264"/>
      <c r="B73" s="1427" t="s">
        <v>127</v>
      </c>
      <c r="C73" s="1427" t="s">
        <v>128</v>
      </c>
      <c r="D73" s="402" t="s">
        <v>12</v>
      </c>
      <c r="E73" s="459">
        <v>0.05</v>
      </c>
      <c r="F73" s="428">
        <v>8</v>
      </c>
      <c r="G73" s="429">
        <v>2</v>
      </c>
      <c r="H73" s="430">
        <v>2</v>
      </c>
      <c r="I73" s="430">
        <v>2</v>
      </c>
      <c r="J73" s="431">
        <f t="shared" si="61"/>
        <v>0.25</v>
      </c>
      <c r="K73" s="447">
        <f t="shared" si="58"/>
        <v>0.25</v>
      </c>
      <c r="L73" s="448">
        <f t="shared" si="35"/>
        <v>0.25</v>
      </c>
      <c r="M73" s="434">
        <f t="shared" si="62"/>
        <v>1.2500000000000001E-2</v>
      </c>
      <c r="N73" s="434">
        <f t="shared" si="41"/>
        <v>1.2500000000000001E-2</v>
      </c>
      <c r="O73" s="434"/>
      <c r="P73" s="429">
        <v>2</v>
      </c>
      <c r="Q73" s="488">
        <v>0</v>
      </c>
      <c r="R73" s="484">
        <v>3</v>
      </c>
      <c r="S73" s="484">
        <v>0</v>
      </c>
      <c r="T73" s="484">
        <v>0</v>
      </c>
      <c r="U73" s="484">
        <v>0</v>
      </c>
      <c r="V73" s="430">
        <f t="shared" si="65"/>
        <v>3</v>
      </c>
      <c r="W73" s="493">
        <f t="shared" si="71"/>
        <v>5</v>
      </c>
      <c r="X73" s="484">
        <v>0</v>
      </c>
      <c r="Y73" s="430"/>
      <c r="Z73" s="430"/>
      <c r="AA73" s="430"/>
      <c r="AB73" s="430">
        <f>+X73+Y73+Z73+AA73</f>
        <v>0</v>
      </c>
      <c r="AC73" s="478">
        <f t="shared" si="63"/>
        <v>1</v>
      </c>
      <c r="AD73" s="464">
        <v>1</v>
      </c>
      <c r="AE73" s="464">
        <f t="shared" si="37"/>
        <v>0</v>
      </c>
      <c r="AF73" s="478">
        <f>+AC73*E73</f>
        <v>0.05</v>
      </c>
      <c r="AG73" s="502">
        <f>+AD73*E73</f>
        <v>0.05</v>
      </c>
      <c r="AH73" s="504">
        <f t="shared" si="45"/>
        <v>0</v>
      </c>
      <c r="AI73" s="502">
        <f t="shared" si="64"/>
        <v>0.25</v>
      </c>
      <c r="AJ73" s="504">
        <v>0.625</v>
      </c>
      <c r="AK73" s="1426">
        <f t="shared" si="39"/>
        <v>0.625</v>
      </c>
      <c r="AL73" s="502">
        <f>+AI73*E73</f>
        <v>1.2500000000000001E-2</v>
      </c>
      <c r="AM73" s="503">
        <f>+AJ73*E73</f>
        <v>3.125E-2</v>
      </c>
      <c r="AN73" s="1426">
        <f t="shared" si="40"/>
        <v>3.125E-2</v>
      </c>
      <c r="AO73" s="179" t="s">
        <v>1850</v>
      </c>
      <c r="AP73" s="571" t="s">
        <v>1892</v>
      </c>
      <c r="AQ73" s="680" t="s">
        <v>2264</v>
      </c>
      <c r="AR73" s="680" t="s">
        <v>2286</v>
      </c>
      <c r="AS73" s="680" t="s">
        <v>2401</v>
      </c>
      <c r="AT73" s="680" t="s">
        <v>2434</v>
      </c>
      <c r="AU73" s="680" t="s">
        <v>2487</v>
      </c>
      <c r="AV73" s="680" t="s">
        <v>1893</v>
      </c>
    </row>
    <row r="74" spans="1:48" ht="132.6" customHeight="1" thickBot="1" x14ac:dyDescent="0.4">
      <c r="A74" s="264"/>
      <c r="B74" s="1427" t="s">
        <v>129</v>
      </c>
      <c r="C74" s="1427" t="s">
        <v>130</v>
      </c>
      <c r="D74" s="402" t="s">
        <v>12</v>
      </c>
      <c r="E74" s="459">
        <v>0.02</v>
      </c>
      <c r="F74" s="428">
        <v>2</v>
      </c>
      <c r="G74" s="429">
        <v>0</v>
      </c>
      <c r="H74" s="430">
        <v>1</v>
      </c>
      <c r="I74" s="430">
        <v>1</v>
      </c>
      <c r="J74" s="431"/>
      <c r="K74" s="447">
        <f t="shared" si="58"/>
        <v>0.5</v>
      </c>
      <c r="L74" s="448">
        <f t="shared" si="35"/>
        <v>0.5</v>
      </c>
      <c r="M74" s="434"/>
      <c r="N74" s="434">
        <f t="shared" si="41"/>
        <v>0.01</v>
      </c>
      <c r="O74" s="434"/>
      <c r="P74" s="429"/>
      <c r="Q74" s="488">
        <v>0</v>
      </c>
      <c r="R74" s="484">
        <v>1</v>
      </c>
      <c r="S74" s="484">
        <v>0</v>
      </c>
      <c r="T74" s="484">
        <v>0</v>
      </c>
      <c r="U74" s="484">
        <v>0</v>
      </c>
      <c r="V74" s="430">
        <f t="shared" si="65"/>
        <v>1</v>
      </c>
      <c r="W74" s="493">
        <f t="shared" si="71"/>
        <v>1</v>
      </c>
      <c r="X74" s="484">
        <v>0</v>
      </c>
      <c r="Y74" s="430"/>
      <c r="Z74" s="430"/>
      <c r="AA74" s="430"/>
      <c r="AB74" s="430">
        <f t="shared" si="36"/>
        <v>0</v>
      </c>
      <c r="AC74" s="431"/>
      <c r="AD74" s="434">
        <f>+V74/H74</f>
        <v>1</v>
      </c>
      <c r="AE74" s="438">
        <f t="shared" si="37"/>
        <v>0</v>
      </c>
      <c r="AF74" s="431"/>
      <c r="AG74" s="1008">
        <f>+AD74*E74</f>
        <v>0.02</v>
      </c>
      <c r="AH74" s="449">
        <f t="shared" si="45"/>
        <v>0</v>
      </c>
      <c r="AI74" s="447"/>
      <c r="AJ74" s="449">
        <v>0.5</v>
      </c>
      <c r="AK74" s="1426">
        <f t="shared" si="39"/>
        <v>0.5</v>
      </c>
      <c r="AL74" s="502">
        <v>0</v>
      </c>
      <c r="AM74" s="503">
        <v>0</v>
      </c>
      <c r="AN74" s="1426">
        <f t="shared" si="40"/>
        <v>0.01</v>
      </c>
      <c r="AO74" s="179" t="s">
        <v>1850</v>
      </c>
      <c r="AP74" s="571" t="s">
        <v>1892</v>
      </c>
      <c r="AQ74" s="680" t="s">
        <v>2264</v>
      </c>
      <c r="AR74" s="680" t="s">
        <v>2286</v>
      </c>
      <c r="AS74" s="680" t="s">
        <v>2401</v>
      </c>
      <c r="AT74" s="680" t="s">
        <v>2434</v>
      </c>
      <c r="AU74" s="680" t="s">
        <v>2487</v>
      </c>
      <c r="AV74" s="680" t="s">
        <v>1893</v>
      </c>
    </row>
    <row r="75" spans="1:48" ht="132.6" customHeight="1" thickBot="1" x14ac:dyDescent="0.45">
      <c r="A75" s="264"/>
      <c r="B75" s="1427" t="s">
        <v>131</v>
      </c>
      <c r="C75" s="1427" t="s">
        <v>132</v>
      </c>
      <c r="D75" s="402" t="s">
        <v>12</v>
      </c>
      <c r="E75" s="459">
        <v>0.08</v>
      </c>
      <c r="F75" s="428">
        <v>1</v>
      </c>
      <c r="G75" s="429">
        <v>0</v>
      </c>
      <c r="H75" s="430">
        <v>0</v>
      </c>
      <c r="I75" s="430">
        <v>0</v>
      </c>
      <c r="J75" s="431"/>
      <c r="K75" s="447"/>
      <c r="L75" s="448"/>
      <c r="M75" s="434"/>
      <c r="N75" s="434"/>
      <c r="O75" s="434"/>
      <c r="P75" s="429"/>
      <c r="Q75" s="488"/>
      <c r="R75" s="484"/>
      <c r="S75" s="484"/>
      <c r="T75" s="484"/>
      <c r="U75" s="484"/>
      <c r="V75" s="430">
        <f t="shared" si="65"/>
        <v>0</v>
      </c>
      <c r="W75" s="493">
        <f t="shared" si="71"/>
        <v>0</v>
      </c>
      <c r="X75" s="484">
        <v>0</v>
      </c>
      <c r="Y75" s="430"/>
      <c r="Z75" s="430"/>
      <c r="AA75" s="430"/>
      <c r="AB75" s="430">
        <f t="shared" si="36"/>
        <v>0</v>
      </c>
      <c r="AC75" s="431"/>
      <c r="AD75" s="447"/>
      <c r="AE75" s="449"/>
      <c r="AF75" s="447"/>
      <c r="AG75" s="1023"/>
      <c r="AH75" s="1433"/>
      <c r="AJ75" s="449">
        <v>0</v>
      </c>
      <c r="AK75" s="1426">
        <f t="shared" si="39"/>
        <v>0</v>
      </c>
      <c r="AL75" s="502">
        <f>+AI74*E75</f>
        <v>0</v>
      </c>
      <c r="AM75" s="503">
        <f>+AJ74*E75</f>
        <v>0.04</v>
      </c>
      <c r="AN75" s="1426">
        <f t="shared" si="40"/>
        <v>0</v>
      </c>
      <c r="AO75" s="179" t="s">
        <v>1850</v>
      </c>
      <c r="AP75" s="571" t="s">
        <v>1892</v>
      </c>
      <c r="AQ75" s="680" t="s">
        <v>2264</v>
      </c>
      <c r="AR75" s="680" t="s">
        <v>2286</v>
      </c>
      <c r="AS75" s="680" t="s">
        <v>2401</v>
      </c>
      <c r="AT75" s="680" t="s">
        <v>2434</v>
      </c>
      <c r="AU75" s="680" t="s">
        <v>2487</v>
      </c>
      <c r="AV75" s="680" t="s">
        <v>1893</v>
      </c>
    </row>
    <row r="76" spans="1:48" ht="132.6" customHeight="1" thickBot="1" x14ac:dyDescent="0.4">
      <c r="A76" s="264"/>
      <c r="B76" s="1427" t="s">
        <v>133</v>
      </c>
      <c r="C76" s="1427" t="s">
        <v>134</v>
      </c>
      <c r="D76" s="402" t="s">
        <v>12</v>
      </c>
      <c r="E76" s="459">
        <v>0.08</v>
      </c>
      <c r="F76" s="428">
        <v>1</v>
      </c>
      <c r="G76" s="429">
        <v>0</v>
      </c>
      <c r="H76" s="430">
        <v>0</v>
      </c>
      <c r="I76" s="430">
        <v>1</v>
      </c>
      <c r="J76" s="431"/>
      <c r="K76" s="447"/>
      <c r="L76" s="453">
        <f t="shared" si="35"/>
        <v>1</v>
      </c>
      <c r="M76" s="434"/>
      <c r="N76" s="434"/>
      <c r="O76" s="434"/>
      <c r="P76" s="429">
        <v>0</v>
      </c>
      <c r="Q76" s="488"/>
      <c r="R76" s="484"/>
      <c r="S76" s="484"/>
      <c r="T76" s="484"/>
      <c r="U76" s="484"/>
      <c r="V76" s="430">
        <f t="shared" si="65"/>
        <v>0</v>
      </c>
      <c r="W76" s="493">
        <f t="shared" si="71"/>
        <v>1</v>
      </c>
      <c r="X76" s="484">
        <v>1</v>
      </c>
      <c r="Y76" s="430"/>
      <c r="Z76" s="430"/>
      <c r="AA76" s="430"/>
      <c r="AB76" s="430">
        <f t="shared" si="36"/>
        <v>1</v>
      </c>
      <c r="AC76" s="431"/>
      <c r="AD76" s="434"/>
      <c r="AE76" s="1434">
        <f t="shared" si="37"/>
        <v>1</v>
      </c>
      <c r="AF76" s="431"/>
      <c r="AG76" s="1020"/>
      <c r="AH76" s="1435">
        <f t="shared" si="45"/>
        <v>0.08</v>
      </c>
      <c r="AI76" s="447"/>
      <c r="AJ76" s="513">
        <v>0</v>
      </c>
      <c r="AK76" s="1426">
        <f t="shared" si="39"/>
        <v>1</v>
      </c>
      <c r="AL76" s="502">
        <v>0</v>
      </c>
      <c r="AM76" s="503">
        <v>0</v>
      </c>
      <c r="AN76" s="1426">
        <f t="shared" si="40"/>
        <v>0.08</v>
      </c>
      <c r="AO76" s="179" t="s">
        <v>1850</v>
      </c>
      <c r="AP76" s="571" t="s">
        <v>1892</v>
      </c>
      <c r="AQ76" s="680" t="s">
        <v>2264</v>
      </c>
      <c r="AR76" s="680" t="s">
        <v>2286</v>
      </c>
      <c r="AS76" s="680" t="s">
        <v>2401</v>
      </c>
      <c r="AT76" s="680" t="s">
        <v>2434</v>
      </c>
      <c r="AU76" s="680" t="s">
        <v>2487</v>
      </c>
      <c r="AV76" s="680" t="s">
        <v>1893</v>
      </c>
    </row>
    <row r="77" spans="1:48" ht="42.75" customHeight="1" thickBot="1" x14ac:dyDescent="0.45">
      <c r="A77" s="264"/>
      <c r="B77" s="1535" t="s">
        <v>1604</v>
      </c>
      <c r="C77" s="1534"/>
      <c r="D77" s="402"/>
      <c r="E77" s="424">
        <v>0.1</v>
      </c>
      <c r="F77" s="427"/>
      <c r="G77" s="427"/>
      <c r="H77" s="433"/>
      <c r="I77" s="433"/>
      <c r="J77" s="426">
        <f>+AVERAGE(J78:J86)</f>
        <v>0.25</v>
      </c>
      <c r="K77" s="446">
        <f>+AVERAGE(K78:K86)</f>
        <v>0.37172965116279072</v>
      </c>
      <c r="L77" s="506">
        <f>+AVERAGE(L78:L86)</f>
        <v>0.20284332354247414</v>
      </c>
      <c r="M77" s="426">
        <f>+M78+M79+M80+M81+M82+M83+M84+M85+M86</f>
        <v>0.13750000000000001</v>
      </c>
      <c r="N77" s="426">
        <f>+N78+N79+N80+N81+N82+N83+N84+N85+N86</f>
        <v>0.33712209302325585</v>
      </c>
      <c r="O77" s="426"/>
      <c r="P77" s="427"/>
      <c r="Q77" s="433"/>
      <c r="R77" s="433"/>
      <c r="S77" s="433"/>
      <c r="T77" s="433"/>
      <c r="U77" s="981"/>
      <c r="V77" s="433"/>
      <c r="W77" s="433"/>
      <c r="X77" s="430"/>
      <c r="Y77" s="430"/>
      <c r="Z77" s="430"/>
      <c r="AA77" s="430"/>
      <c r="AB77" s="430"/>
      <c r="AC77" s="486">
        <f>+AVERAGE(AC78:AC86)</f>
        <v>0.95625000000000004</v>
      </c>
      <c r="AD77" s="505">
        <f>+AVERAGE(AD78:AD86)</f>
        <v>0.99824999999999997</v>
      </c>
      <c r="AE77" s="1033">
        <f>+AVERAGE(AE78:AE86)</f>
        <v>0.4375</v>
      </c>
      <c r="AF77" s="486">
        <f>+(AF78+AF79+AF80+AF81+AF82+AF83+AF84+AF85+AF86)*E77</f>
        <v>5.2593749999999995E-2</v>
      </c>
      <c r="AG77" s="505">
        <f>+(AG78+AG79+AG80+AG81+AG82+AG83+AG84+AG85+AG86)*E77</f>
        <v>8.8846000000000008E-2</v>
      </c>
      <c r="AH77" s="1033">
        <f>+(AH78+AH79+AH80+AH81+AH82+AH83+AH84+AH85+AH86)*E77</f>
        <v>3.8500000000000006E-2</v>
      </c>
      <c r="AI77" s="446">
        <f>+AVERAGE(AI78:AI86)</f>
        <v>0.19921875</v>
      </c>
      <c r="AJ77" s="506">
        <v>0.52151937984496133</v>
      </c>
      <c r="AK77" s="506">
        <f>+AVERAGE(AK78:AK86)</f>
        <v>0.65344530577088733</v>
      </c>
      <c r="AL77" s="1054">
        <f>+(AL78+AL79+AL80+AL81+AL82+AL83+AL84+AL85+AL86)*E77</f>
        <v>1.3148437499999999E-2</v>
      </c>
      <c r="AM77" s="1055">
        <f>+(AM78+AM79+AM80+AM81+AM82+AM83+AM84+AM85+AM86)</f>
        <v>0.52630418604651164</v>
      </c>
      <c r="AN77" s="1055">
        <f>+(AN78+AN79+AN80+AN81+AN82+AN83+AN84+AN85+AN86)</f>
        <v>0.65691085271317839</v>
      </c>
      <c r="AO77" s="172"/>
      <c r="AP77" s="400"/>
      <c r="AQ77" s="400"/>
      <c r="AR77" s="400"/>
      <c r="AS77" s="400"/>
      <c r="AT77" s="400"/>
      <c r="AU77" s="196"/>
      <c r="AV77" s="196"/>
    </row>
    <row r="78" spans="1:48" ht="133.80000000000001" customHeight="1" thickBot="1" x14ac:dyDescent="0.4">
      <c r="A78" s="264"/>
      <c r="B78" s="1430" t="s">
        <v>135</v>
      </c>
      <c r="C78" s="1430" t="s">
        <v>136</v>
      </c>
      <c r="D78" s="402" t="s">
        <v>12</v>
      </c>
      <c r="E78" s="310">
        <v>0.11</v>
      </c>
      <c r="F78" s="428">
        <v>8</v>
      </c>
      <c r="G78" s="429">
        <v>0</v>
      </c>
      <c r="H78" s="430">
        <v>3</v>
      </c>
      <c r="I78" s="430">
        <v>2</v>
      </c>
      <c r="J78" s="431"/>
      <c r="K78" s="447">
        <f t="shared" si="58"/>
        <v>0.375</v>
      </c>
      <c r="L78" s="507">
        <f t="shared" si="35"/>
        <v>0.25</v>
      </c>
      <c r="M78" s="434"/>
      <c r="N78" s="434">
        <f>+(H78/F78)*E78</f>
        <v>4.1250000000000002E-2</v>
      </c>
      <c r="O78" s="434"/>
      <c r="P78" s="429"/>
      <c r="Q78" s="488">
        <v>0</v>
      </c>
      <c r="R78" s="484">
        <v>4</v>
      </c>
      <c r="S78" s="484">
        <v>0</v>
      </c>
      <c r="T78" s="484">
        <v>0</v>
      </c>
      <c r="U78" s="484">
        <v>0.25</v>
      </c>
      <c r="V78" s="430">
        <f>+Q78+R78+S78+T78+U78</f>
        <v>4.25</v>
      </c>
      <c r="W78" s="1200">
        <f>+V78+P78+AB78</f>
        <v>7.25</v>
      </c>
      <c r="X78" s="484">
        <v>3</v>
      </c>
      <c r="Y78" s="430"/>
      <c r="Z78" s="430"/>
      <c r="AA78" s="430"/>
      <c r="AB78" s="430">
        <f t="shared" si="36"/>
        <v>3</v>
      </c>
      <c r="AC78" s="431"/>
      <c r="AD78" s="464">
        <v>1</v>
      </c>
      <c r="AE78" s="1436">
        <v>1</v>
      </c>
      <c r="AF78" s="478"/>
      <c r="AG78" s="502">
        <f t="shared" si="48"/>
        <v>0.11</v>
      </c>
      <c r="AH78" s="509">
        <f t="shared" si="45"/>
        <v>0.11</v>
      </c>
      <c r="AI78" s="502"/>
      <c r="AJ78" s="509">
        <v>0.5</v>
      </c>
      <c r="AK78" s="1426">
        <f t="shared" si="39"/>
        <v>0.90625</v>
      </c>
      <c r="AL78" s="502">
        <v>0</v>
      </c>
      <c r="AM78" s="503">
        <f>+AJ78*E78</f>
        <v>5.5E-2</v>
      </c>
      <c r="AN78" s="1426">
        <f t="shared" si="40"/>
        <v>9.9687499999999998E-2</v>
      </c>
      <c r="AO78" s="179" t="s">
        <v>1850</v>
      </c>
      <c r="AP78" s="588" t="s">
        <v>1919</v>
      </c>
      <c r="AQ78" s="680" t="s">
        <v>2264</v>
      </c>
      <c r="AR78" s="680" t="s">
        <v>2286</v>
      </c>
      <c r="AS78" s="680" t="s">
        <v>2401</v>
      </c>
      <c r="AT78" s="680" t="s">
        <v>2434</v>
      </c>
      <c r="AU78" s="680" t="s">
        <v>2487</v>
      </c>
      <c r="AV78" s="680" t="s">
        <v>1893</v>
      </c>
    </row>
    <row r="79" spans="1:48" ht="86.4" customHeight="1" thickBot="1" x14ac:dyDescent="0.4">
      <c r="A79" s="264"/>
      <c r="B79" s="1430" t="s">
        <v>137</v>
      </c>
      <c r="C79" s="1430" t="s">
        <v>138</v>
      </c>
      <c r="D79" s="402" t="s">
        <v>12</v>
      </c>
      <c r="E79" s="310">
        <v>0.11</v>
      </c>
      <c r="F79" s="428">
        <f>64*4</f>
        <v>256</v>
      </c>
      <c r="G79" s="429">
        <v>64</v>
      </c>
      <c r="H79" s="430">
        <v>64</v>
      </c>
      <c r="I79" s="430">
        <v>0.25</v>
      </c>
      <c r="J79" s="431">
        <f t="shared" ref="J79:J86" si="72">+G79/F79</f>
        <v>0.25</v>
      </c>
      <c r="K79" s="447">
        <f t="shared" si="58"/>
        <v>0.25</v>
      </c>
      <c r="L79" s="448">
        <f t="shared" si="35"/>
        <v>9.765625E-4</v>
      </c>
      <c r="M79" s="434">
        <f t="shared" ref="M79:M86" si="73">+(G79/F79)*E79</f>
        <v>2.75E-2</v>
      </c>
      <c r="N79" s="434">
        <f t="shared" si="41"/>
        <v>2.75E-2</v>
      </c>
      <c r="O79" s="434"/>
      <c r="P79" s="429">
        <v>50</v>
      </c>
      <c r="Q79" s="488">
        <v>23</v>
      </c>
      <c r="R79" s="484">
        <v>9</v>
      </c>
      <c r="S79" s="484">
        <v>1</v>
      </c>
      <c r="T79" s="484">
        <v>0</v>
      </c>
      <c r="U79" s="484">
        <v>0</v>
      </c>
      <c r="V79" s="430">
        <f t="shared" ref="V79:V85" si="74">+Q79+R79+S79+T79+U79</f>
        <v>33</v>
      </c>
      <c r="W79" s="430">
        <f t="shared" ref="W79:W86" si="75">+V79+P79+AB79</f>
        <v>83.0625</v>
      </c>
      <c r="X79" s="484">
        <v>6.25E-2</v>
      </c>
      <c r="Y79" s="430"/>
      <c r="Z79" s="430"/>
      <c r="AA79" s="430"/>
      <c r="AB79" s="430">
        <f t="shared" si="36"/>
        <v>6.25E-2</v>
      </c>
      <c r="AC79" s="431">
        <f>+(P79/G79)</f>
        <v>0.78125</v>
      </c>
      <c r="AD79" s="464">
        <v>1</v>
      </c>
      <c r="AE79" s="464">
        <f t="shared" si="37"/>
        <v>0.25</v>
      </c>
      <c r="AF79" s="478">
        <f>+AC79*E79</f>
        <v>8.59375E-2</v>
      </c>
      <c r="AG79" s="502">
        <f t="shared" si="48"/>
        <v>0.11</v>
      </c>
      <c r="AH79" s="503">
        <f>+AE79*E79</f>
        <v>2.75E-2</v>
      </c>
      <c r="AI79" s="502">
        <f>+P79/F79</f>
        <v>0.1953125</v>
      </c>
      <c r="AJ79" s="503">
        <v>0.4995</v>
      </c>
      <c r="AK79" s="509">
        <v>0.56499999999999995</v>
      </c>
      <c r="AL79" s="502">
        <f>+AI79*E79</f>
        <v>2.1484375E-2</v>
      </c>
      <c r="AM79" s="503">
        <f>+AJ79*E79</f>
        <v>5.4945000000000001E-2</v>
      </c>
      <c r="AN79" s="1426">
        <f t="shared" si="40"/>
        <v>6.2149999999999997E-2</v>
      </c>
      <c r="AO79" s="179" t="s">
        <v>1850</v>
      </c>
      <c r="AP79" s="571" t="s">
        <v>1892</v>
      </c>
      <c r="AQ79" s="680" t="s">
        <v>2264</v>
      </c>
      <c r="AR79" s="680" t="s">
        <v>2286</v>
      </c>
      <c r="AS79" s="680" t="s">
        <v>2401</v>
      </c>
      <c r="AT79" s="583" t="s">
        <v>1865</v>
      </c>
      <c r="AU79" s="680" t="s">
        <v>2487</v>
      </c>
      <c r="AV79" s="680" t="s">
        <v>1893</v>
      </c>
    </row>
    <row r="80" spans="1:48" ht="80.400000000000006" customHeight="1" thickBot="1" x14ac:dyDescent="0.4">
      <c r="A80" s="264"/>
      <c r="B80" s="1430" t="s">
        <v>139</v>
      </c>
      <c r="C80" s="1430" t="s">
        <v>140</v>
      </c>
      <c r="D80" s="402" t="s">
        <v>12</v>
      </c>
      <c r="E80" s="310">
        <v>0.11</v>
      </c>
      <c r="F80" s="428">
        <v>9</v>
      </c>
      <c r="G80" s="429">
        <v>0</v>
      </c>
      <c r="H80" s="430">
        <v>0</v>
      </c>
      <c r="I80" s="430">
        <v>4</v>
      </c>
      <c r="J80" s="431"/>
      <c r="K80" s="447"/>
      <c r="L80" s="448">
        <f t="shared" si="35"/>
        <v>0.44444444444444442</v>
      </c>
      <c r="M80" s="434"/>
      <c r="N80" s="434"/>
      <c r="O80" s="434"/>
      <c r="P80" s="429"/>
      <c r="Q80" s="488"/>
      <c r="R80" s="484"/>
      <c r="S80" s="484"/>
      <c r="T80" s="484"/>
      <c r="U80" s="484"/>
      <c r="V80" s="430">
        <f t="shared" si="74"/>
        <v>0</v>
      </c>
      <c r="W80" s="430">
        <f t="shared" si="75"/>
        <v>3</v>
      </c>
      <c r="X80" s="484">
        <v>3</v>
      </c>
      <c r="Y80" s="430"/>
      <c r="Z80" s="430"/>
      <c r="AA80" s="430"/>
      <c r="AB80" s="430">
        <f t="shared" si="36"/>
        <v>3</v>
      </c>
      <c r="AC80" s="431"/>
      <c r="AD80" s="464"/>
      <c r="AE80" s="464">
        <f t="shared" si="37"/>
        <v>0.75</v>
      </c>
      <c r="AF80" s="478"/>
      <c r="AG80" s="502"/>
      <c r="AH80" s="503">
        <f t="shared" si="45"/>
        <v>8.2500000000000004E-2</v>
      </c>
      <c r="AI80" s="502">
        <v>0</v>
      </c>
      <c r="AJ80" s="503">
        <v>0</v>
      </c>
      <c r="AK80" s="503">
        <f t="shared" si="39"/>
        <v>0.33333333333333331</v>
      </c>
      <c r="AL80" s="502">
        <v>0</v>
      </c>
      <c r="AM80" s="503">
        <f t="shared" ref="AM80:AM81" si="76">+AJ80*E80</f>
        <v>0</v>
      </c>
      <c r="AN80" s="1426">
        <f t="shared" si="40"/>
        <v>3.6666666666666667E-2</v>
      </c>
      <c r="AO80" s="179" t="s">
        <v>1850</v>
      </c>
      <c r="AP80" s="571" t="s">
        <v>1892</v>
      </c>
      <c r="AQ80" s="680" t="s">
        <v>2264</v>
      </c>
      <c r="AR80" s="680" t="s">
        <v>2286</v>
      </c>
      <c r="AS80" s="680" t="s">
        <v>2401</v>
      </c>
      <c r="AT80" s="680" t="s">
        <v>2434</v>
      </c>
      <c r="AU80" s="680" t="s">
        <v>2487</v>
      </c>
      <c r="AV80" s="680" t="s">
        <v>1893</v>
      </c>
    </row>
    <row r="81" spans="1:48" ht="113.4" customHeight="1" thickBot="1" x14ac:dyDescent="0.4">
      <c r="A81" s="264"/>
      <c r="B81" s="1430" t="s">
        <v>141</v>
      </c>
      <c r="C81" s="1430" t="s">
        <v>142</v>
      </c>
      <c r="D81" s="402" t="s">
        <v>12</v>
      </c>
      <c r="E81" s="310">
        <v>0.12</v>
      </c>
      <c r="F81" s="428">
        <v>1</v>
      </c>
      <c r="G81" s="429">
        <v>0</v>
      </c>
      <c r="H81" s="430">
        <v>1</v>
      </c>
      <c r="I81" s="430">
        <v>0</v>
      </c>
      <c r="J81" s="431"/>
      <c r="K81" s="447">
        <f t="shared" si="58"/>
        <v>1</v>
      </c>
      <c r="L81" s="448"/>
      <c r="M81" s="434"/>
      <c r="N81" s="434">
        <f t="shared" si="41"/>
        <v>0.12</v>
      </c>
      <c r="O81" s="434"/>
      <c r="P81" s="429"/>
      <c r="Q81" s="488">
        <v>0</v>
      </c>
      <c r="R81" s="484">
        <v>0</v>
      </c>
      <c r="S81" s="484">
        <v>0</v>
      </c>
      <c r="T81" s="484">
        <v>0</v>
      </c>
      <c r="U81" s="484">
        <v>1</v>
      </c>
      <c r="V81" s="430">
        <f t="shared" si="74"/>
        <v>1</v>
      </c>
      <c r="W81" s="430">
        <f t="shared" si="75"/>
        <v>1</v>
      </c>
      <c r="X81" s="484">
        <v>0</v>
      </c>
      <c r="Y81" s="430"/>
      <c r="Z81" s="430"/>
      <c r="AA81" s="430"/>
      <c r="AB81" s="430">
        <f t="shared" si="36"/>
        <v>0</v>
      </c>
      <c r="AC81" s="431"/>
      <c r="AD81" s="464">
        <f t="shared" ref="AD81:AD90" si="77">+V81/H81</f>
        <v>1</v>
      </c>
      <c r="AE81" s="464"/>
      <c r="AF81" s="478"/>
      <c r="AG81" s="502">
        <f t="shared" si="48"/>
        <v>0.12</v>
      </c>
      <c r="AH81" s="503"/>
      <c r="AI81" s="502"/>
      <c r="AJ81" s="503">
        <v>1</v>
      </c>
      <c r="AK81" s="503">
        <f t="shared" si="39"/>
        <v>1</v>
      </c>
      <c r="AL81" s="502">
        <v>0</v>
      </c>
      <c r="AM81" s="503">
        <f t="shared" si="76"/>
        <v>0.12</v>
      </c>
      <c r="AN81" s="1426">
        <f t="shared" si="40"/>
        <v>0.12</v>
      </c>
      <c r="AO81" s="179" t="s">
        <v>1850</v>
      </c>
      <c r="AP81" s="588" t="s">
        <v>1919</v>
      </c>
      <c r="AQ81" s="680" t="s">
        <v>2264</v>
      </c>
      <c r="AR81" s="680" t="s">
        <v>2286</v>
      </c>
      <c r="AS81" s="583" t="s">
        <v>1865</v>
      </c>
      <c r="AT81" s="680" t="s">
        <v>2434</v>
      </c>
      <c r="AU81" s="680" t="s">
        <v>2487</v>
      </c>
      <c r="AV81" s="680" t="s">
        <v>1893</v>
      </c>
    </row>
    <row r="82" spans="1:48" ht="105" customHeight="1" thickBot="1" x14ac:dyDescent="0.4">
      <c r="A82" s="264"/>
      <c r="B82" s="1430" t="s">
        <v>143</v>
      </c>
      <c r="C82" s="1430" t="s">
        <v>144</v>
      </c>
      <c r="D82" s="402" t="s">
        <v>12</v>
      </c>
      <c r="E82" s="310">
        <v>0.11</v>
      </c>
      <c r="F82" s="428">
        <v>4</v>
      </c>
      <c r="G82" s="429">
        <v>1</v>
      </c>
      <c r="H82" s="430">
        <v>1</v>
      </c>
      <c r="I82" s="430">
        <v>1</v>
      </c>
      <c r="J82" s="431">
        <f t="shared" si="72"/>
        <v>0.25</v>
      </c>
      <c r="K82" s="447">
        <f t="shared" si="58"/>
        <v>0.25</v>
      </c>
      <c r="L82" s="448">
        <f t="shared" si="35"/>
        <v>0.25</v>
      </c>
      <c r="M82" s="434">
        <f t="shared" si="73"/>
        <v>2.75E-2</v>
      </c>
      <c r="N82" s="434">
        <f t="shared" si="41"/>
        <v>2.75E-2</v>
      </c>
      <c r="O82" s="434"/>
      <c r="P82" s="429">
        <v>1</v>
      </c>
      <c r="Q82" s="488">
        <v>0</v>
      </c>
      <c r="R82" s="484">
        <v>1</v>
      </c>
      <c r="S82" s="484">
        <v>0</v>
      </c>
      <c r="T82" s="484">
        <v>0</v>
      </c>
      <c r="U82" s="484">
        <v>0</v>
      </c>
      <c r="V82" s="430">
        <f t="shared" si="74"/>
        <v>1</v>
      </c>
      <c r="W82" s="430">
        <f t="shared" si="75"/>
        <v>3</v>
      </c>
      <c r="X82" s="484">
        <v>1</v>
      </c>
      <c r="Y82" s="430"/>
      <c r="Z82" s="430"/>
      <c r="AA82" s="430"/>
      <c r="AB82" s="430">
        <f t="shared" si="36"/>
        <v>1</v>
      </c>
      <c r="AC82" s="431">
        <f>+(P82/G82)</f>
        <v>1</v>
      </c>
      <c r="AD82" s="464">
        <f t="shared" si="77"/>
        <v>1</v>
      </c>
      <c r="AE82" s="464">
        <f t="shared" si="37"/>
        <v>1</v>
      </c>
      <c r="AF82" s="478">
        <f>+AC82*E82</f>
        <v>0.11</v>
      </c>
      <c r="AG82" s="502">
        <f t="shared" si="48"/>
        <v>0.11</v>
      </c>
      <c r="AH82" s="503">
        <f t="shared" si="45"/>
        <v>0.11</v>
      </c>
      <c r="AI82" s="502">
        <f>+P82/F82</f>
        <v>0.25</v>
      </c>
      <c r="AJ82" s="503">
        <v>0.5</v>
      </c>
      <c r="AK82" s="503">
        <f t="shared" si="39"/>
        <v>0.75</v>
      </c>
      <c r="AL82" s="502">
        <f>+AI82*E82</f>
        <v>2.75E-2</v>
      </c>
      <c r="AM82" s="503">
        <f>+AJ82*E82</f>
        <v>5.5E-2</v>
      </c>
      <c r="AN82" s="1426">
        <f t="shared" si="40"/>
        <v>8.2500000000000004E-2</v>
      </c>
      <c r="AO82" s="179" t="s">
        <v>1850</v>
      </c>
      <c r="AP82" s="571" t="s">
        <v>1892</v>
      </c>
      <c r="AQ82" s="680" t="s">
        <v>2264</v>
      </c>
      <c r="AR82" s="680" t="s">
        <v>2286</v>
      </c>
      <c r="AS82" s="583" t="s">
        <v>1865</v>
      </c>
      <c r="AT82" s="680" t="s">
        <v>2434</v>
      </c>
      <c r="AU82" s="680" t="s">
        <v>2487</v>
      </c>
      <c r="AV82" s="680" t="s">
        <v>1893</v>
      </c>
    </row>
    <row r="83" spans="1:48" ht="73.2" customHeight="1" thickBot="1" x14ac:dyDescent="0.4">
      <c r="A83" s="264"/>
      <c r="B83" s="1430" t="s">
        <v>145</v>
      </c>
      <c r="C83" s="1430" t="s">
        <v>146</v>
      </c>
      <c r="D83" s="402" t="s">
        <v>12</v>
      </c>
      <c r="E83" s="310">
        <v>0.11</v>
      </c>
      <c r="F83" s="428">
        <v>4</v>
      </c>
      <c r="G83" s="429">
        <v>1</v>
      </c>
      <c r="H83" s="430">
        <v>1</v>
      </c>
      <c r="I83" s="430">
        <v>0.25</v>
      </c>
      <c r="J83" s="431">
        <f t="shared" si="72"/>
        <v>0.25</v>
      </c>
      <c r="K83" s="447">
        <f t="shared" si="58"/>
        <v>0.25</v>
      </c>
      <c r="L83" s="448">
        <f t="shared" si="35"/>
        <v>6.25E-2</v>
      </c>
      <c r="M83" s="434">
        <f t="shared" si="73"/>
        <v>2.75E-2</v>
      </c>
      <c r="N83" s="434">
        <f t="shared" si="41"/>
        <v>2.75E-2</v>
      </c>
      <c r="O83" s="434"/>
      <c r="P83" s="429">
        <v>1</v>
      </c>
      <c r="Q83" s="488">
        <v>0</v>
      </c>
      <c r="R83" s="484">
        <v>0.5</v>
      </c>
      <c r="S83" s="484">
        <v>0.25</v>
      </c>
      <c r="T83" s="484">
        <v>0.1225</v>
      </c>
      <c r="U83" s="484">
        <v>0.1225</v>
      </c>
      <c r="V83" s="430">
        <f t="shared" si="74"/>
        <v>0.99500000000000011</v>
      </c>
      <c r="W83" s="430">
        <f t="shared" si="75"/>
        <v>1.9950000000000001</v>
      </c>
      <c r="X83" s="484">
        <v>0</v>
      </c>
      <c r="Y83" s="430"/>
      <c r="Z83" s="430"/>
      <c r="AA83" s="430"/>
      <c r="AB83" s="430">
        <f t="shared" si="36"/>
        <v>0</v>
      </c>
      <c r="AC83" s="431">
        <f>+(P83/G83)</f>
        <v>1</v>
      </c>
      <c r="AD83" s="434">
        <f t="shared" si="77"/>
        <v>0.99500000000000011</v>
      </c>
      <c r="AE83" s="434">
        <f t="shared" si="37"/>
        <v>0</v>
      </c>
      <c r="AF83" s="478">
        <f>+AC83*E83</f>
        <v>0.11</v>
      </c>
      <c r="AG83" s="502">
        <f t="shared" si="48"/>
        <v>0.10945000000000001</v>
      </c>
      <c r="AH83" s="503">
        <f t="shared" si="45"/>
        <v>0</v>
      </c>
      <c r="AI83" s="502">
        <f>+P83/F83</f>
        <v>0.25</v>
      </c>
      <c r="AJ83" s="448">
        <v>0.49875000000000003</v>
      </c>
      <c r="AK83" s="503">
        <f t="shared" si="39"/>
        <v>0.49875000000000003</v>
      </c>
      <c r="AL83" s="502">
        <f>+AI83*E83</f>
        <v>2.75E-2</v>
      </c>
      <c r="AM83" s="503">
        <f>+AJ83*E83</f>
        <v>5.4862500000000002E-2</v>
      </c>
      <c r="AN83" s="1426">
        <f t="shared" si="40"/>
        <v>5.4862500000000002E-2</v>
      </c>
      <c r="AO83" s="179" t="s">
        <v>1850</v>
      </c>
      <c r="AP83" s="571" t="s">
        <v>1892</v>
      </c>
      <c r="AQ83" s="680" t="s">
        <v>2264</v>
      </c>
      <c r="AR83" s="680" t="s">
        <v>2286</v>
      </c>
      <c r="AS83" s="680" t="s">
        <v>2401</v>
      </c>
      <c r="AT83" s="680" t="s">
        <v>2434</v>
      </c>
      <c r="AU83" s="680" t="s">
        <v>2487</v>
      </c>
      <c r="AV83" s="680" t="s">
        <v>1893</v>
      </c>
    </row>
    <row r="84" spans="1:48" ht="94.95" customHeight="1" thickBot="1" x14ac:dyDescent="0.4">
      <c r="A84" s="264"/>
      <c r="B84" s="409" t="s">
        <v>147</v>
      </c>
      <c r="C84" s="409" t="s">
        <v>148</v>
      </c>
      <c r="D84" s="402" t="s">
        <v>12</v>
      </c>
      <c r="E84" s="310">
        <v>0.11</v>
      </c>
      <c r="F84" s="428">
        <v>1</v>
      </c>
      <c r="G84" s="429">
        <v>0.25</v>
      </c>
      <c r="H84" s="430">
        <v>0.25</v>
      </c>
      <c r="I84" s="430">
        <v>0.25</v>
      </c>
      <c r="J84" s="431">
        <f t="shared" si="72"/>
        <v>0.25</v>
      </c>
      <c r="K84" s="447">
        <f t="shared" si="58"/>
        <v>0.25</v>
      </c>
      <c r="L84" s="448">
        <f t="shared" si="35"/>
        <v>0.25</v>
      </c>
      <c r="M84" s="434">
        <f t="shared" si="73"/>
        <v>2.75E-2</v>
      </c>
      <c r="N84" s="434">
        <f t="shared" si="41"/>
        <v>2.75E-2</v>
      </c>
      <c r="O84" s="434"/>
      <c r="P84" s="469">
        <v>0.25</v>
      </c>
      <c r="Q84" s="488">
        <v>6.25E-2</v>
      </c>
      <c r="R84" s="807">
        <v>6.25E-2</v>
      </c>
      <c r="S84" s="807">
        <v>6.2E-2</v>
      </c>
      <c r="T84" s="807">
        <v>3.1E-2</v>
      </c>
      <c r="U84" s="807">
        <v>3.1E-2</v>
      </c>
      <c r="V84" s="430">
        <f t="shared" si="74"/>
        <v>0.249</v>
      </c>
      <c r="W84" s="430">
        <f t="shared" si="75"/>
        <v>3.4990000000000001</v>
      </c>
      <c r="X84" s="484">
        <v>3</v>
      </c>
      <c r="Y84" s="430"/>
      <c r="Z84" s="430"/>
      <c r="AA84" s="430"/>
      <c r="AB84" s="430">
        <f t="shared" si="36"/>
        <v>3</v>
      </c>
      <c r="AC84" s="431">
        <f>+(P84/G84)</f>
        <v>1</v>
      </c>
      <c r="AD84" s="434">
        <f t="shared" si="77"/>
        <v>0.996</v>
      </c>
      <c r="AE84" s="434">
        <v>0.25</v>
      </c>
      <c r="AF84" s="478">
        <f>+AC84*E84</f>
        <v>0.11</v>
      </c>
      <c r="AG84" s="502">
        <f t="shared" si="48"/>
        <v>0.10956</v>
      </c>
      <c r="AH84" s="503">
        <f t="shared" si="45"/>
        <v>2.75E-2</v>
      </c>
      <c r="AI84" s="502">
        <f>+P84/F84</f>
        <v>0.25</v>
      </c>
      <c r="AJ84" s="448">
        <v>0.499</v>
      </c>
      <c r="AK84" s="503">
        <v>0.56499999999999995</v>
      </c>
      <c r="AL84" s="502">
        <f>+AI84*E84</f>
        <v>2.75E-2</v>
      </c>
      <c r="AM84" s="503">
        <f>+AJ84*E84</f>
        <v>5.4890000000000001E-2</v>
      </c>
      <c r="AN84" s="1426">
        <f t="shared" si="40"/>
        <v>6.2149999999999997E-2</v>
      </c>
      <c r="AO84" s="179" t="s">
        <v>1850</v>
      </c>
      <c r="AP84" s="571" t="s">
        <v>1892</v>
      </c>
      <c r="AQ84" s="680" t="s">
        <v>2264</v>
      </c>
      <c r="AR84" s="680" t="s">
        <v>2286</v>
      </c>
      <c r="AS84" s="583" t="s">
        <v>1865</v>
      </c>
      <c r="AT84" s="680" t="s">
        <v>2434</v>
      </c>
      <c r="AU84" s="680" t="s">
        <v>2487</v>
      </c>
      <c r="AV84" s="680" t="s">
        <v>1893</v>
      </c>
    </row>
    <row r="85" spans="1:48" ht="95.4" customHeight="1" thickBot="1" x14ac:dyDescent="0.4">
      <c r="A85" s="264"/>
      <c r="B85" s="1430" t="s">
        <v>149</v>
      </c>
      <c r="C85" s="1430" t="s">
        <v>150</v>
      </c>
      <c r="D85" s="402" t="s">
        <v>12</v>
      </c>
      <c r="E85" s="310">
        <v>0.11</v>
      </c>
      <c r="F85" s="428">
        <v>86</v>
      </c>
      <c r="G85" s="429">
        <v>0</v>
      </c>
      <c r="H85" s="430">
        <v>30</v>
      </c>
      <c r="I85" s="430">
        <v>26</v>
      </c>
      <c r="J85" s="431"/>
      <c r="K85" s="447">
        <f t="shared" si="58"/>
        <v>0.34883720930232559</v>
      </c>
      <c r="L85" s="448">
        <f t="shared" si="35"/>
        <v>0.30232558139534882</v>
      </c>
      <c r="M85" s="434"/>
      <c r="N85" s="434">
        <f t="shared" si="41"/>
        <v>3.8372093023255817E-2</v>
      </c>
      <c r="O85" s="434"/>
      <c r="P85" s="429"/>
      <c r="Q85" s="488">
        <v>0</v>
      </c>
      <c r="R85" s="484">
        <v>0</v>
      </c>
      <c r="S85" s="484">
        <v>60</v>
      </c>
      <c r="T85" s="484">
        <v>0</v>
      </c>
      <c r="U85" s="484">
        <v>0</v>
      </c>
      <c r="V85" s="430">
        <f t="shared" si="74"/>
        <v>60</v>
      </c>
      <c r="W85" s="430">
        <f t="shared" si="75"/>
        <v>60</v>
      </c>
      <c r="X85" s="484">
        <v>0</v>
      </c>
      <c r="Y85" s="430"/>
      <c r="Z85" s="430"/>
      <c r="AA85" s="430"/>
      <c r="AB85" s="430">
        <f t="shared" si="36"/>
        <v>0</v>
      </c>
      <c r="AC85" s="431"/>
      <c r="AD85" s="464">
        <v>1</v>
      </c>
      <c r="AE85" s="464">
        <f t="shared" si="37"/>
        <v>0</v>
      </c>
      <c r="AF85" s="478"/>
      <c r="AG85" s="502">
        <f t="shared" si="48"/>
        <v>0.11</v>
      </c>
      <c r="AH85" s="503">
        <f t="shared" si="45"/>
        <v>0</v>
      </c>
      <c r="AI85" s="502"/>
      <c r="AJ85" s="503">
        <v>0.69767441860465118</v>
      </c>
      <c r="AK85" s="504">
        <f t="shared" si="39"/>
        <v>0.69767441860465118</v>
      </c>
      <c r="AL85" s="502">
        <v>0</v>
      </c>
      <c r="AM85" s="503">
        <f>+AJ85*E85</f>
        <v>7.6744186046511634E-2</v>
      </c>
      <c r="AN85" s="1426">
        <f t="shared" si="40"/>
        <v>7.6744186046511634E-2</v>
      </c>
      <c r="AO85" s="179" t="s">
        <v>1850</v>
      </c>
      <c r="AP85" s="588" t="s">
        <v>1919</v>
      </c>
      <c r="AQ85" s="680" t="s">
        <v>2264</v>
      </c>
      <c r="AR85" s="680" t="s">
        <v>2286</v>
      </c>
      <c r="AS85" s="680" t="s">
        <v>2401</v>
      </c>
      <c r="AT85" s="680" t="s">
        <v>2434</v>
      </c>
      <c r="AU85" s="680" t="s">
        <v>2487</v>
      </c>
      <c r="AV85" s="680" t="s">
        <v>1893</v>
      </c>
    </row>
    <row r="86" spans="1:48" ht="89.4" customHeight="1" thickBot="1" x14ac:dyDescent="0.4">
      <c r="A86" s="264"/>
      <c r="B86" s="1430" t="s">
        <v>151</v>
      </c>
      <c r="C86" s="1430" t="s">
        <v>152</v>
      </c>
      <c r="D86" s="402" t="s">
        <v>12</v>
      </c>
      <c r="E86" s="310">
        <v>0.11</v>
      </c>
      <c r="F86" s="428">
        <v>4</v>
      </c>
      <c r="G86" s="429">
        <v>1</v>
      </c>
      <c r="H86" s="430">
        <v>1</v>
      </c>
      <c r="I86" s="430">
        <v>0.25</v>
      </c>
      <c r="J86" s="431">
        <f t="shared" si="72"/>
        <v>0.25</v>
      </c>
      <c r="K86" s="447">
        <f t="shared" si="58"/>
        <v>0.25</v>
      </c>
      <c r="L86" s="508">
        <f t="shared" si="35"/>
        <v>6.25E-2</v>
      </c>
      <c r="M86" s="434">
        <f t="shared" si="73"/>
        <v>2.75E-2</v>
      </c>
      <c r="N86" s="434">
        <f t="shared" si="41"/>
        <v>2.75E-2</v>
      </c>
      <c r="O86" s="434"/>
      <c r="P86" s="429">
        <v>1</v>
      </c>
      <c r="Q86" s="488">
        <v>0.25</v>
      </c>
      <c r="R86" s="484">
        <v>0.25</v>
      </c>
      <c r="S86" s="484">
        <v>0.25</v>
      </c>
      <c r="T86" s="484">
        <v>0.1225</v>
      </c>
      <c r="U86" s="484">
        <v>0.1225</v>
      </c>
      <c r="V86" s="430">
        <f>+Q86+R86+S86+T86+U86</f>
        <v>0.99500000000000011</v>
      </c>
      <c r="W86" s="430">
        <f t="shared" si="75"/>
        <v>2.0575000000000001</v>
      </c>
      <c r="X86" s="484">
        <v>6.25E-2</v>
      </c>
      <c r="Y86" s="430"/>
      <c r="Z86" s="430"/>
      <c r="AA86" s="430"/>
      <c r="AB86" s="430">
        <f t="shared" si="36"/>
        <v>6.25E-2</v>
      </c>
      <c r="AC86" s="431">
        <f>+(P86/G86)</f>
        <v>1</v>
      </c>
      <c r="AD86" s="464">
        <f t="shared" si="77"/>
        <v>0.99500000000000011</v>
      </c>
      <c r="AE86" s="464">
        <f t="shared" si="37"/>
        <v>0.25</v>
      </c>
      <c r="AF86" s="478">
        <f>+AC86*E86</f>
        <v>0.11</v>
      </c>
      <c r="AG86" s="502">
        <f t="shared" si="48"/>
        <v>0.10945000000000001</v>
      </c>
      <c r="AH86" s="504">
        <f t="shared" si="45"/>
        <v>2.75E-2</v>
      </c>
      <c r="AI86" s="502">
        <f>+P86/F86</f>
        <v>0.25</v>
      </c>
      <c r="AJ86" s="508">
        <v>0.49875000000000003</v>
      </c>
      <c r="AK86" s="1426">
        <v>0.56499999999999995</v>
      </c>
      <c r="AL86" s="502">
        <f>+AI86*E86</f>
        <v>2.75E-2</v>
      </c>
      <c r="AM86" s="503">
        <f>+AJ86*E86</f>
        <v>5.4862500000000002E-2</v>
      </c>
      <c r="AN86" s="1426">
        <f t="shared" si="40"/>
        <v>6.2149999999999997E-2</v>
      </c>
      <c r="AO86" s="179" t="s">
        <v>1850</v>
      </c>
      <c r="AP86" s="571" t="s">
        <v>1892</v>
      </c>
      <c r="AQ86" s="680" t="s">
        <v>2264</v>
      </c>
      <c r="AR86" s="680" t="s">
        <v>2286</v>
      </c>
      <c r="AS86" s="680" t="s">
        <v>2401</v>
      </c>
      <c r="AT86" s="680" t="s">
        <v>2434</v>
      </c>
      <c r="AU86" s="680" t="s">
        <v>2487</v>
      </c>
      <c r="AV86" s="680" t="s">
        <v>1893</v>
      </c>
    </row>
    <row r="87" spans="1:48" ht="72" customHeight="1" thickBot="1" x14ac:dyDescent="0.45">
      <c r="A87" s="264"/>
      <c r="B87" s="1535" t="s">
        <v>1605</v>
      </c>
      <c r="C87" s="1534"/>
      <c r="D87" s="402"/>
      <c r="E87" s="424">
        <v>0.1</v>
      </c>
      <c r="F87" s="427"/>
      <c r="G87" s="427"/>
      <c r="H87" s="433"/>
      <c r="I87" s="433"/>
      <c r="J87" s="426">
        <f>+AVERAGE(J88:J90)</f>
        <v>0.25</v>
      </c>
      <c r="K87" s="446">
        <f>+AVERAGE(K88:K90)</f>
        <v>0.25</v>
      </c>
      <c r="L87" s="506">
        <f>+AVERAGE(L88:L90)</f>
        <v>0.25</v>
      </c>
      <c r="M87" s="426">
        <f>+M88+M89+M90</f>
        <v>0.125</v>
      </c>
      <c r="N87" s="426">
        <f>+N88+N89+N90</f>
        <v>0.125</v>
      </c>
      <c r="O87" s="426"/>
      <c r="P87" s="427"/>
      <c r="Q87" s="433"/>
      <c r="R87" s="433"/>
      <c r="S87" s="433"/>
      <c r="T87" s="433"/>
      <c r="U87" s="981"/>
      <c r="V87" s="433"/>
      <c r="W87" s="433"/>
      <c r="X87" s="430"/>
      <c r="Y87" s="430"/>
      <c r="Z87" s="430"/>
      <c r="AA87" s="430"/>
      <c r="AB87" s="430"/>
      <c r="AC87" s="486">
        <f>+AVERAGE(AC88:AC90)</f>
        <v>1</v>
      </c>
      <c r="AD87" s="486">
        <f>+AVERAGE(AD88:AD90)</f>
        <v>0.5</v>
      </c>
      <c r="AE87" s="486">
        <f>+AVERAGE(AE88:AE90)</f>
        <v>0.26333333333333331</v>
      </c>
      <c r="AF87" s="486">
        <f>+(AF88+AF89+AF90)*E87</f>
        <v>0.05</v>
      </c>
      <c r="AG87" s="505">
        <f>+(AG88+AG89+AG90)*E87</f>
        <v>2.5000000000000001E-2</v>
      </c>
      <c r="AH87" s="1033">
        <f>+(AH88+AH89+AH90)*E87</f>
        <v>1.3166666666666667E-2</v>
      </c>
      <c r="AI87" s="446">
        <f>+AVERAGE(AI88:AI90)</f>
        <v>0.25</v>
      </c>
      <c r="AJ87" s="506">
        <v>0.33333333333333331</v>
      </c>
      <c r="AK87" s="506">
        <f>+AJ87+((AK89-AJ89)/3)+((AK90-AJ90)/3)</f>
        <v>0.37722222222222224</v>
      </c>
      <c r="AL87" s="1059">
        <f>+(AL88+AL89+AL90)*E87</f>
        <v>1.2500000000000001E-2</v>
      </c>
      <c r="AM87" s="1060">
        <f>+(AM88+AM89+AM90)</f>
        <v>0.1875</v>
      </c>
      <c r="AN87" s="1060">
        <f>+(AN88+AN89+AN90)</f>
        <v>0.22041666666666668</v>
      </c>
      <c r="AO87" s="172"/>
      <c r="AP87" s="400"/>
      <c r="AQ87" s="400"/>
      <c r="AR87" s="400"/>
      <c r="AS87" s="400"/>
      <c r="AT87" s="400"/>
      <c r="AU87" s="196"/>
      <c r="AV87" s="196"/>
    </row>
    <row r="88" spans="1:48" ht="126" customHeight="1" thickBot="1" x14ac:dyDescent="0.4">
      <c r="A88" s="264"/>
      <c r="B88" s="1430" t="s">
        <v>153</v>
      </c>
      <c r="C88" s="1430" t="s">
        <v>154</v>
      </c>
      <c r="D88" s="402" t="s">
        <v>12</v>
      </c>
      <c r="E88" s="310">
        <v>0.5</v>
      </c>
      <c r="F88" s="428">
        <v>1</v>
      </c>
      <c r="G88" s="429">
        <v>0</v>
      </c>
      <c r="H88" s="430">
        <v>0</v>
      </c>
      <c r="I88" s="430">
        <v>0</v>
      </c>
      <c r="J88" s="431"/>
      <c r="K88" s="447"/>
      <c r="L88" s="507"/>
      <c r="M88" s="434"/>
      <c r="N88" s="434"/>
      <c r="O88" s="434"/>
      <c r="P88" s="429"/>
      <c r="Q88" s="488"/>
      <c r="R88" s="484"/>
      <c r="S88" s="484"/>
      <c r="T88" s="484"/>
      <c r="U88" s="484"/>
      <c r="V88" s="430">
        <f>+Q88+R88+S88+T88+U88</f>
        <v>0</v>
      </c>
      <c r="W88" s="430">
        <f>+V88+P88+AB88</f>
        <v>0</v>
      </c>
      <c r="X88" s="484"/>
      <c r="Y88" s="430"/>
      <c r="Z88" s="430"/>
      <c r="AA88" s="430"/>
      <c r="AB88" s="430">
        <f t="shared" si="36"/>
        <v>0</v>
      </c>
      <c r="AC88" s="431"/>
      <c r="AD88" s="434"/>
      <c r="AE88" s="434"/>
      <c r="AF88" s="431"/>
      <c r="AG88" s="447"/>
      <c r="AH88" s="507"/>
      <c r="AI88" s="447"/>
      <c r="AJ88" s="507">
        <v>0</v>
      </c>
      <c r="AK88" s="509">
        <f t="shared" si="39"/>
        <v>0</v>
      </c>
      <c r="AL88" s="855">
        <v>0</v>
      </c>
      <c r="AM88" s="509">
        <v>0</v>
      </c>
      <c r="AN88" s="1437">
        <f t="shared" si="40"/>
        <v>0</v>
      </c>
      <c r="AO88" s="179" t="s">
        <v>1850</v>
      </c>
      <c r="AP88" s="571" t="s">
        <v>1892</v>
      </c>
      <c r="AQ88" s="680" t="s">
        <v>2264</v>
      </c>
      <c r="AR88" s="680" t="s">
        <v>2286</v>
      </c>
      <c r="AS88" s="680" t="s">
        <v>2401</v>
      </c>
      <c r="AT88" s="680" t="s">
        <v>2434</v>
      </c>
      <c r="AU88" s="680" t="s">
        <v>2487</v>
      </c>
      <c r="AV88" s="196"/>
    </row>
    <row r="89" spans="1:48" ht="71.400000000000006" customHeight="1" thickBot="1" x14ac:dyDescent="0.4">
      <c r="A89" s="264"/>
      <c r="B89" s="1430" t="s">
        <v>155</v>
      </c>
      <c r="C89" s="1430" t="s">
        <v>156</v>
      </c>
      <c r="D89" s="402" t="s">
        <v>12</v>
      </c>
      <c r="E89" s="310">
        <v>0.25</v>
      </c>
      <c r="F89" s="428">
        <v>600</v>
      </c>
      <c r="G89" s="429">
        <v>150</v>
      </c>
      <c r="H89" s="430">
        <v>150</v>
      </c>
      <c r="I89" s="430">
        <v>150</v>
      </c>
      <c r="J89" s="431">
        <f>+G89/F89</f>
        <v>0.25</v>
      </c>
      <c r="K89" s="447">
        <f t="shared" si="58"/>
        <v>0.25</v>
      </c>
      <c r="L89" s="448">
        <f t="shared" si="35"/>
        <v>0.25</v>
      </c>
      <c r="M89" s="434">
        <f>+(G89/F89)*E89</f>
        <v>6.25E-2</v>
      </c>
      <c r="N89" s="434">
        <f t="shared" si="41"/>
        <v>6.25E-2</v>
      </c>
      <c r="O89" s="434"/>
      <c r="P89" s="429">
        <v>150</v>
      </c>
      <c r="Q89" s="488">
        <v>150</v>
      </c>
      <c r="R89" s="484">
        <v>0</v>
      </c>
      <c r="S89" s="484">
        <v>0</v>
      </c>
      <c r="T89" s="484">
        <v>0</v>
      </c>
      <c r="U89" s="484">
        <v>0</v>
      </c>
      <c r="V89" s="430">
        <f t="shared" ref="V89:V90" si="78">+Q89+R89+S89+T89+U89</f>
        <v>150</v>
      </c>
      <c r="W89" s="430">
        <f t="shared" ref="W89:W90" si="79">+V89+P89+AB89</f>
        <v>379</v>
      </c>
      <c r="X89" s="484">
        <v>79</v>
      </c>
      <c r="Y89" s="430"/>
      <c r="Z89" s="430"/>
      <c r="AA89" s="430"/>
      <c r="AB89" s="430">
        <f t="shared" si="36"/>
        <v>79</v>
      </c>
      <c r="AC89" s="431">
        <f>+(P89/G89)</f>
        <v>1</v>
      </c>
      <c r="AD89" s="434">
        <f t="shared" si="77"/>
        <v>1</v>
      </c>
      <c r="AE89" s="434">
        <f t="shared" si="37"/>
        <v>0.52666666666666662</v>
      </c>
      <c r="AF89" s="431">
        <f>+AC89*E89</f>
        <v>0.25</v>
      </c>
      <c r="AG89" s="447">
        <f t="shared" si="48"/>
        <v>0.25</v>
      </c>
      <c r="AH89" s="448">
        <f t="shared" si="45"/>
        <v>0.13166666666666665</v>
      </c>
      <c r="AI89" s="447">
        <f>+P89/F89</f>
        <v>0.25</v>
      </c>
      <c r="AJ89" s="448">
        <v>0.5</v>
      </c>
      <c r="AK89" s="503">
        <f t="shared" si="39"/>
        <v>0.63166666666666671</v>
      </c>
      <c r="AL89" s="502">
        <f>+AI89*E89</f>
        <v>6.25E-2</v>
      </c>
      <c r="AM89" s="503">
        <f>+AJ89*E89</f>
        <v>0.125</v>
      </c>
      <c r="AN89" s="1426">
        <f t="shared" si="40"/>
        <v>0.15791666666666668</v>
      </c>
      <c r="AO89" s="179" t="s">
        <v>1850</v>
      </c>
      <c r="AP89" s="571" t="s">
        <v>1892</v>
      </c>
      <c r="AQ89" s="680" t="s">
        <v>2264</v>
      </c>
      <c r="AR89" s="680" t="s">
        <v>2286</v>
      </c>
      <c r="AS89" s="680" t="s">
        <v>2401</v>
      </c>
      <c r="AT89" s="680" t="s">
        <v>2434</v>
      </c>
      <c r="AU89" s="680" t="s">
        <v>2487</v>
      </c>
      <c r="AV89" s="196"/>
    </row>
    <row r="90" spans="1:48" ht="96.6" customHeight="1" thickBot="1" x14ac:dyDescent="0.4">
      <c r="A90" s="264"/>
      <c r="B90" s="1427" t="s">
        <v>157</v>
      </c>
      <c r="C90" s="1427" t="s">
        <v>158</v>
      </c>
      <c r="D90" s="402" t="s">
        <v>12</v>
      </c>
      <c r="E90" s="310">
        <v>0.25</v>
      </c>
      <c r="F90" s="428">
        <v>4</v>
      </c>
      <c r="G90" s="429">
        <v>1</v>
      </c>
      <c r="H90" s="430">
        <v>1</v>
      </c>
      <c r="I90" s="430">
        <v>1</v>
      </c>
      <c r="J90" s="431">
        <f>+G90/F90</f>
        <v>0.25</v>
      </c>
      <c r="K90" s="447">
        <f t="shared" si="58"/>
        <v>0.25</v>
      </c>
      <c r="L90" s="508">
        <f t="shared" si="35"/>
        <v>0.25</v>
      </c>
      <c r="M90" s="434">
        <f>+(G90/F90)*E90</f>
        <v>6.25E-2</v>
      </c>
      <c r="N90" s="434">
        <f t="shared" si="41"/>
        <v>6.25E-2</v>
      </c>
      <c r="O90" s="434"/>
      <c r="P90" s="429">
        <v>1</v>
      </c>
      <c r="Q90" s="488">
        <v>0</v>
      </c>
      <c r="R90" s="484">
        <v>0</v>
      </c>
      <c r="S90" s="484">
        <v>0</v>
      </c>
      <c r="T90" s="484">
        <v>0</v>
      </c>
      <c r="U90" s="484">
        <v>0</v>
      </c>
      <c r="V90" s="430">
        <f t="shared" si="78"/>
        <v>0</v>
      </c>
      <c r="W90" s="430">
        <f t="shared" si="79"/>
        <v>1</v>
      </c>
      <c r="X90" s="484">
        <v>0</v>
      </c>
      <c r="Y90" s="430"/>
      <c r="Z90" s="430"/>
      <c r="AA90" s="430"/>
      <c r="AB90" s="430">
        <f t="shared" si="36"/>
        <v>0</v>
      </c>
      <c r="AC90" s="431">
        <f>+(P90/G90)</f>
        <v>1</v>
      </c>
      <c r="AD90" s="434">
        <f t="shared" si="77"/>
        <v>0</v>
      </c>
      <c r="AE90" s="434">
        <f t="shared" si="37"/>
        <v>0</v>
      </c>
      <c r="AF90" s="431">
        <f>+AC90*E90</f>
        <v>0.25</v>
      </c>
      <c r="AG90" s="447">
        <f>+AD90*E90</f>
        <v>0</v>
      </c>
      <c r="AH90" s="508">
        <f t="shared" si="45"/>
        <v>0</v>
      </c>
      <c r="AI90" s="447">
        <f>+P90/F90</f>
        <v>0.25</v>
      </c>
      <c r="AJ90" s="448">
        <v>0.25</v>
      </c>
      <c r="AK90" s="503">
        <f t="shared" si="39"/>
        <v>0.25</v>
      </c>
      <c r="AL90" s="502">
        <f>+AI90*E90</f>
        <v>6.25E-2</v>
      </c>
      <c r="AM90" s="503">
        <f>+AJ90*E90</f>
        <v>6.25E-2</v>
      </c>
      <c r="AN90" s="1426">
        <f t="shared" si="40"/>
        <v>6.25E-2</v>
      </c>
      <c r="AO90" s="179" t="s">
        <v>1850</v>
      </c>
      <c r="AP90" s="571" t="s">
        <v>1892</v>
      </c>
      <c r="AQ90" s="680" t="s">
        <v>2264</v>
      </c>
      <c r="AR90" s="680" t="s">
        <v>2286</v>
      </c>
      <c r="AS90" s="680" t="s">
        <v>2401</v>
      </c>
      <c r="AT90" s="680" t="s">
        <v>2434</v>
      </c>
      <c r="AU90" s="680" t="s">
        <v>2487</v>
      </c>
      <c r="AV90" s="196"/>
    </row>
    <row r="91" spans="1:48" ht="93" customHeight="1" thickBot="1" x14ac:dyDescent="0.45">
      <c r="A91" s="264"/>
      <c r="B91" s="1536" t="s">
        <v>159</v>
      </c>
      <c r="C91" s="1534"/>
      <c r="D91" s="399"/>
      <c r="E91" s="436">
        <v>0.3</v>
      </c>
      <c r="F91" s="436">
        <f>+E91*AF91</f>
        <v>0.22781794835632452</v>
      </c>
      <c r="G91" s="427"/>
      <c r="H91" s="436">
        <f>E91*AG91</f>
        <v>0.21399592479434595</v>
      </c>
      <c r="I91" s="436">
        <f>+E91*AH91</f>
        <v>4.4382131206599354E-2</v>
      </c>
      <c r="J91" s="421">
        <f>+(J92+J99+J102+J105+J125)/5</f>
        <v>0.23229102167182664</v>
      </c>
      <c r="K91" s="501">
        <f>+(K92+K99+K102+K105+K125)/5</f>
        <v>0.33879772961816307</v>
      </c>
      <c r="L91" s="512">
        <f>+(L92+L99+L102+L105+L125)/5</f>
        <v>0.26478457172342618</v>
      </c>
      <c r="M91" s="422">
        <f>+(M92+M99+M102+M105+M125)/5</f>
        <v>0.15700735294117646</v>
      </c>
      <c r="N91" s="422">
        <f>+(N92+N99+N102+N105+N125)/5</f>
        <v>0.37183088235294115</v>
      </c>
      <c r="O91" s="422"/>
      <c r="P91" s="427"/>
      <c r="Q91" s="433"/>
      <c r="R91" s="433"/>
      <c r="S91" s="433"/>
      <c r="T91" s="433"/>
      <c r="U91" s="981"/>
      <c r="V91" s="433"/>
      <c r="W91" s="433"/>
      <c r="X91" s="430"/>
      <c r="Y91" s="430"/>
      <c r="Z91" s="430"/>
      <c r="AA91" s="430"/>
      <c r="AB91" s="430"/>
      <c r="AC91" s="421">
        <f>+(AC92+AC99+AC102+AC105+AC125)/5</f>
        <v>0.97477263894508703</v>
      </c>
      <c r="AD91" s="421">
        <f>+(AD92+AD99+AD102+AD105+AD125)/5</f>
        <v>0.88713331914538984</v>
      </c>
      <c r="AE91" s="421">
        <f>+(AE92+AE99+AE102+AE105+AE125)/5</f>
        <v>0.21561724085353823</v>
      </c>
      <c r="AF91" s="422">
        <f>+AF92+AF99+AF102+AF105+AF125</f>
        <v>0.75939316118774847</v>
      </c>
      <c r="AG91" s="496">
        <f>+AG92+AG99+AG102+AG105+AG125</f>
        <v>0.7133197493144865</v>
      </c>
      <c r="AH91" s="421">
        <f>+AH92+AH99+AH102+AH105+AH125</f>
        <v>0.14794043735533119</v>
      </c>
      <c r="AI91" s="501">
        <f>+(AI92+AI99+AI102+AI105+AI125)/5</f>
        <v>0.20515575037857808</v>
      </c>
      <c r="AJ91" s="497">
        <v>0.43842939618684557</v>
      </c>
      <c r="AK91" s="497">
        <f>+(AK92+AK99+AK102+AK105+AK125)/5</f>
        <v>0.47089768099188162</v>
      </c>
      <c r="AL91" s="496">
        <f>+AL92+AL99+AL102+AL105+AL125</f>
        <v>0.19010083782604881</v>
      </c>
      <c r="AM91" s="600">
        <f>+(AM92*E92)+(AM99*E99)+(AM102*E102)+(AM105*E105)+(AM125*E125)</f>
        <v>0.40754170935687423</v>
      </c>
      <c r="AN91" s="600">
        <f>+(AN92*E92)+(AN99*E99)+(AN102*E102)+(AN105*E105)+(AN125*E125)</f>
        <v>0.47208931869570703</v>
      </c>
      <c r="AO91" s="164"/>
      <c r="AP91" s="400"/>
      <c r="AQ91" s="400"/>
      <c r="AR91" s="400"/>
      <c r="AS91" s="400"/>
      <c r="AT91" s="400"/>
      <c r="AU91" s="196"/>
      <c r="AV91" s="196"/>
    </row>
    <row r="92" spans="1:48" ht="57" customHeight="1" thickBot="1" x14ac:dyDescent="0.45">
      <c r="A92" s="264"/>
      <c r="B92" s="1535" t="s">
        <v>1606</v>
      </c>
      <c r="C92" s="1534"/>
      <c r="D92" s="401"/>
      <c r="E92" s="424">
        <v>0.35</v>
      </c>
      <c r="F92" s="427"/>
      <c r="G92" s="427"/>
      <c r="H92" s="433"/>
      <c r="I92" s="433"/>
      <c r="J92" s="426">
        <f>+AVERAGE(J93:J98)</f>
        <v>0.25</v>
      </c>
      <c r="K92" s="446">
        <f>+AVERAGE(K93:K98)</f>
        <v>0.29166666666666669</v>
      </c>
      <c r="L92" s="506">
        <f>+AVERAGE(L93:L98)</f>
        <v>0.29166666666666669</v>
      </c>
      <c r="M92" s="426">
        <f>+M93+M94+M95+M96+M97+M98</f>
        <v>0.16250000000000003</v>
      </c>
      <c r="N92" s="426">
        <f>+N93+N94+N95+N96+N97+N98</f>
        <v>0.33750000000000002</v>
      </c>
      <c r="O92" s="426"/>
      <c r="P92" s="427"/>
      <c r="Q92" s="433"/>
      <c r="R92" s="433"/>
      <c r="S92" s="433"/>
      <c r="T92" s="433"/>
      <c r="U92" s="981"/>
      <c r="V92" s="433"/>
      <c r="W92" s="433"/>
      <c r="X92" s="430"/>
      <c r="Y92" s="430"/>
      <c r="Z92" s="430"/>
      <c r="AA92" s="430"/>
      <c r="AB92" s="430"/>
      <c r="AC92" s="486">
        <f>+AVERAGE(AC93:AC98)</f>
        <v>0.96129032258064517</v>
      </c>
      <c r="AD92" s="486">
        <f>+AVERAGE(AD93:AD98)</f>
        <v>0.86536666666666673</v>
      </c>
      <c r="AE92" s="486">
        <f>+AVERAGE(AE93:AE98)</f>
        <v>0.17938834745033574</v>
      </c>
      <c r="AF92" s="486">
        <f>+(AF93+AF94+AF95+AF96+AF97)*E92</f>
        <v>0.22411290322580646</v>
      </c>
      <c r="AG92" s="505">
        <f>+(AG93+AG94+AG95+AG96+AG97)*E92</f>
        <v>0.22722700000000004</v>
      </c>
      <c r="AH92" s="1033">
        <f>+(AH93+AH94+AH95+AH96+AH97+AH98)*E92</f>
        <v>5.6953727987314288E-2</v>
      </c>
      <c r="AI92" s="446">
        <f>+AVERAGE(AI93:AI98)</f>
        <v>0.21293498207199635</v>
      </c>
      <c r="AJ92" s="498">
        <v>0.47128507167773109</v>
      </c>
      <c r="AK92" s="498">
        <f>+AVERAGE(AK93:AK98)</f>
        <v>0.51613215854031502</v>
      </c>
      <c r="AL92" s="446">
        <f>+(AL93+AL94+AL95+AL96+AL97+AL98)*E92</f>
        <v>5.944380429531565E-2</v>
      </c>
      <c r="AM92" s="498">
        <f>+(AM93+AM94+AM95+AM96+AM97+AM98)</f>
        <v>0.34224696772547941</v>
      </c>
      <c r="AN92" s="498">
        <f>+(AN93+AN94+AN95+AN96+AN97+AN98)</f>
        <v>0.41792820200213243</v>
      </c>
      <c r="AO92" s="596"/>
      <c r="AP92" s="400"/>
      <c r="AQ92" s="400"/>
      <c r="AR92" s="400"/>
      <c r="AS92" s="400"/>
      <c r="AT92" s="400"/>
      <c r="AU92" s="196"/>
      <c r="AV92" s="196"/>
    </row>
    <row r="93" spans="1:48" ht="151.94999999999999" customHeight="1" thickBot="1" x14ac:dyDescent="0.4">
      <c r="A93" s="264"/>
      <c r="B93" s="1430" t="s">
        <v>160</v>
      </c>
      <c r="C93" s="1430" t="s">
        <v>161</v>
      </c>
      <c r="D93" s="402" t="s">
        <v>162</v>
      </c>
      <c r="E93" s="310">
        <v>0.4</v>
      </c>
      <c r="F93" s="428">
        <v>2718220</v>
      </c>
      <c r="G93" s="429">
        <v>679555</v>
      </c>
      <c r="H93" s="429">
        <v>679555</v>
      </c>
      <c r="I93" s="430">
        <v>679555</v>
      </c>
      <c r="J93" s="431">
        <f>+G93/F93</f>
        <v>0.25</v>
      </c>
      <c r="K93" s="447">
        <f t="shared" ref="K93:K101" si="80">+H93/F93</f>
        <v>0.25</v>
      </c>
      <c r="L93" s="507">
        <f t="shared" ref="L93:L123" si="81">+I93/F93</f>
        <v>0.25</v>
      </c>
      <c r="M93" s="434">
        <f>+(G93/F93)*E93</f>
        <v>0.1</v>
      </c>
      <c r="N93" s="434">
        <f t="shared" ref="N93:N124" si="82">+(H93/F93)*E93</f>
        <v>0.1</v>
      </c>
      <c r="O93" s="434"/>
      <c r="P93" s="429">
        <v>699118</v>
      </c>
      <c r="Q93" s="562"/>
      <c r="R93" s="484">
        <v>702671</v>
      </c>
      <c r="S93" s="484">
        <v>701127</v>
      </c>
      <c r="T93" s="484">
        <v>697927</v>
      </c>
      <c r="U93" s="484">
        <v>700269</v>
      </c>
      <c r="V93" s="430">
        <f>+Q93+R93+S93+T93+U93</f>
        <v>2801994</v>
      </c>
      <c r="W93" s="430">
        <f>+V93+P93+AB93</f>
        <v>4208536</v>
      </c>
      <c r="X93" s="484">
        <v>707424</v>
      </c>
      <c r="Y93" s="430"/>
      <c r="Z93" s="430"/>
      <c r="AA93" s="430"/>
      <c r="AB93" s="430">
        <f t="shared" ref="AB93:AB129" si="83">+X93+Y93+Z93+AA93</f>
        <v>707424</v>
      </c>
      <c r="AC93" s="478">
        <v>1</v>
      </c>
      <c r="AD93" s="783">
        <v>1</v>
      </c>
      <c r="AE93" s="783">
        <f>+(AB93/I93)*0.25</f>
        <v>0.26025266534717573</v>
      </c>
      <c r="AF93" s="478">
        <f>+AC93*E93</f>
        <v>0.4</v>
      </c>
      <c r="AG93" s="502">
        <f>+AD93*E93</f>
        <v>0.4</v>
      </c>
      <c r="AH93" s="509">
        <f t="shared" ref="AH93:AH127" si="84">+AE93*E93</f>
        <v>0.1041010661388703</v>
      </c>
      <c r="AI93" s="502">
        <f>+P93/F93</f>
        <v>0.25719698920617168</v>
      </c>
      <c r="AJ93" s="503">
        <v>0.50719698920617162</v>
      </c>
      <c r="AK93" s="503">
        <f>+AJ93+(AE93*0.25)</f>
        <v>0.57226015554296561</v>
      </c>
      <c r="AL93" s="502">
        <f>+AI93*E93</f>
        <v>0.10287879568246867</v>
      </c>
      <c r="AM93" s="503">
        <f>+AJ93*E93</f>
        <v>0.20287879568246867</v>
      </c>
      <c r="AN93" s="1166">
        <f>+AK93*E93</f>
        <v>0.22890406221718626</v>
      </c>
      <c r="AO93" s="597" t="s">
        <v>1850</v>
      </c>
      <c r="AP93" s="571" t="s">
        <v>1890</v>
      </c>
      <c r="AQ93" s="680" t="s">
        <v>2264</v>
      </c>
      <c r="AR93" s="680" t="s">
        <v>2286</v>
      </c>
      <c r="AS93" s="680" t="s">
        <v>2401</v>
      </c>
      <c r="AT93" s="680" t="s">
        <v>2434</v>
      </c>
      <c r="AU93" s="680" t="s">
        <v>2487</v>
      </c>
      <c r="AV93" s="680" t="s">
        <v>1893</v>
      </c>
    </row>
    <row r="94" spans="1:48" ht="93" customHeight="1" thickBot="1" x14ac:dyDescent="0.4">
      <c r="A94" s="264"/>
      <c r="B94" s="1430" t="s">
        <v>163</v>
      </c>
      <c r="C94" s="1430" t="s">
        <v>164</v>
      </c>
      <c r="D94" s="402" t="s">
        <v>162</v>
      </c>
      <c r="E94" s="310">
        <v>0.1</v>
      </c>
      <c r="F94" s="428">
        <v>20000</v>
      </c>
      <c r="G94" s="429">
        <v>5000</v>
      </c>
      <c r="H94" s="429">
        <v>5000</v>
      </c>
      <c r="I94" s="430">
        <v>5000</v>
      </c>
      <c r="J94" s="431">
        <f>+G94/F94</f>
        <v>0.25</v>
      </c>
      <c r="K94" s="447">
        <f t="shared" si="80"/>
        <v>0.25</v>
      </c>
      <c r="L94" s="448">
        <f t="shared" si="81"/>
        <v>0.25</v>
      </c>
      <c r="M94" s="434">
        <f>+(G94/F94)*E94</f>
        <v>2.5000000000000001E-2</v>
      </c>
      <c r="N94" s="434">
        <f t="shared" si="82"/>
        <v>2.5000000000000001E-2</v>
      </c>
      <c r="O94" s="434"/>
      <c r="P94" s="429">
        <v>6376</v>
      </c>
      <c r="Q94" s="562">
        <v>1509</v>
      </c>
      <c r="R94" s="484">
        <v>1044</v>
      </c>
      <c r="S94" s="484">
        <v>667</v>
      </c>
      <c r="T94" s="484">
        <v>374</v>
      </c>
      <c r="U94" s="484">
        <f>1741-T94</f>
        <v>1367</v>
      </c>
      <c r="V94" s="430">
        <f t="shared" ref="V94:V98" si="85">+Q94+R94+S94+T94+U94</f>
        <v>4961</v>
      </c>
      <c r="W94" s="430">
        <f t="shared" ref="W94:W97" si="86">+V94+P94+AB94</f>
        <v>13119</v>
      </c>
      <c r="X94" s="484">
        <v>1782</v>
      </c>
      <c r="Y94" s="430"/>
      <c r="Z94" s="430"/>
      <c r="AA94" s="430"/>
      <c r="AB94" s="430">
        <f t="shared" si="83"/>
        <v>1782</v>
      </c>
      <c r="AC94" s="478">
        <v>1</v>
      </c>
      <c r="AD94" s="783">
        <f>+V94/H94</f>
        <v>0.99219999999999997</v>
      </c>
      <c r="AE94" s="783">
        <f t="shared" ref="AE94:AE98" si="87">+AB94/I94</f>
        <v>0.35639999999999999</v>
      </c>
      <c r="AF94" s="478">
        <f>+AC94*E94</f>
        <v>0.1</v>
      </c>
      <c r="AG94" s="502">
        <f t="shared" ref="AG94:AG97" si="88">+AD94*E94</f>
        <v>9.9220000000000003E-2</v>
      </c>
      <c r="AH94" s="503">
        <f>+AE94*E94</f>
        <v>3.5639999999999998E-2</v>
      </c>
      <c r="AI94" s="502">
        <f>+P94/F94</f>
        <v>0.31879999999999997</v>
      </c>
      <c r="AJ94" s="503">
        <v>0.56684999999999997</v>
      </c>
      <c r="AK94" s="503">
        <f t="shared" ref="AK94:AK101" si="89">+W94/F94</f>
        <v>0.65595000000000003</v>
      </c>
      <c r="AL94" s="502">
        <f>+AI94*E94</f>
        <v>3.1879999999999999E-2</v>
      </c>
      <c r="AM94" s="503">
        <f>+AJ94*E94</f>
        <v>5.6684999999999999E-2</v>
      </c>
      <c r="AN94" s="1426">
        <f t="shared" ref="AN94:AN129" si="90">+AK94*E94</f>
        <v>6.5595000000000001E-2</v>
      </c>
      <c r="AO94" s="597" t="s">
        <v>1850</v>
      </c>
      <c r="AP94" s="571" t="s">
        <v>1890</v>
      </c>
      <c r="AQ94" s="680" t="s">
        <v>2264</v>
      </c>
      <c r="AR94" s="680" t="s">
        <v>2286</v>
      </c>
      <c r="AS94" s="680" t="s">
        <v>2401</v>
      </c>
      <c r="AT94" s="680" t="s">
        <v>2434</v>
      </c>
      <c r="AU94" s="680" t="s">
        <v>2487</v>
      </c>
      <c r="AV94" s="680" t="s">
        <v>1893</v>
      </c>
    </row>
    <row r="95" spans="1:48" ht="73.2" customHeight="1" thickBot="1" x14ac:dyDescent="0.4">
      <c r="A95" s="264"/>
      <c r="B95" s="1427" t="s">
        <v>165</v>
      </c>
      <c r="C95" s="1427" t="s">
        <v>166</v>
      </c>
      <c r="D95" s="402" t="s">
        <v>162</v>
      </c>
      <c r="E95" s="310">
        <v>0.05</v>
      </c>
      <c r="F95" s="428">
        <v>568</v>
      </c>
      <c r="G95" s="429">
        <v>142</v>
      </c>
      <c r="H95" s="429">
        <v>142</v>
      </c>
      <c r="I95" s="430">
        <v>142</v>
      </c>
      <c r="J95" s="431">
        <f>+G95/F95</f>
        <v>0.25</v>
      </c>
      <c r="K95" s="447">
        <f t="shared" si="80"/>
        <v>0.25</v>
      </c>
      <c r="L95" s="448">
        <f>+I95/F95</f>
        <v>0.25</v>
      </c>
      <c r="M95" s="434">
        <f>+(G95/F95)*E95</f>
        <v>1.2500000000000001E-2</v>
      </c>
      <c r="N95" s="434">
        <f t="shared" si="82"/>
        <v>1.2500000000000001E-2</v>
      </c>
      <c r="O95" s="434"/>
      <c r="P95" s="429">
        <v>142</v>
      </c>
      <c r="Q95" s="562"/>
      <c r="R95" s="484">
        <v>142</v>
      </c>
      <c r="S95" s="484">
        <v>0</v>
      </c>
      <c r="T95" s="484">
        <v>0</v>
      </c>
      <c r="U95" s="484">
        <v>0</v>
      </c>
      <c r="V95" s="430">
        <f>+Q95+R95+S95+T95+U95</f>
        <v>142</v>
      </c>
      <c r="W95" s="430">
        <f t="shared" si="86"/>
        <v>426</v>
      </c>
      <c r="X95" s="484">
        <v>142</v>
      </c>
      <c r="Y95" s="430"/>
      <c r="Z95" s="430"/>
      <c r="AA95" s="430"/>
      <c r="AB95" s="430">
        <f>+X95+Y95+Z95+AA95</f>
        <v>142</v>
      </c>
      <c r="AC95" s="478">
        <f>+(P95/G95)</f>
        <v>1</v>
      </c>
      <c r="AD95" s="783">
        <v>1</v>
      </c>
      <c r="AE95" s="783">
        <f>+AB95/I95*0.25</f>
        <v>0.25</v>
      </c>
      <c r="AF95" s="478">
        <f>+AC95*E95</f>
        <v>0.05</v>
      </c>
      <c r="AG95" s="502">
        <f t="shared" si="88"/>
        <v>0.05</v>
      </c>
      <c r="AH95" s="503">
        <f t="shared" si="84"/>
        <v>1.2500000000000001E-2</v>
      </c>
      <c r="AI95" s="502">
        <f>+P95/F95</f>
        <v>0.25</v>
      </c>
      <c r="AJ95" s="503">
        <v>0.49990000000000001</v>
      </c>
      <c r="AK95" s="503">
        <f>+AJ95+(AE95*0.25)</f>
        <v>0.56240000000000001</v>
      </c>
      <c r="AL95" s="502">
        <f>+AI95*E95</f>
        <v>1.2500000000000001E-2</v>
      </c>
      <c r="AM95" s="503">
        <f>+AJ95*E95</f>
        <v>2.4995000000000003E-2</v>
      </c>
      <c r="AN95" s="1426">
        <f t="shared" si="90"/>
        <v>2.8120000000000003E-2</v>
      </c>
      <c r="AO95" s="597" t="s">
        <v>1850</v>
      </c>
      <c r="AP95" s="571" t="s">
        <v>1890</v>
      </c>
      <c r="AQ95" s="680" t="s">
        <v>2264</v>
      </c>
      <c r="AR95" s="680" t="s">
        <v>2286</v>
      </c>
      <c r="AS95" s="680" t="s">
        <v>2401</v>
      </c>
      <c r="AT95" s="680" t="s">
        <v>2434</v>
      </c>
      <c r="AU95" s="680" t="s">
        <v>2487</v>
      </c>
      <c r="AV95" s="680" t="s">
        <v>1893</v>
      </c>
    </row>
    <row r="96" spans="1:48" ht="70.2" customHeight="1" thickBot="1" x14ac:dyDescent="0.4">
      <c r="A96" s="264"/>
      <c r="B96" s="1430" t="s">
        <v>167</v>
      </c>
      <c r="C96" s="1430" t="s">
        <v>168</v>
      </c>
      <c r="D96" s="402" t="s">
        <v>162</v>
      </c>
      <c r="E96" s="310">
        <v>0.05</v>
      </c>
      <c r="F96" s="428">
        <v>248</v>
      </c>
      <c r="G96" s="429">
        <v>62</v>
      </c>
      <c r="H96" s="429">
        <v>62</v>
      </c>
      <c r="I96" s="430">
        <v>62</v>
      </c>
      <c r="J96" s="431">
        <f>+G96/F96</f>
        <v>0.25</v>
      </c>
      <c r="K96" s="447">
        <f t="shared" si="80"/>
        <v>0.25</v>
      </c>
      <c r="L96" s="448">
        <f t="shared" si="81"/>
        <v>0.25</v>
      </c>
      <c r="M96" s="434">
        <f>+(G96/F96)*E96</f>
        <v>1.2500000000000001E-2</v>
      </c>
      <c r="N96" s="434">
        <f t="shared" si="82"/>
        <v>1.2500000000000001E-2</v>
      </c>
      <c r="O96" s="434"/>
      <c r="P96" s="429">
        <v>50</v>
      </c>
      <c r="Q96" s="562">
        <v>31</v>
      </c>
      <c r="R96" s="484">
        <v>13</v>
      </c>
      <c r="S96" s="484">
        <v>14</v>
      </c>
      <c r="T96" s="484">
        <v>0</v>
      </c>
      <c r="U96" s="484">
        <v>50</v>
      </c>
      <c r="V96" s="430">
        <f t="shared" si="85"/>
        <v>108</v>
      </c>
      <c r="W96" s="430">
        <f t="shared" si="86"/>
        <v>210</v>
      </c>
      <c r="X96" s="484">
        <v>52</v>
      </c>
      <c r="Y96" s="430"/>
      <c r="Z96" s="430"/>
      <c r="AA96" s="430"/>
      <c r="AB96" s="430">
        <f t="shared" si="83"/>
        <v>52</v>
      </c>
      <c r="AC96" s="478">
        <f>+(P96/G96)</f>
        <v>0.80645161290322576</v>
      </c>
      <c r="AD96" s="464">
        <v>1</v>
      </c>
      <c r="AE96" s="783">
        <f>+AB96/I96*0.25</f>
        <v>0.20967741935483872</v>
      </c>
      <c r="AF96" s="478">
        <f>+AC96*E96</f>
        <v>4.0322580645161289E-2</v>
      </c>
      <c r="AG96" s="502">
        <f t="shared" si="88"/>
        <v>0.05</v>
      </c>
      <c r="AH96" s="503">
        <f t="shared" si="84"/>
        <v>1.0483870967741936E-2</v>
      </c>
      <c r="AI96" s="502">
        <f>+P96/F96</f>
        <v>0.20161290322580644</v>
      </c>
      <c r="AJ96" s="503">
        <v>0.63709677419354838</v>
      </c>
      <c r="AK96" s="503">
        <f>+AJ96+(AE96*0.25)</f>
        <v>0.68951612903225801</v>
      </c>
      <c r="AL96" s="502">
        <f>+AI96*E96</f>
        <v>1.0080645161290322E-2</v>
      </c>
      <c r="AM96" s="503">
        <f>+AJ96*E96</f>
        <v>3.1854838709677417E-2</v>
      </c>
      <c r="AN96" s="1426">
        <f t="shared" si="90"/>
        <v>3.4475806451612905E-2</v>
      </c>
      <c r="AO96" s="597" t="s">
        <v>1850</v>
      </c>
      <c r="AP96" s="677" t="s">
        <v>1891</v>
      </c>
      <c r="AQ96" s="680" t="s">
        <v>2264</v>
      </c>
      <c r="AR96" s="680" t="s">
        <v>2286</v>
      </c>
      <c r="AS96" s="680" t="s">
        <v>2401</v>
      </c>
      <c r="AT96" s="680" t="s">
        <v>2434</v>
      </c>
      <c r="AU96" s="680" t="s">
        <v>2487</v>
      </c>
      <c r="AV96" s="680" t="s">
        <v>1893</v>
      </c>
    </row>
    <row r="97" spans="1:48" ht="177" customHeight="1" thickBot="1" x14ac:dyDescent="0.4">
      <c r="A97" s="264"/>
      <c r="B97" s="1430" t="s">
        <v>169</v>
      </c>
      <c r="C97" s="1430" t="s">
        <v>170</v>
      </c>
      <c r="D97" s="402" t="s">
        <v>162</v>
      </c>
      <c r="E97" s="310">
        <v>0.05</v>
      </c>
      <c r="F97" s="428">
        <v>60</v>
      </c>
      <c r="G97" s="429">
        <v>15</v>
      </c>
      <c r="H97" s="429">
        <v>15</v>
      </c>
      <c r="I97" s="430">
        <v>15</v>
      </c>
      <c r="J97" s="431">
        <f>+G97/F97</f>
        <v>0.25</v>
      </c>
      <c r="K97" s="447">
        <f t="shared" si="80"/>
        <v>0.25</v>
      </c>
      <c r="L97" s="448">
        <f t="shared" si="81"/>
        <v>0.25</v>
      </c>
      <c r="M97" s="434">
        <f>+(G97/F97)*E97</f>
        <v>1.2500000000000001E-2</v>
      </c>
      <c r="N97" s="434">
        <f t="shared" si="82"/>
        <v>1.2500000000000001E-2</v>
      </c>
      <c r="O97" s="434"/>
      <c r="P97" s="429">
        <v>15</v>
      </c>
      <c r="Q97" s="562">
        <v>0</v>
      </c>
      <c r="R97" s="484">
        <v>8</v>
      </c>
      <c r="S97" s="484">
        <v>8</v>
      </c>
      <c r="T97" s="484">
        <v>0</v>
      </c>
      <c r="U97" s="484">
        <v>0</v>
      </c>
      <c r="V97" s="430">
        <f>+Q97+R97+S97+T97+U97</f>
        <v>16</v>
      </c>
      <c r="W97" s="430">
        <f t="shared" si="86"/>
        <v>31</v>
      </c>
      <c r="X97" s="484">
        <v>0</v>
      </c>
      <c r="Y97" s="430"/>
      <c r="Z97" s="430"/>
      <c r="AA97" s="430"/>
      <c r="AB97" s="430">
        <f t="shared" si="83"/>
        <v>0</v>
      </c>
      <c r="AC97" s="478">
        <f>+(P97/G97)</f>
        <v>1</v>
      </c>
      <c r="AD97" s="464">
        <v>1</v>
      </c>
      <c r="AE97" s="783">
        <f t="shared" si="87"/>
        <v>0</v>
      </c>
      <c r="AF97" s="478">
        <f>+AC97*E97</f>
        <v>0.05</v>
      </c>
      <c r="AG97" s="502">
        <f t="shared" si="88"/>
        <v>0.05</v>
      </c>
      <c r="AH97" s="504">
        <f t="shared" si="84"/>
        <v>0</v>
      </c>
      <c r="AI97" s="502">
        <f>+P97/F97</f>
        <v>0.25</v>
      </c>
      <c r="AJ97" s="503">
        <v>0.51666666666666672</v>
      </c>
      <c r="AK97" s="503">
        <f t="shared" si="89"/>
        <v>0.51666666666666672</v>
      </c>
      <c r="AL97" s="502">
        <f>+AI97*E97</f>
        <v>1.2500000000000001E-2</v>
      </c>
      <c r="AM97" s="503">
        <f>+AJ97*E97</f>
        <v>2.5833333333333337E-2</v>
      </c>
      <c r="AN97" s="1426">
        <f t="shared" si="90"/>
        <v>2.5833333333333337E-2</v>
      </c>
      <c r="AO97" s="597" t="s">
        <v>1850</v>
      </c>
      <c r="AP97" s="680" t="s">
        <v>1891</v>
      </c>
      <c r="AQ97" s="680" t="s">
        <v>2264</v>
      </c>
      <c r="AR97" s="680" t="s">
        <v>2286</v>
      </c>
      <c r="AS97" s="680" t="s">
        <v>2401</v>
      </c>
      <c r="AT97" s="680" t="s">
        <v>2434</v>
      </c>
      <c r="AU97" s="680" t="s">
        <v>2487</v>
      </c>
      <c r="AV97" s="680" t="s">
        <v>1893</v>
      </c>
    </row>
    <row r="98" spans="1:48" ht="90.6" customHeight="1" thickBot="1" x14ac:dyDescent="0.4">
      <c r="A98" s="264"/>
      <c r="B98" s="1430" t="s">
        <v>171</v>
      </c>
      <c r="C98" s="1430" t="s">
        <v>172</v>
      </c>
      <c r="D98" s="402" t="s">
        <v>173</v>
      </c>
      <c r="E98" s="310">
        <v>0.35</v>
      </c>
      <c r="F98" s="428">
        <v>2</v>
      </c>
      <c r="G98" s="429">
        <v>0</v>
      </c>
      <c r="H98" s="429">
        <v>1</v>
      </c>
      <c r="I98" s="430">
        <v>1</v>
      </c>
      <c r="J98" s="431"/>
      <c r="K98" s="447">
        <f t="shared" si="80"/>
        <v>0.5</v>
      </c>
      <c r="L98" s="508">
        <f t="shared" si="81"/>
        <v>0.5</v>
      </c>
      <c r="M98" s="434"/>
      <c r="N98" s="434">
        <f t="shared" si="82"/>
        <v>0.17499999999999999</v>
      </c>
      <c r="O98" s="434"/>
      <c r="P98" s="429"/>
      <c r="Q98" s="562">
        <v>0</v>
      </c>
      <c r="R98" s="484"/>
      <c r="S98" s="484">
        <v>0</v>
      </c>
      <c r="T98" s="484">
        <v>0.2</v>
      </c>
      <c r="U98" s="484">
        <v>0</v>
      </c>
      <c r="V98" s="430">
        <f t="shared" si="85"/>
        <v>0.2</v>
      </c>
      <c r="W98" s="430">
        <f>+V98+P98+AB98</f>
        <v>0.2</v>
      </c>
      <c r="X98" s="484">
        <v>0</v>
      </c>
      <c r="Y98" s="430"/>
      <c r="Z98" s="430"/>
      <c r="AA98" s="430"/>
      <c r="AB98" s="430">
        <f t="shared" si="83"/>
        <v>0</v>
      </c>
      <c r="AC98" s="478"/>
      <c r="AD98" s="464">
        <f t="shared" ref="AD98" si="91">+V98/H98</f>
        <v>0.2</v>
      </c>
      <c r="AE98" s="783">
        <f t="shared" si="87"/>
        <v>0</v>
      </c>
      <c r="AF98" s="478"/>
      <c r="AG98" s="502">
        <f>+AD98*E98</f>
        <v>6.9999999999999993E-2</v>
      </c>
      <c r="AH98" s="1426">
        <f t="shared" si="84"/>
        <v>0</v>
      </c>
      <c r="AI98" s="782">
        <v>0</v>
      </c>
      <c r="AJ98" s="504">
        <v>0.1</v>
      </c>
      <c r="AK98" s="503">
        <f t="shared" si="89"/>
        <v>0.1</v>
      </c>
      <c r="AL98" s="502">
        <v>0</v>
      </c>
      <c r="AM98" s="503">
        <v>0</v>
      </c>
      <c r="AN98" s="1426">
        <f t="shared" si="90"/>
        <v>3.4999999999999996E-2</v>
      </c>
      <c r="AO98" s="597" t="s">
        <v>1850</v>
      </c>
      <c r="AP98" s="678" t="s">
        <v>1891</v>
      </c>
      <c r="AQ98" s="680" t="s">
        <v>2264</v>
      </c>
      <c r="AR98" s="680" t="s">
        <v>2286</v>
      </c>
      <c r="AS98" s="680" t="s">
        <v>2401</v>
      </c>
      <c r="AT98" s="680" t="s">
        <v>2434</v>
      </c>
      <c r="AU98" s="680" t="s">
        <v>2487</v>
      </c>
      <c r="AV98" s="680" t="s">
        <v>1893</v>
      </c>
    </row>
    <row r="99" spans="1:48" ht="42.75" customHeight="1" thickBot="1" x14ac:dyDescent="0.45">
      <c r="A99" s="264"/>
      <c r="B99" s="1535" t="s">
        <v>1607</v>
      </c>
      <c r="C99" s="1534"/>
      <c r="D99" s="401"/>
      <c r="E99" s="424">
        <v>0.1</v>
      </c>
      <c r="F99" s="427"/>
      <c r="G99" s="470"/>
      <c r="H99" s="470"/>
      <c r="I99" s="470"/>
      <c r="J99" s="426">
        <f>+AVERAGE(J100:J101)</f>
        <v>0.17499999999999999</v>
      </c>
      <c r="K99" s="446">
        <f>+AVERAGE(K100:K101)</f>
        <v>0.27500000000000002</v>
      </c>
      <c r="L99" s="506">
        <f>+AVERAGE(L100:L101)</f>
        <v>0.27500000000000002</v>
      </c>
      <c r="M99" s="426">
        <f>+M100+M101</f>
        <v>0.19</v>
      </c>
      <c r="N99" s="426">
        <f>+N100+N101</f>
        <v>0.27</v>
      </c>
      <c r="O99" s="426"/>
      <c r="P99" s="427"/>
      <c r="Q99" s="433"/>
      <c r="R99" s="433"/>
      <c r="S99" s="433"/>
      <c r="T99" s="433"/>
      <c r="U99" s="981"/>
      <c r="V99" s="433"/>
      <c r="W99" s="433"/>
      <c r="X99" s="430"/>
      <c r="Y99" s="430"/>
      <c r="Z99" s="430"/>
      <c r="AA99" s="430"/>
      <c r="AB99" s="430"/>
      <c r="AC99" s="486">
        <f>+AVERAGE(AC100:AC101)</f>
        <v>1</v>
      </c>
      <c r="AD99" s="486">
        <f>+AVERAGE(AD100:AD101)</f>
        <v>1</v>
      </c>
      <c r="AE99" s="486">
        <f>+AVERAGE(AE100:AE101)</f>
        <v>0.14946666666666666</v>
      </c>
      <c r="AF99" s="486">
        <f>+(AF100+AF101)*E99</f>
        <v>0.1</v>
      </c>
      <c r="AG99" s="505">
        <f>+(AG100+AG101)*E99</f>
        <v>0.1</v>
      </c>
      <c r="AH99" s="1033">
        <f>+(AH100+AH101)*E99</f>
        <v>1.7936000000000001E-2</v>
      </c>
      <c r="AI99" s="1028">
        <f>+AVERAGE(AI100:AI101)</f>
        <v>0.19831666666666667</v>
      </c>
      <c r="AJ99" s="506">
        <v>0.50011666666666665</v>
      </c>
      <c r="AK99" s="506">
        <f>+AVERAGE(AK100:AK101)</f>
        <v>0.53748333333333331</v>
      </c>
      <c r="AL99" s="446">
        <f>+(AL100+AL101)*E99</f>
        <v>2.1048000000000001E-2</v>
      </c>
      <c r="AM99" s="498">
        <f>+(AM100+AM101)</f>
        <v>0.50266000000000011</v>
      </c>
      <c r="AN99" s="498">
        <f>+(AN100+AN101)</f>
        <v>0.5475000000000001</v>
      </c>
      <c r="AO99" s="172"/>
      <c r="AP99" s="400"/>
      <c r="AQ99" s="777"/>
      <c r="AR99" s="400"/>
      <c r="AS99" s="400"/>
      <c r="AT99" s="400"/>
      <c r="AU99" s="196"/>
      <c r="AV99" s="196"/>
    </row>
    <row r="100" spans="1:48" ht="123" customHeight="1" thickBot="1" x14ac:dyDescent="0.4">
      <c r="A100" s="264"/>
      <c r="B100" s="1430" t="s">
        <v>174</v>
      </c>
      <c r="C100" s="1430" t="s">
        <v>175</v>
      </c>
      <c r="D100" s="402" t="s">
        <v>162</v>
      </c>
      <c r="E100" s="310">
        <v>0.4</v>
      </c>
      <c r="F100" s="563">
        <v>10000</v>
      </c>
      <c r="G100" s="471">
        <v>1000</v>
      </c>
      <c r="H100" s="565">
        <v>3000</v>
      </c>
      <c r="I100" s="489">
        <v>3000</v>
      </c>
      <c r="J100" s="431">
        <f>+G100/F100</f>
        <v>0.1</v>
      </c>
      <c r="K100" s="447">
        <f t="shared" si="80"/>
        <v>0.3</v>
      </c>
      <c r="L100" s="507">
        <f t="shared" si="81"/>
        <v>0.3</v>
      </c>
      <c r="M100" s="434">
        <f>+(G100/F100)*E100</f>
        <v>4.0000000000000008E-2</v>
      </c>
      <c r="N100" s="434">
        <f t="shared" si="82"/>
        <v>0.12</v>
      </c>
      <c r="O100" s="434"/>
      <c r="P100" s="429">
        <v>1375</v>
      </c>
      <c r="Q100" s="562">
        <v>0</v>
      </c>
      <c r="R100" s="484">
        <v>0</v>
      </c>
      <c r="S100" s="484">
        <v>2101</v>
      </c>
      <c r="T100" s="484">
        <v>777</v>
      </c>
      <c r="U100" s="484">
        <v>621</v>
      </c>
      <c r="V100" s="430">
        <f>+Q100+R100+S100+T100+U100</f>
        <v>3499</v>
      </c>
      <c r="W100" s="430">
        <f>+V100+P100+AB100</f>
        <v>4874</v>
      </c>
      <c r="X100" s="484">
        <v>0</v>
      </c>
      <c r="Y100" s="430"/>
      <c r="Z100" s="430"/>
      <c r="AA100" s="430"/>
      <c r="AB100" s="430">
        <f t="shared" si="83"/>
        <v>0</v>
      </c>
      <c r="AC100" s="478">
        <v>1</v>
      </c>
      <c r="AD100" s="464">
        <v>1</v>
      </c>
      <c r="AE100" s="464">
        <f t="shared" ref="AE100:AE127" si="92">+AB100/I100</f>
        <v>0</v>
      </c>
      <c r="AF100" s="478">
        <f>+AC100*E100</f>
        <v>0.4</v>
      </c>
      <c r="AG100" s="502">
        <f>+AD100*E100</f>
        <v>0.4</v>
      </c>
      <c r="AH100" s="1426">
        <f t="shared" si="84"/>
        <v>0</v>
      </c>
      <c r="AI100" s="855">
        <f>+P100/F100</f>
        <v>0.13750000000000001</v>
      </c>
      <c r="AJ100" s="509">
        <v>0.4874</v>
      </c>
      <c r="AK100" s="509">
        <f t="shared" si="89"/>
        <v>0.4874</v>
      </c>
      <c r="AL100" s="502">
        <f>+AI100*E100</f>
        <v>5.5000000000000007E-2</v>
      </c>
      <c r="AM100" s="503">
        <f>+AJ100*E100</f>
        <v>0.19496000000000002</v>
      </c>
      <c r="AN100" s="1426">
        <f t="shared" si="90"/>
        <v>0.19496000000000002</v>
      </c>
      <c r="AO100" s="179" t="s">
        <v>1850</v>
      </c>
      <c r="AP100" s="585" t="s">
        <v>1891</v>
      </c>
      <c r="AQ100" s="680" t="s">
        <v>2264</v>
      </c>
      <c r="AR100" s="680" t="s">
        <v>2286</v>
      </c>
      <c r="AS100" s="680" t="s">
        <v>2401</v>
      </c>
      <c r="AT100" s="680" t="s">
        <v>2434</v>
      </c>
      <c r="AU100" s="680" t="s">
        <v>2487</v>
      </c>
      <c r="AV100" s="680" t="s">
        <v>1893</v>
      </c>
    </row>
    <row r="101" spans="1:48" ht="178.2" customHeight="1" thickBot="1" x14ac:dyDescent="0.4">
      <c r="A101" s="264"/>
      <c r="B101" s="1430" t="s">
        <v>176</v>
      </c>
      <c r="C101" s="1430" t="s">
        <v>177</v>
      </c>
      <c r="D101" s="402" t="s">
        <v>162</v>
      </c>
      <c r="E101" s="310">
        <v>0.6</v>
      </c>
      <c r="F101" s="428">
        <v>30000</v>
      </c>
      <c r="G101" s="564">
        <v>7500</v>
      </c>
      <c r="H101" s="1061">
        <v>7500</v>
      </c>
      <c r="I101" s="489">
        <v>7500</v>
      </c>
      <c r="J101" s="431">
        <f>+G101/F101</f>
        <v>0.25</v>
      </c>
      <c r="K101" s="447">
        <f t="shared" si="80"/>
        <v>0.25</v>
      </c>
      <c r="L101" s="508">
        <f>+I101/F101</f>
        <v>0.25</v>
      </c>
      <c r="M101" s="434">
        <f>+(G101/F101)*E101</f>
        <v>0.15</v>
      </c>
      <c r="N101" s="434">
        <f t="shared" si="82"/>
        <v>0.15</v>
      </c>
      <c r="O101" s="434"/>
      <c r="P101" s="429">
        <v>7774</v>
      </c>
      <c r="Q101" s="562">
        <v>934</v>
      </c>
      <c r="R101" s="484">
        <v>823</v>
      </c>
      <c r="S101" s="484">
        <v>3251</v>
      </c>
      <c r="T101" s="484">
        <v>2117</v>
      </c>
      <c r="U101" s="484">
        <v>486</v>
      </c>
      <c r="V101" s="430">
        <f>+Q101+R101+S101+T101+U101</f>
        <v>7611</v>
      </c>
      <c r="W101" s="430">
        <f>+V101+P101+AB101</f>
        <v>17627</v>
      </c>
      <c r="X101" s="484">
        <v>2242</v>
      </c>
      <c r="Y101" s="430"/>
      <c r="Z101" s="430"/>
      <c r="AA101" s="430"/>
      <c r="AB101" s="430">
        <f t="shared" si="83"/>
        <v>2242</v>
      </c>
      <c r="AC101" s="478">
        <v>1</v>
      </c>
      <c r="AD101" s="464">
        <v>1</v>
      </c>
      <c r="AE101" s="464">
        <f t="shared" si="92"/>
        <v>0.29893333333333333</v>
      </c>
      <c r="AF101" s="478">
        <f>+AC101*E101</f>
        <v>0.6</v>
      </c>
      <c r="AG101" s="502">
        <f>+AD101*E101</f>
        <v>0.6</v>
      </c>
      <c r="AH101" s="936">
        <f t="shared" si="84"/>
        <v>0.17935999999999999</v>
      </c>
      <c r="AI101" s="502">
        <f>+P101/F101</f>
        <v>0.25913333333333333</v>
      </c>
      <c r="AJ101" s="504">
        <v>0.51283333333333336</v>
      </c>
      <c r="AK101" s="504">
        <f t="shared" si="89"/>
        <v>0.58756666666666668</v>
      </c>
      <c r="AL101" s="502">
        <f>+AI101*E101</f>
        <v>0.15547999999999998</v>
      </c>
      <c r="AM101" s="503">
        <f>+AJ101*E101</f>
        <v>0.30770000000000003</v>
      </c>
      <c r="AN101" s="1426">
        <f>+AK101*E101</f>
        <v>0.35254000000000002</v>
      </c>
      <c r="AO101" s="179" t="s">
        <v>1850</v>
      </c>
      <c r="AP101" s="585" t="s">
        <v>1891</v>
      </c>
      <c r="AQ101" s="680" t="s">
        <v>2264</v>
      </c>
      <c r="AR101" s="680" t="s">
        <v>2286</v>
      </c>
      <c r="AS101" s="680" t="s">
        <v>2401</v>
      </c>
      <c r="AT101" s="680" t="s">
        <v>2434</v>
      </c>
      <c r="AU101" s="680" t="s">
        <v>2487</v>
      </c>
      <c r="AV101" s="680" t="s">
        <v>1893</v>
      </c>
    </row>
    <row r="102" spans="1:48" ht="110.4" customHeight="1" thickBot="1" x14ac:dyDescent="0.45">
      <c r="A102" s="264"/>
      <c r="B102" s="1535" t="s">
        <v>1608</v>
      </c>
      <c r="C102" s="1534"/>
      <c r="D102" s="402"/>
      <c r="E102" s="424">
        <v>0.1</v>
      </c>
      <c r="F102" s="427"/>
      <c r="G102" s="427"/>
      <c r="H102" s="1014"/>
      <c r="I102" s="1048"/>
      <c r="J102" s="426">
        <f>+AVERAGE(J103:J104)</f>
        <v>0.25</v>
      </c>
      <c r="K102" s="446">
        <f>+AVERAGE(K103:K104)</f>
        <v>0.625</v>
      </c>
      <c r="L102" s="506">
        <f>+AVERAGE(L103:L104)</f>
        <v>0.25</v>
      </c>
      <c r="M102" s="426">
        <f>+M103+M104</f>
        <v>0.05</v>
      </c>
      <c r="N102" s="426">
        <f>+N103+N104</f>
        <v>0.85000000000000009</v>
      </c>
      <c r="O102" s="426"/>
      <c r="P102" s="427"/>
      <c r="Q102" s="433"/>
      <c r="R102" s="433"/>
      <c r="S102" s="433"/>
      <c r="T102" s="433"/>
      <c r="U102" s="981"/>
      <c r="V102" s="433"/>
      <c r="W102" s="433"/>
      <c r="X102" s="430"/>
      <c r="Y102" s="430"/>
      <c r="Z102" s="430"/>
      <c r="AA102" s="430"/>
      <c r="AB102" s="430"/>
      <c r="AC102" s="486">
        <f>+AVERAGE(AC103:AC104)</f>
        <v>0.93103448275862066</v>
      </c>
      <c r="AD102" s="486">
        <f>+AVERAGE(AD103:AD104)</f>
        <v>0.625</v>
      </c>
      <c r="AE102" s="486">
        <f>+AVERAGE(AE103:AE104)</f>
        <v>0.27586206896551724</v>
      </c>
      <c r="AF102" s="486">
        <f>+(AF103+AF104)*E102</f>
        <v>1.8620689655172416E-2</v>
      </c>
      <c r="AG102" s="505">
        <f>+(AG103+AG104)*E102</f>
        <v>4.0000000000000008E-2</v>
      </c>
      <c r="AH102" s="1033">
        <f>+(AH103+AH104)*E102</f>
        <v>5.5172413793103453E-3</v>
      </c>
      <c r="AI102" s="446">
        <f>+AVERAGE(AI103:AI104)</f>
        <v>0.11637931034482758</v>
      </c>
      <c r="AJ102" s="506">
        <v>0.36637931034482762</v>
      </c>
      <c r="AK102" s="506">
        <f>+AVERAGE(AK103:AK104)</f>
        <v>0.40086206896551724</v>
      </c>
      <c r="AL102" s="446">
        <f>+(AL103+AL104)*E102</f>
        <v>4.6551724137931039E-3</v>
      </c>
      <c r="AM102" s="498">
        <f>+(AM103+AM104)</f>
        <v>9.6551724137931047E-2</v>
      </c>
      <c r="AN102" s="498">
        <f>+(AN103+AN104)</f>
        <v>0.31034482758620691</v>
      </c>
      <c r="AO102" s="172"/>
      <c r="AP102" s="400"/>
      <c r="AQ102" s="398"/>
      <c r="AR102" s="400"/>
      <c r="AS102" s="400"/>
      <c r="AT102" s="400"/>
      <c r="AU102" s="196"/>
      <c r="AV102" s="196"/>
    </row>
    <row r="103" spans="1:48" ht="167.4" customHeight="1" thickBot="1" x14ac:dyDescent="0.4">
      <c r="A103" s="264"/>
      <c r="B103" s="1430" t="s">
        <v>178</v>
      </c>
      <c r="C103" s="1430" t="s">
        <v>179</v>
      </c>
      <c r="D103" s="402" t="s">
        <v>162</v>
      </c>
      <c r="E103" s="310">
        <v>0.2</v>
      </c>
      <c r="F103" s="428">
        <v>116</v>
      </c>
      <c r="G103" s="429">
        <v>29</v>
      </c>
      <c r="H103" s="429">
        <v>29</v>
      </c>
      <c r="I103" s="468">
        <v>29</v>
      </c>
      <c r="J103" s="431">
        <f>+G103/F103</f>
        <v>0.25</v>
      </c>
      <c r="K103" s="447">
        <f>+H103/F103</f>
        <v>0.25</v>
      </c>
      <c r="L103" s="507">
        <f>+I103/F103</f>
        <v>0.25</v>
      </c>
      <c r="M103" s="473">
        <f>+(G103/F103)*E103</f>
        <v>0.05</v>
      </c>
      <c r="N103" s="473">
        <f>+(H103/F103)*E103</f>
        <v>0.05</v>
      </c>
      <c r="O103" s="473"/>
      <c r="P103" s="429">
        <v>27</v>
      </c>
      <c r="Q103" s="488">
        <v>10</v>
      </c>
      <c r="R103" s="484">
        <v>17</v>
      </c>
      <c r="S103" s="484">
        <v>2</v>
      </c>
      <c r="T103" s="484">
        <v>0</v>
      </c>
      <c r="U103" s="484">
        <v>0</v>
      </c>
      <c r="V103" s="430">
        <f>+Q103+R103+S103+T103+U103</f>
        <v>29</v>
      </c>
      <c r="W103" s="430">
        <f>+V103+P103+AB103</f>
        <v>64</v>
      </c>
      <c r="X103" s="484">
        <v>8</v>
      </c>
      <c r="Y103" s="430"/>
      <c r="Z103" s="430"/>
      <c r="AA103" s="430"/>
      <c r="AB103" s="430">
        <f t="shared" si="83"/>
        <v>8</v>
      </c>
      <c r="AC103" s="478">
        <f>+(P103/G103)</f>
        <v>0.93103448275862066</v>
      </c>
      <c r="AD103" s="464">
        <v>1</v>
      </c>
      <c r="AE103" s="464">
        <f t="shared" si="92"/>
        <v>0.27586206896551724</v>
      </c>
      <c r="AF103" s="478">
        <f>+AC103*E103</f>
        <v>0.18620689655172415</v>
      </c>
      <c r="AG103" s="502">
        <f t="shared" ref="AG103" si="93">+AD103*E103</f>
        <v>0.2</v>
      </c>
      <c r="AH103" s="509">
        <f t="shared" si="84"/>
        <v>5.5172413793103448E-2</v>
      </c>
      <c r="AI103" s="502">
        <f>+P103/F103</f>
        <v>0.23275862068965517</v>
      </c>
      <c r="AJ103" s="509">
        <v>0.48275862068965519</v>
      </c>
      <c r="AK103" s="1426">
        <f t="shared" ref="AK103:AK129" si="94">+W103/F103</f>
        <v>0.55172413793103448</v>
      </c>
      <c r="AL103" s="502">
        <f>+AI103*E103</f>
        <v>4.6551724137931037E-2</v>
      </c>
      <c r="AM103" s="503">
        <f>+AJ103*E103</f>
        <v>9.6551724137931047E-2</v>
      </c>
      <c r="AN103" s="1426">
        <f>+AK103*E103</f>
        <v>0.1103448275862069</v>
      </c>
      <c r="AO103" s="179" t="s">
        <v>1850</v>
      </c>
      <c r="AP103" s="680" t="s">
        <v>1891</v>
      </c>
      <c r="AQ103" s="680" t="s">
        <v>2264</v>
      </c>
      <c r="AR103" s="680" t="s">
        <v>2286</v>
      </c>
      <c r="AS103" s="680" t="s">
        <v>2401</v>
      </c>
      <c r="AT103" s="680" t="s">
        <v>2434</v>
      </c>
      <c r="AU103" s="680" t="s">
        <v>2487</v>
      </c>
      <c r="AV103" s="680" t="s">
        <v>1893</v>
      </c>
    </row>
    <row r="104" spans="1:48" ht="72" customHeight="1" thickBot="1" x14ac:dyDescent="0.4">
      <c r="A104" s="264"/>
      <c r="B104" s="1430" t="s">
        <v>180</v>
      </c>
      <c r="C104" s="1430" t="s">
        <v>181</v>
      </c>
      <c r="D104" s="402" t="s">
        <v>162</v>
      </c>
      <c r="E104" s="310">
        <v>0.8</v>
      </c>
      <c r="F104" s="428">
        <v>1</v>
      </c>
      <c r="G104" s="429">
        <v>0</v>
      </c>
      <c r="H104" s="429">
        <v>1</v>
      </c>
      <c r="I104" s="430">
        <v>0</v>
      </c>
      <c r="J104" s="431"/>
      <c r="K104" s="447">
        <f>+H104/F104</f>
        <v>1</v>
      </c>
      <c r="L104" s="448"/>
      <c r="M104" s="473"/>
      <c r="N104" s="473">
        <f t="shared" si="82"/>
        <v>0.8</v>
      </c>
      <c r="O104" s="473"/>
      <c r="P104" s="429"/>
      <c r="Q104" s="488">
        <v>0</v>
      </c>
      <c r="R104" s="484">
        <v>0</v>
      </c>
      <c r="S104" s="484">
        <v>0</v>
      </c>
      <c r="T104" s="484">
        <v>0.25</v>
      </c>
      <c r="U104" s="484">
        <v>0</v>
      </c>
      <c r="V104" s="430">
        <f>+Q104+R104+S104+T104+U104</f>
        <v>0.25</v>
      </c>
      <c r="W104" s="430">
        <f>+V104+P104+AB104</f>
        <v>0.25</v>
      </c>
      <c r="X104" s="430"/>
      <c r="Y104" s="430"/>
      <c r="Z104" s="430"/>
      <c r="AA104" s="430"/>
      <c r="AB104" s="430">
        <f t="shared" si="83"/>
        <v>0</v>
      </c>
      <c r="AC104" s="478"/>
      <c r="AD104" s="464">
        <f>+V104/H104</f>
        <v>0.25</v>
      </c>
      <c r="AE104" s="464"/>
      <c r="AF104" s="478"/>
      <c r="AG104" s="502">
        <f>+AD104*E104</f>
        <v>0.2</v>
      </c>
      <c r="AH104" s="504"/>
      <c r="AI104" s="502">
        <v>0</v>
      </c>
      <c r="AJ104" s="504">
        <v>0.25</v>
      </c>
      <c r="AK104" s="936">
        <f t="shared" si="94"/>
        <v>0.25</v>
      </c>
      <c r="AL104" s="502">
        <v>0</v>
      </c>
      <c r="AM104" s="503">
        <v>0</v>
      </c>
      <c r="AN104" s="1426">
        <f t="shared" si="90"/>
        <v>0.2</v>
      </c>
      <c r="AO104" s="179" t="s">
        <v>1850</v>
      </c>
      <c r="AP104" s="680" t="s">
        <v>1891</v>
      </c>
      <c r="AQ104" s="680" t="s">
        <v>2264</v>
      </c>
      <c r="AR104" s="680" t="s">
        <v>2286</v>
      </c>
      <c r="AS104" s="680" t="s">
        <v>2401</v>
      </c>
      <c r="AT104" s="680" t="s">
        <v>2434</v>
      </c>
      <c r="AU104" s="680" t="s">
        <v>2487</v>
      </c>
      <c r="AV104" s="680" t="s">
        <v>1893</v>
      </c>
    </row>
    <row r="105" spans="1:48" ht="56.25" customHeight="1" thickBot="1" x14ac:dyDescent="0.45">
      <c r="A105" s="264"/>
      <c r="B105" s="1535" t="s">
        <v>1609</v>
      </c>
      <c r="C105" s="1534"/>
      <c r="D105" s="402"/>
      <c r="E105" s="424">
        <v>0.4</v>
      </c>
      <c r="F105" s="427"/>
      <c r="G105" s="429"/>
      <c r="H105" s="430"/>
      <c r="I105" s="430"/>
      <c r="J105" s="426">
        <f>+AVERAGE(J106:J124)</f>
        <v>0.23645510835913311</v>
      </c>
      <c r="K105" s="446">
        <f>+AVERAGE(K106:K124)</f>
        <v>0.25232198142414858</v>
      </c>
      <c r="L105" s="498">
        <f>+AVERAGE(L106:L124)</f>
        <v>0.2572561919504644</v>
      </c>
      <c r="M105" s="426">
        <f>+M106+M107+M108+M109+M110+M111+M112+M113+M114+M115+M116+M117+M118+M119+M120+M121+M122+M123+M124</f>
        <v>0.2325367647058823</v>
      </c>
      <c r="N105" s="426">
        <f>+N106+N107+N108+N109+N110+N111+N112+N113+N114+N115+N116+N117+N118+N119+N120+N121+N122+N123+N124</f>
        <v>0.25165441176470582</v>
      </c>
      <c r="O105" s="426"/>
      <c r="P105" s="427"/>
      <c r="Q105" s="433"/>
      <c r="R105" s="433"/>
      <c r="S105" s="433"/>
      <c r="T105" s="433"/>
      <c r="U105" s="981"/>
      <c r="V105" s="433"/>
      <c r="W105" s="433"/>
      <c r="X105" s="430"/>
      <c r="Y105" s="430"/>
      <c r="Z105" s="430"/>
      <c r="AA105" s="430"/>
      <c r="AB105" s="430"/>
      <c r="AC105" s="486">
        <f>+AVERAGE(AC106:AC124)</f>
        <v>0.98153838938616911</v>
      </c>
      <c r="AD105" s="486">
        <f>+AVERAGE(AD106:AD124)</f>
        <v>0.94529992906028248</v>
      </c>
      <c r="AE105" s="486">
        <f>+AVERAGE(AE106:AE124)</f>
        <v>0.17336912118517148</v>
      </c>
      <c r="AF105" s="486">
        <f>+(AF106+AF107+AF108+AF109+AF110+AF111+AF112+AF113+AF114+AF115+AF116+AF117+AF118+AF119+AF120+AF121+AF122+AF123+AF124)*E105</f>
        <v>0.38665956830676951</v>
      </c>
      <c r="AG105" s="505">
        <f>+(AG106+AG107+AG108+AG109+AG110+AG111+AG112+AG113+AG114+AG115+AG116+AG117+AG118+AG119+AG120+AG121+AG122+AG123+AG124)*E105</f>
        <v>0.34609274931448647</v>
      </c>
      <c r="AH105" s="1033">
        <f>+(AH106+AH107+AH108+AH109+AH110+AH111+AH112+AH113+AH114+AH115+AH116+AH117+AH118+AH119+AH120+AH121+AH122+AH123+AH124)*E105</f>
        <v>5.8533467988706567E-2</v>
      </c>
      <c r="AI105" s="446">
        <f>+AVERAGE(AI106:AI124)</f>
        <v>0.24814779280939966</v>
      </c>
      <c r="AJ105" s="506">
        <v>0.54186593224500235</v>
      </c>
      <c r="AK105" s="1168">
        <f>+AVERAGE(AK106:AK124)</f>
        <v>0.56876084412024253</v>
      </c>
      <c r="AL105" s="446">
        <f>+(AL106+AL107+AL108+AL109+AL110+AL111+AL112+AL113+AL114+AL115+AL116+AL117+AL118+AL119+AL120+AL121+AL122+AL123+AL124)*E105</f>
        <v>9.7453861116940044E-2</v>
      </c>
      <c r="AM105" s="498">
        <f>+(AM106+AM107+AM108+AM109+AM110+AM111+AM112+AM113+AM114+AM115+AM116+AM117+AM118+AM119+AM120+AM121+AM122+AM123+AM124)</f>
        <v>0.53208524559790826</v>
      </c>
      <c r="AN105" s="498">
        <f>+(AN106+AN107+AN108+AN109+AN110+AN111+AN112+AN113+AN114+AN115+AN116+AN117+AN118+AN119+AN120+AN121+AN122+AN123+AN124)</f>
        <v>0.55694991309084985</v>
      </c>
      <c r="AO105" s="172"/>
      <c r="AP105" s="682"/>
      <c r="AQ105" s="400"/>
      <c r="AR105" s="400"/>
      <c r="AS105" s="400"/>
      <c r="AT105" s="400"/>
      <c r="AU105" s="196"/>
      <c r="AV105" s="196"/>
    </row>
    <row r="106" spans="1:48" ht="137.4" customHeight="1" thickBot="1" x14ac:dyDescent="0.4">
      <c r="A106" s="264"/>
      <c r="B106" s="1430" t="s">
        <v>182</v>
      </c>
      <c r="C106" s="1430" t="s">
        <v>183</v>
      </c>
      <c r="D106" s="402" t="s">
        <v>162</v>
      </c>
      <c r="E106" s="474">
        <v>3.7499999999999999E-2</v>
      </c>
      <c r="F106" s="428">
        <v>4</v>
      </c>
      <c r="G106" s="429">
        <v>1</v>
      </c>
      <c r="H106" s="430">
        <v>1</v>
      </c>
      <c r="I106" s="430">
        <v>1</v>
      </c>
      <c r="J106" s="431">
        <f t="shared" ref="J106:J124" si="95">+G106/F106</f>
        <v>0.25</v>
      </c>
      <c r="K106" s="447">
        <f>+H106/F106</f>
        <v>0.25</v>
      </c>
      <c r="L106" s="448">
        <f>+I106/F106</f>
        <v>0.25</v>
      </c>
      <c r="M106" s="473">
        <f t="shared" ref="M106:M124" si="96">+(G106/F106)*E106</f>
        <v>9.3749999999999997E-3</v>
      </c>
      <c r="N106" s="473">
        <f t="shared" si="82"/>
        <v>9.3749999999999997E-3</v>
      </c>
      <c r="O106" s="473"/>
      <c r="P106" s="429">
        <v>1</v>
      </c>
      <c r="Q106" s="488">
        <v>0</v>
      </c>
      <c r="R106" s="484">
        <v>0</v>
      </c>
      <c r="S106" s="484">
        <v>0.65</v>
      </c>
      <c r="T106" s="484">
        <v>0.17</v>
      </c>
      <c r="U106" s="484">
        <v>0.17999999999999997</v>
      </c>
      <c r="V106" s="430">
        <f>+Q106+R106+S106+T106+U106</f>
        <v>1</v>
      </c>
      <c r="W106" s="430">
        <f>+V106+P106+AB106</f>
        <v>2.1800000000000002</v>
      </c>
      <c r="X106" s="484">
        <v>0.18</v>
      </c>
      <c r="Y106" s="430"/>
      <c r="Z106" s="430"/>
      <c r="AA106" s="430"/>
      <c r="AB106" s="430">
        <f t="shared" si="83"/>
        <v>0.18</v>
      </c>
      <c r="AC106" s="478">
        <f t="shared" ref="AC106:AC123" si="97">+(P106/G106)</f>
        <v>1</v>
      </c>
      <c r="AD106" s="464">
        <f t="shared" ref="AD106:AD119" si="98">+V106/H106</f>
        <v>1</v>
      </c>
      <c r="AE106" s="464">
        <f t="shared" si="92"/>
        <v>0.18</v>
      </c>
      <c r="AF106" s="478">
        <f t="shared" ref="AF106:AF123" si="99">+AC106*E106</f>
        <v>3.7499999999999999E-2</v>
      </c>
      <c r="AG106" s="502">
        <f t="shared" ref="AG106:AG127" si="100">+AD106*E106</f>
        <v>3.7499999999999999E-2</v>
      </c>
      <c r="AH106" s="509">
        <f t="shared" si="84"/>
        <v>6.7499999999999999E-3</v>
      </c>
      <c r="AI106" s="502">
        <f t="shared" ref="AI106:AI124" si="101">+P106/F106</f>
        <v>0.25</v>
      </c>
      <c r="AJ106" s="509">
        <v>0.5</v>
      </c>
      <c r="AK106" s="1426">
        <f t="shared" si="94"/>
        <v>0.54500000000000004</v>
      </c>
      <c r="AL106" s="502">
        <f t="shared" ref="AL106:AL123" si="102">+AI106*E106</f>
        <v>9.3749999999999997E-3</v>
      </c>
      <c r="AM106" s="503">
        <f t="shared" ref="AM106:AM124" si="103">+AJ106*E106</f>
        <v>1.8749999999999999E-2</v>
      </c>
      <c r="AN106" s="1426">
        <f t="shared" si="90"/>
        <v>2.0437500000000001E-2</v>
      </c>
      <c r="AO106" s="179" t="s">
        <v>1850</v>
      </c>
      <c r="AP106" s="680" t="s">
        <v>1891</v>
      </c>
      <c r="AQ106" s="680" t="s">
        <v>2264</v>
      </c>
      <c r="AR106" s="680" t="s">
        <v>2286</v>
      </c>
      <c r="AS106" s="680" t="s">
        <v>2401</v>
      </c>
      <c r="AT106" s="680" t="s">
        <v>2434</v>
      </c>
      <c r="AU106" s="680" t="s">
        <v>2487</v>
      </c>
      <c r="AV106" s="196"/>
    </row>
    <row r="107" spans="1:48" ht="79.2" customHeight="1" thickBot="1" x14ac:dyDescent="0.4">
      <c r="A107" s="264"/>
      <c r="B107" s="1430" t="s">
        <v>184</v>
      </c>
      <c r="C107" s="1430" t="s">
        <v>185</v>
      </c>
      <c r="D107" s="402" t="s">
        <v>162</v>
      </c>
      <c r="E107" s="474">
        <v>3.7499999999999999E-2</v>
      </c>
      <c r="F107" s="428">
        <f>700*4</f>
        <v>2800</v>
      </c>
      <c r="G107" s="429">
        <v>700</v>
      </c>
      <c r="H107" s="430">
        <v>700</v>
      </c>
      <c r="I107" s="430">
        <v>700</v>
      </c>
      <c r="J107" s="431">
        <f t="shared" si="95"/>
        <v>0.25</v>
      </c>
      <c r="K107" s="447">
        <f t="shared" ref="K107:K124" si="104">+H107/F107</f>
        <v>0.25</v>
      </c>
      <c r="L107" s="448">
        <f t="shared" si="81"/>
        <v>0.25</v>
      </c>
      <c r="M107" s="473">
        <f t="shared" si="96"/>
        <v>9.3749999999999997E-3</v>
      </c>
      <c r="N107" s="473">
        <f t="shared" si="82"/>
        <v>9.3749999999999997E-3</v>
      </c>
      <c r="O107" s="473"/>
      <c r="P107" s="429">
        <v>700</v>
      </c>
      <c r="Q107" s="488">
        <v>20</v>
      </c>
      <c r="R107" s="484">
        <v>166</v>
      </c>
      <c r="S107" s="484">
        <v>200</v>
      </c>
      <c r="T107" s="484">
        <v>186</v>
      </c>
      <c r="U107" s="484">
        <v>128</v>
      </c>
      <c r="V107" s="430">
        <f t="shared" ref="V107:V124" si="105">+Q107+R107+S107+T107+U107</f>
        <v>700</v>
      </c>
      <c r="W107" s="430">
        <f t="shared" ref="W107:W123" si="106">+V107+P107+AB107</f>
        <v>1499</v>
      </c>
      <c r="X107" s="484">
        <v>99</v>
      </c>
      <c r="Y107" s="430"/>
      <c r="Z107" s="430"/>
      <c r="AA107" s="430"/>
      <c r="AB107" s="430">
        <f t="shared" si="83"/>
        <v>99</v>
      </c>
      <c r="AC107" s="478">
        <f t="shared" si="97"/>
        <v>1</v>
      </c>
      <c r="AD107" s="464">
        <f t="shared" si="98"/>
        <v>1</v>
      </c>
      <c r="AE107" s="464">
        <f t="shared" si="92"/>
        <v>0.14142857142857143</v>
      </c>
      <c r="AF107" s="478">
        <f t="shared" si="99"/>
        <v>3.7499999999999999E-2</v>
      </c>
      <c r="AG107" s="502">
        <f t="shared" si="100"/>
        <v>3.7499999999999999E-2</v>
      </c>
      <c r="AH107" s="503">
        <f t="shared" si="84"/>
        <v>5.3035714285714283E-3</v>
      </c>
      <c r="AI107" s="502">
        <f t="shared" si="101"/>
        <v>0.25</v>
      </c>
      <c r="AJ107" s="503">
        <v>0.5</v>
      </c>
      <c r="AK107" s="1426">
        <f t="shared" si="94"/>
        <v>0.53535714285714286</v>
      </c>
      <c r="AL107" s="502">
        <f t="shared" si="102"/>
        <v>9.3749999999999997E-3</v>
      </c>
      <c r="AM107" s="503">
        <f t="shared" si="103"/>
        <v>1.8749999999999999E-2</v>
      </c>
      <c r="AN107" s="1426">
        <f t="shared" si="90"/>
        <v>2.0075892857142858E-2</v>
      </c>
      <c r="AO107" s="179" t="s">
        <v>1850</v>
      </c>
      <c r="AP107" s="680" t="s">
        <v>1891</v>
      </c>
      <c r="AQ107" s="680" t="s">
        <v>2264</v>
      </c>
      <c r="AR107" s="680" t="s">
        <v>2286</v>
      </c>
      <c r="AS107" s="680" t="s">
        <v>2401</v>
      </c>
      <c r="AT107" s="680" t="s">
        <v>2434</v>
      </c>
      <c r="AU107" s="680" t="s">
        <v>2487</v>
      </c>
      <c r="AV107" s="196"/>
    </row>
    <row r="108" spans="1:48" ht="103.2" customHeight="1" thickBot="1" x14ac:dyDescent="0.4">
      <c r="A108" s="264"/>
      <c r="B108" s="1430" t="s">
        <v>186</v>
      </c>
      <c r="C108" s="1430" t="s">
        <v>187</v>
      </c>
      <c r="D108" s="402" t="s">
        <v>162</v>
      </c>
      <c r="E108" s="474">
        <v>3.7499999999999999E-2</v>
      </c>
      <c r="F108" s="428">
        <f>2100*4</f>
        <v>8400</v>
      </c>
      <c r="G108" s="429">
        <v>2100</v>
      </c>
      <c r="H108" s="430">
        <v>2100</v>
      </c>
      <c r="I108" s="430">
        <v>2100</v>
      </c>
      <c r="J108" s="431">
        <f t="shared" si="95"/>
        <v>0.25</v>
      </c>
      <c r="K108" s="447">
        <f t="shared" si="104"/>
        <v>0.25</v>
      </c>
      <c r="L108" s="448">
        <f t="shared" si="81"/>
        <v>0.25</v>
      </c>
      <c r="M108" s="473">
        <f t="shared" si="96"/>
        <v>9.3749999999999997E-3</v>
      </c>
      <c r="N108" s="473">
        <f t="shared" si="82"/>
        <v>9.3749999999999997E-3</v>
      </c>
      <c r="O108" s="473"/>
      <c r="P108" s="429">
        <v>1955</v>
      </c>
      <c r="Q108" s="488">
        <v>7</v>
      </c>
      <c r="R108" s="484">
        <v>797</v>
      </c>
      <c r="S108" s="484">
        <v>600</v>
      </c>
      <c r="T108" s="484">
        <v>573</v>
      </c>
      <c r="U108" s="484">
        <v>361</v>
      </c>
      <c r="V108" s="430">
        <f t="shared" si="105"/>
        <v>2338</v>
      </c>
      <c r="W108" s="430">
        <f t="shared" si="106"/>
        <v>4602</v>
      </c>
      <c r="X108" s="484">
        <v>309</v>
      </c>
      <c r="Y108" s="430"/>
      <c r="Z108" s="430"/>
      <c r="AA108" s="430"/>
      <c r="AB108" s="430">
        <f t="shared" si="83"/>
        <v>309</v>
      </c>
      <c r="AC108" s="478">
        <f t="shared" si="97"/>
        <v>0.93095238095238098</v>
      </c>
      <c r="AD108" s="464">
        <v>1</v>
      </c>
      <c r="AE108" s="464">
        <f t="shared" si="92"/>
        <v>0.14714285714285713</v>
      </c>
      <c r="AF108" s="478">
        <f t="shared" si="99"/>
        <v>3.4910714285714288E-2</v>
      </c>
      <c r="AG108" s="502">
        <f t="shared" si="100"/>
        <v>3.7499999999999999E-2</v>
      </c>
      <c r="AH108" s="503">
        <f t="shared" si="84"/>
        <v>5.5178571428571421E-3</v>
      </c>
      <c r="AI108" s="502">
        <f t="shared" si="101"/>
        <v>0.23273809523809524</v>
      </c>
      <c r="AJ108" s="503">
        <v>0.51107142857142862</v>
      </c>
      <c r="AK108" s="1426">
        <f t="shared" si="94"/>
        <v>0.54785714285714282</v>
      </c>
      <c r="AL108" s="502">
        <f t="shared" si="102"/>
        <v>8.727678571428572E-3</v>
      </c>
      <c r="AM108" s="503">
        <f t="shared" si="103"/>
        <v>1.9165178571428573E-2</v>
      </c>
      <c r="AN108" s="1426">
        <f t="shared" si="90"/>
        <v>2.0544642857142855E-2</v>
      </c>
      <c r="AO108" s="179" t="s">
        <v>1850</v>
      </c>
      <c r="AP108" s="680" t="s">
        <v>1891</v>
      </c>
      <c r="AQ108" s="680" t="s">
        <v>2264</v>
      </c>
      <c r="AR108" s="680" t="s">
        <v>2286</v>
      </c>
      <c r="AS108" s="680" t="s">
        <v>2401</v>
      </c>
      <c r="AT108" s="680" t="s">
        <v>2434</v>
      </c>
      <c r="AU108" s="680" t="s">
        <v>2487</v>
      </c>
      <c r="AV108" s="196"/>
    </row>
    <row r="109" spans="1:48" ht="113.4" customHeight="1" thickBot="1" x14ac:dyDescent="0.4">
      <c r="A109" s="264"/>
      <c r="B109" s="1430" t="s">
        <v>188</v>
      </c>
      <c r="C109" s="1430" t="s">
        <v>189</v>
      </c>
      <c r="D109" s="402" t="s">
        <v>162</v>
      </c>
      <c r="E109" s="474">
        <v>3.7499999999999999E-2</v>
      </c>
      <c r="F109" s="428">
        <f>7600*4</f>
        <v>30400</v>
      </c>
      <c r="G109" s="429">
        <v>7600</v>
      </c>
      <c r="H109" s="430">
        <v>7600</v>
      </c>
      <c r="I109" s="430">
        <v>7600</v>
      </c>
      <c r="J109" s="431">
        <f t="shared" si="95"/>
        <v>0.25</v>
      </c>
      <c r="K109" s="447">
        <f t="shared" si="104"/>
        <v>0.25</v>
      </c>
      <c r="L109" s="448">
        <f t="shared" si="81"/>
        <v>0.25</v>
      </c>
      <c r="M109" s="473">
        <f t="shared" si="96"/>
        <v>9.3749999999999997E-3</v>
      </c>
      <c r="N109" s="473">
        <f t="shared" si="82"/>
        <v>9.3749999999999997E-3</v>
      </c>
      <c r="O109" s="473"/>
      <c r="P109" s="429">
        <v>11360</v>
      </c>
      <c r="Q109" s="488">
        <v>2784</v>
      </c>
      <c r="R109" s="484">
        <v>2278</v>
      </c>
      <c r="S109" s="484">
        <v>2278</v>
      </c>
      <c r="T109" s="484">
        <v>937</v>
      </c>
      <c r="U109" s="484">
        <v>1737</v>
      </c>
      <c r="V109" s="430">
        <f t="shared" si="105"/>
        <v>10014</v>
      </c>
      <c r="W109" s="430">
        <f t="shared" si="106"/>
        <v>24238</v>
      </c>
      <c r="X109" s="484">
        <v>2864</v>
      </c>
      <c r="Y109" s="430"/>
      <c r="Z109" s="430"/>
      <c r="AA109" s="430"/>
      <c r="AB109" s="430">
        <f t="shared" si="83"/>
        <v>2864</v>
      </c>
      <c r="AC109" s="478">
        <v>1</v>
      </c>
      <c r="AD109" s="464">
        <v>1</v>
      </c>
      <c r="AE109" s="464">
        <f t="shared" si="92"/>
        <v>0.37684210526315787</v>
      </c>
      <c r="AF109" s="478">
        <f t="shared" si="99"/>
        <v>3.7499999999999999E-2</v>
      </c>
      <c r="AG109" s="502">
        <f t="shared" si="100"/>
        <v>3.7499999999999999E-2</v>
      </c>
      <c r="AH109" s="503">
        <f t="shared" si="84"/>
        <v>1.4131578947368419E-2</v>
      </c>
      <c r="AI109" s="502">
        <f>+P109/F109</f>
        <v>0.37368421052631579</v>
      </c>
      <c r="AJ109" s="503">
        <v>0.70309210526315791</v>
      </c>
      <c r="AK109" s="1426">
        <f t="shared" si="94"/>
        <v>0.79730263157894732</v>
      </c>
      <c r="AL109" s="502">
        <f t="shared" si="102"/>
        <v>1.4013157894736842E-2</v>
      </c>
      <c r="AM109" s="503">
        <f t="shared" si="103"/>
        <v>2.6365953947368421E-2</v>
      </c>
      <c r="AN109" s="1426">
        <f t="shared" si="90"/>
        <v>2.9898848684210524E-2</v>
      </c>
      <c r="AO109" s="179" t="s">
        <v>1850</v>
      </c>
      <c r="AP109" s="680" t="s">
        <v>1891</v>
      </c>
      <c r="AQ109" s="680" t="s">
        <v>2264</v>
      </c>
      <c r="AR109" s="680" t="s">
        <v>2286</v>
      </c>
      <c r="AS109" s="680" t="s">
        <v>2401</v>
      </c>
      <c r="AT109" s="680" t="s">
        <v>2434</v>
      </c>
      <c r="AU109" s="680" t="s">
        <v>2487</v>
      </c>
      <c r="AV109" s="196"/>
    </row>
    <row r="110" spans="1:48" ht="113.4" customHeight="1" thickBot="1" x14ac:dyDescent="0.4">
      <c r="A110" s="264"/>
      <c r="B110" s="1430" t="s">
        <v>190</v>
      </c>
      <c r="C110" s="1430" t="s">
        <v>191</v>
      </c>
      <c r="D110" s="405" t="s">
        <v>162</v>
      </c>
      <c r="E110" s="474">
        <v>0.1</v>
      </c>
      <c r="F110" s="428">
        <f>90000*4</f>
        <v>360000</v>
      </c>
      <c r="G110" s="429">
        <v>90000</v>
      </c>
      <c r="H110" s="430">
        <v>90000</v>
      </c>
      <c r="I110" s="430">
        <v>90000</v>
      </c>
      <c r="J110" s="431">
        <f t="shared" si="95"/>
        <v>0.25</v>
      </c>
      <c r="K110" s="447">
        <f t="shared" si="104"/>
        <v>0.25</v>
      </c>
      <c r="L110" s="448">
        <f t="shared" si="81"/>
        <v>0.25</v>
      </c>
      <c r="M110" s="473">
        <f t="shared" si="96"/>
        <v>2.5000000000000001E-2</v>
      </c>
      <c r="N110" s="473">
        <f t="shared" si="82"/>
        <v>2.5000000000000001E-2</v>
      </c>
      <c r="O110" s="473"/>
      <c r="P110" s="429">
        <v>90021</v>
      </c>
      <c r="Q110" s="488">
        <v>391</v>
      </c>
      <c r="R110" s="484">
        <v>3310</v>
      </c>
      <c r="S110" s="484">
        <v>4147</v>
      </c>
      <c r="T110" s="484">
        <v>750</v>
      </c>
      <c r="U110" s="484">
        <v>15828</v>
      </c>
      <c r="V110" s="430">
        <f t="shared" si="105"/>
        <v>24426</v>
      </c>
      <c r="W110" s="430">
        <f t="shared" si="106"/>
        <v>115455</v>
      </c>
      <c r="X110" s="484">
        <v>1008</v>
      </c>
      <c r="Y110" s="430"/>
      <c r="Z110" s="430"/>
      <c r="AA110" s="430"/>
      <c r="AB110" s="430">
        <f t="shared" si="83"/>
        <v>1008</v>
      </c>
      <c r="AC110" s="478">
        <v>1</v>
      </c>
      <c r="AD110" s="464">
        <f>+V110/H110</f>
        <v>0.27139999999999997</v>
      </c>
      <c r="AE110" s="464">
        <f t="shared" si="92"/>
        <v>1.12E-2</v>
      </c>
      <c r="AF110" s="478">
        <f t="shared" si="99"/>
        <v>0.1</v>
      </c>
      <c r="AG110" s="502">
        <f t="shared" si="100"/>
        <v>2.7139999999999997E-2</v>
      </c>
      <c r="AH110" s="503">
        <f t="shared" si="84"/>
        <v>1.1200000000000001E-3</v>
      </c>
      <c r="AI110" s="502">
        <f t="shared" si="101"/>
        <v>0.25005833333333333</v>
      </c>
      <c r="AJ110" s="503">
        <v>0.31790833333333335</v>
      </c>
      <c r="AK110" s="1426">
        <f t="shared" si="94"/>
        <v>0.32070833333333332</v>
      </c>
      <c r="AL110" s="502">
        <f t="shared" si="102"/>
        <v>2.5005833333333335E-2</v>
      </c>
      <c r="AM110" s="503">
        <f t="shared" si="103"/>
        <v>3.1790833333333338E-2</v>
      </c>
      <c r="AN110" s="1426">
        <f t="shared" si="90"/>
        <v>3.2070833333333333E-2</v>
      </c>
      <c r="AO110" s="179" t="s">
        <v>1850</v>
      </c>
      <c r="AP110" s="680" t="s">
        <v>1891</v>
      </c>
      <c r="AQ110" s="680" t="s">
        <v>2264</v>
      </c>
      <c r="AR110" s="680" t="s">
        <v>2286</v>
      </c>
      <c r="AS110" s="680" t="s">
        <v>2401</v>
      </c>
      <c r="AT110" s="680" t="s">
        <v>2434</v>
      </c>
      <c r="AU110" s="680" t="s">
        <v>2487</v>
      </c>
      <c r="AV110" s="196"/>
    </row>
    <row r="111" spans="1:48" ht="115.95" customHeight="1" thickBot="1" x14ac:dyDescent="0.4">
      <c r="A111" s="264"/>
      <c r="B111" s="1430" t="s">
        <v>192</v>
      </c>
      <c r="C111" s="1430" t="s">
        <v>193</v>
      </c>
      <c r="D111" s="402" t="s">
        <v>162</v>
      </c>
      <c r="E111" s="474">
        <v>3.7499999999999999E-2</v>
      </c>
      <c r="F111" s="428">
        <f>17*4</f>
        <v>68</v>
      </c>
      <c r="G111" s="429">
        <v>17</v>
      </c>
      <c r="H111" s="430">
        <v>17</v>
      </c>
      <c r="I111" s="430">
        <v>17</v>
      </c>
      <c r="J111" s="431">
        <f t="shared" si="95"/>
        <v>0.25</v>
      </c>
      <c r="K111" s="447">
        <f t="shared" si="104"/>
        <v>0.25</v>
      </c>
      <c r="L111" s="448">
        <f t="shared" si="81"/>
        <v>0.25</v>
      </c>
      <c r="M111" s="473">
        <f t="shared" si="96"/>
        <v>9.3749999999999997E-3</v>
      </c>
      <c r="N111" s="473">
        <f t="shared" si="82"/>
        <v>9.3749999999999997E-3</v>
      </c>
      <c r="O111" s="473"/>
      <c r="P111" s="475">
        <v>15</v>
      </c>
      <c r="Q111" s="488">
        <v>3.75</v>
      </c>
      <c r="R111" s="856">
        <v>11</v>
      </c>
      <c r="S111" s="935">
        <v>0.25</v>
      </c>
      <c r="T111" s="856">
        <v>1</v>
      </c>
      <c r="U111" s="856">
        <v>1</v>
      </c>
      <c r="V111" s="430">
        <f t="shared" si="105"/>
        <v>17</v>
      </c>
      <c r="W111" s="430">
        <f t="shared" si="106"/>
        <v>49</v>
      </c>
      <c r="X111" s="484">
        <v>17</v>
      </c>
      <c r="Y111" s="430"/>
      <c r="Z111" s="430"/>
      <c r="AA111" s="430"/>
      <c r="AB111" s="430">
        <f t="shared" si="83"/>
        <v>17</v>
      </c>
      <c r="AC111" s="478">
        <f t="shared" ref="AC111" si="107">+(P111/G111)</f>
        <v>0.88235294117647056</v>
      </c>
      <c r="AD111" s="464">
        <f>+V111/H111</f>
        <v>1</v>
      </c>
      <c r="AE111" s="464">
        <f>+AB111/I111*0.25</f>
        <v>0.25</v>
      </c>
      <c r="AF111" s="478">
        <f t="shared" ref="AF111" si="108">+AC111*E111</f>
        <v>3.3088235294117647E-2</v>
      </c>
      <c r="AG111" s="502">
        <f t="shared" si="100"/>
        <v>3.7499999999999999E-2</v>
      </c>
      <c r="AH111" s="503">
        <f t="shared" si="84"/>
        <v>9.3749999999999997E-3</v>
      </c>
      <c r="AI111" s="502">
        <f t="shared" ref="AI111" si="109">+P111/F111</f>
        <v>0.22058823529411764</v>
      </c>
      <c r="AJ111" s="503">
        <v>0.47058823529411764</v>
      </c>
      <c r="AK111" s="1426">
        <f>+AJ111+(AE111*0.25)</f>
        <v>0.53308823529411764</v>
      </c>
      <c r="AL111" s="502">
        <f t="shared" ref="AL111" si="110">+AI111*E111</f>
        <v>8.2720588235294119E-3</v>
      </c>
      <c r="AM111" s="503">
        <f t="shared" si="103"/>
        <v>1.7647058823529412E-2</v>
      </c>
      <c r="AN111" s="1426">
        <f t="shared" si="90"/>
        <v>1.999080882352941E-2</v>
      </c>
      <c r="AO111" s="179" t="s">
        <v>1850</v>
      </c>
      <c r="AP111" s="680" t="s">
        <v>1891</v>
      </c>
      <c r="AQ111" s="680" t="s">
        <v>2264</v>
      </c>
      <c r="AR111" s="680" t="s">
        <v>2286</v>
      </c>
      <c r="AS111" s="680" t="s">
        <v>2401</v>
      </c>
      <c r="AT111" s="680" t="s">
        <v>2434</v>
      </c>
      <c r="AU111" s="680" t="s">
        <v>2487</v>
      </c>
      <c r="AV111" s="196"/>
    </row>
    <row r="112" spans="1:48" ht="152.4" customHeight="1" thickBot="1" x14ac:dyDescent="0.4">
      <c r="A112" s="264"/>
      <c r="B112" s="1430" t="s">
        <v>194</v>
      </c>
      <c r="C112" s="1430" t="s">
        <v>195</v>
      </c>
      <c r="D112" s="402" t="s">
        <v>162</v>
      </c>
      <c r="E112" s="474">
        <v>3.7499999999999999E-2</v>
      </c>
      <c r="F112" s="428">
        <f>250*4</f>
        <v>1000</v>
      </c>
      <c r="G112" s="429">
        <v>250</v>
      </c>
      <c r="H112" s="430">
        <v>250</v>
      </c>
      <c r="I112" s="430">
        <v>250</v>
      </c>
      <c r="J112" s="431">
        <f t="shared" si="95"/>
        <v>0.25</v>
      </c>
      <c r="K112" s="447">
        <f t="shared" si="104"/>
        <v>0.25</v>
      </c>
      <c r="L112" s="448">
        <f t="shared" si="81"/>
        <v>0.25</v>
      </c>
      <c r="M112" s="473">
        <f>+(G112/F112)*E112</f>
        <v>9.3749999999999997E-3</v>
      </c>
      <c r="N112" s="473">
        <f t="shared" si="82"/>
        <v>9.3749999999999997E-3</v>
      </c>
      <c r="O112" s="473"/>
      <c r="P112" s="429">
        <v>250</v>
      </c>
      <c r="Q112" s="488">
        <v>0</v>
      </c>
      <c r="R112" s="484">
        <v>68</v>
      </c>
      <c r="S112" s="484">
        <v>121</v>
      </c>
      <c r="T112" s="484">
        <v>50</v>
      </c>
      <c r="U112" s="484">
        <v>11</v>
      </c>
      <c r="V112" s="430">
        <f t="shared" si="105"/>
        <v>250</v>
      </c>
      <c r="W112" s="430">
        <f t="shared" si="106"/>
        <v>530</v>
      </c>
      <c r="X112" s="484">
        <v>30</v>
      </c>
      <c r="Y112" s="430"/>
      <c r="Z112" s="430"/>
      <c r="AA112" s="430"/>
      <c r="AB112" s="430">
        <f t="shared" si="83"/>
        <v>30</v>
      </c>
      <c r="AC112" s="478">
        <f t="shared" si="97"/>
        <v>1</v>
      </c>
      <c r="AD112" s="464">
        <f t="shared" si="98"/>
        <v>1</v>
      </c>
      <c r="AE112" s="464">
        <f t="shared" si="92"/>
        <v>0.12</v>
      </c>
      <c r="AF112" s="478">
        <f t="shared" si="99"/>
        <v>3.7499999999999999E-2</v>
      </c>
      <c r="AG112" s="502">
        <f t="shared" si="100"/>
        <v>3.7499999999999999E-2</v>
      </c>
      <c r="AH112" s="503">
        <f t="shared" si="84"/>
        <v>4.4999999999999997E-3</v>
      </c>
      <c r="AI112" s="502">
        <f t="shared" si="101"/>
        <v>0.25</v>
      </c>
      <c r="AJ112" s="503">
        <v>0.5</v>
      </c>
      <c r="AK112" s="1426">
        <f t="shared" si="94"/>
        <v>0.53</v>
      </c>
      <c r="AL112" s="502">
        <f t="shared" si="102"/>
        <v>9.3749999999999997E-3</v>
      </c>
      <c r="AM112" s="503">
        <f t="shared" si="103"/>
        <v>1.8749999999999999E-2</v>
      </c>
      <c r="AN112" s="1426">
        <f t="shared" si="90"/>
        <v>1.9875E-2</v>
      </c>
      <c r="AO112" s="179" t="s">
        <v>1850</v>
      </c>
      <c r="AP112" s="680" t="s">
        <v>1891</v>
      </c>
      <c r="AQ112" s="680" t="s">
        <v>2264</v>
      </c>
      <c r="AR112" s="680" t="s">
        <v>2286</v>
      </c>
      <c r="AS112" s="680" t="s">
        <v>2401</v>
      </c>
      <c r="AT112" s="680" t="s">
        <v>2434</v>
      </c>
      <c r="AU112" s="680" t="s">
        <v>2487</v>
      </c>
      <c r="AV112" s="196"/>
    </row>
    <row r="113" spans="1:48" ht="150" customHeight="1" thickBot="1" x14ac:dyDescent="0.4">
      <c r="A113" s="264"/>
      <c r="B113" s="1430" t="s">
        <v>196</v>
      </c>
      <c r="C113" s="1430" t="s">
        <v>197</v>
      </c>
      <c r="D113" s="402" t="s">
        <v>162</v>
      </c>
      <c r="E113" s="474">
        <v>3.7499999999999999E-2</v>
      </c>
      <c r="F113" s="428">
        <v>17</v>
      </c>
      <c r="G113" s="429">
        <v>2</v>
      </c>
      <c r="H113" s="430">
        <v>5</v>
      </c>
      <c r="I113" s="430">
        <v>5</v>
      </c>
      <c r="J113" s="431">
        <f t="shared" si="95"/>
        <v>0.11764705882352941</v>
      </c>
      <c r="K113" s="447">
        <f t="shared" si="104"/>
        <v>0.29411764705882354</v>
      </c>
      <c r="L113" s="448">
        <f t="shared" si="81"/>
        <v>0.29411764705882354</v>
      </c>
      <c r="M113" s="473">
        <f t="shared" si="96"/>
        <v>4.4117647058823529E-3</v>
      </c>
      <c r="N113" s="473">
        <f t="shared" si="82"/>
        <v>1.1029411764705883E-2</v>
      </c>
      <c r="O113" s="473"/>
      <c r="P113" s="429">
        <v>2</v>
      </c>
      <c r="Q113" s="488">
        <v>0</v>
      </c>
      <c r="R113" s="484">
        <v>2.5</v>
      </c>
      <c r="S113" s="484">
        <v>1.5</v>
      </c>
      <c r="T113" s="484">
        <v>0</v>
      </c>
      <c r="U113" s="484">
        <v>1</v>
      </c>
      <c r="V113" s="430">
        <f t="shared" si="105"/>
        <v>5</v>
      </c>
      <c r="W113" s="430">
        <f t="shared" si="106"/>
        <v>7</v>
      </c>
      <c r="X113" s="484">
        <v>0</v>
      </c>
      <c r="Y113" s="430"/>
      <c r="Z113" s="430"/>
      <c r="AA113" s="430"/>
      <c r="AB113" s="430">
        <f t="shared" si="83"/>
        <v>0</v>
      </c>
      <c r="AC113" s="478">
        <f t="shared" si="97"/>
        <v>1</v>
      </c>
      <c r="AD113" s="464">
        <f t="shared" si="98"/>
        <v>1</v>
      </c>
      <c r="AE113" s="464">
        <f t="shared" si="92"/>
        <v>0</v>
      </c>
      <c r="AF113" s="478">
        <f t="shared" si="99"/>
        <v>3.7499999999999999E-2</v>
      </c>
      <c r="AG113" s="502">
        <f t="shared" si="100"/>
        <v>3.7499999999999999E-2</v>
      </c>
      <c r="AH113" s="503">
        <f t="shared" si="84"/>
        <v>0</v>
      </c>
      <c r="AI113" s="502">
        <f t="shared" si="101"/>
        <v>0.11764705882352941</v>
      </c>
      <c r="AJ113" s="503">
        <v>0.41176470588235292</v>
      </c>
      <c r="AK113" s="1426">
        <f t="shared" si="94"/>
        <v>0.41176470588235292</v>
      </c>
      <c r="AL113" s="502">
        <f t="shared" si="102"/>
        <v>4.4117647058823529E-3</v>
      </c>
      <c r="AM113" s="503">
        <f t="shared" si="103"/>
        <v>1.5441176470588234E-2</v>
      </c>
      <c r="AN113" s="1426">
        <f t="shared" si="90"/>
        <v>1.5441176470588234E-2</v>
      </c>
      <c r="AO113" s="179" t="s">
        <v>1850</v>
      </c>
      <c r="AP113" s="680" t="s">
        <v>1891</v>
      </c>
      <c r="AQ113" s="680" t="s">
        <v>2264</v>
      </c>
      <c r="AR113" s="680" t="s">
        <v>2286</v>
      </c>
      <c r="AS113" s="680" t="s">
        <v>2401</v>
      </c>
      <c r="AT113" s="680" t="s">
        <v>2434</v>
      </c>
      <c r="AU113" s="680" t="s">
        <v>2487</v>
      </c>
      <c r="AV113" s="196"/>
    </row>
    <row r="114" spans="1:48" ht="164.4" customHeight="1" thickBot="1" x14ac:dyDescent="0.4">
      <c r="A114" s="264"/>
      <c r="B114" s="1430" t="s">
        <v>198</v>
      </c>
      <c r="C114" s="1430" t="s">
        <v>199</v>
      </c>
      <c r="D114" s="402" t="s">
        <v>162</v>
      </c>
      <c r="E114" s="474">
        <v>3.7499999999999999E-2</v>
      </c>
      <c r="F114" s="428">
        <v>160</v>
      </c>
      <c r="G114" s="429">
        <v>40</v>
      </c>
      <c r="H114" s="430">
        <v>40</v>
      </c>
      <c r="I114" s="430">
        <v>40</v>
      </c>
      <c r="J114" s="431">
        <f t="shared" si="95"/>
        <v>0.25</v>
      </c>
      <c r="K114" s="447">
        <f t="shared" si="104"/>
        <v>0.25</v>
      </c>
      <c r="L114" s="448">
        <f t="shared" si="81"/>
        <v>0.25</v>
      </c>
      <c r="M114" s="473">
        <f t="shared" si="96"/>
        <v>9.3749999999999997E-3</v>
      </c>
      <c r="N114" s="473">
        <f t="shared" si="82"/>
        <v>9.3749999999999997E-3</v>
      </c>
      <c r="O114" s="473"/>
      <c r="P114" s="429">
        <v>40</v>
      </c>
      <c r="Q114" s="488">
        <v>0</v>
      </c>
      <c r="R114" s="484">
        <v>33</v>
      </c>
      <c r="S114" s="484">
        <v>18</v>
      </c>
      <c r="T114" s="484">
        <v>18</v>
      </c>
      <c r="U114" s="484">
        <v>21</v>
      </c>
      <c r="V114" s="430">
        <v>40</v>
      </c>
      <c r="W114" s="430">
        <f t="shared" si="106"/>
        <v>92</v>
      </c>
      <c r="X114" s="484">
        <v>12</v>
      </c>
      <c r="Y114" s="430"/>
      <c r="Z114" s="430"/>
      <c r="AA114" s="430"/>
      <c r="AB114" s="430">
        <f t="shared" si="83"/>
        <v>12</v>
      </c>
      <c r="AC114" s="478">
        <v>1</v>
      </c>
      <c r="AD114" s="464">
        <v>1</v>
      </c>
      <c r="AE114" s="464">
        <f t="shared" si="92"/>
        <v>0.3</v>
      </c>
      <c r="AF114" s="478">
        <f t="shared" si="99"/>
        <v>3.7499999999999999E-2</v>
      </c>
      <c r="AG114" s="502">
        <f t="shared" si="100"/>
        <v>3.7499999999999999E-2</v>
      </c>
      <c r="AH114" s="503">
        <f t="shared" si="84"/>
        <v>1.125E-2</v>
      </c>
      <c r="AI114" s="502">
        <f t="shared" si="101"/>
        <v>0.25</v>
      </c>
      <c r="AJ114" s="503">
        <v>0.8125</v>
      </c>
      <c r="AK114" s="1426">
        <f t="shared" si="94"/>
        <v>0.57499999999999996</v>
      </c>
      <c r="AL114" s="502">
        <f t="shared" si="102"/>
        <v>9.3749999999999997E-3</v>
      </c>
      <c r="AM114" s="503">
        <f t="shared" si="103"/>
        <v>3.0468749999999999E-2</v>
      </c>
      <c r="AN114" s="1426">
        <f t="shared" si="90"/>
        <v>2.1562499999999998E-2</v>
      </c>
      <c r="AO114" s="179" t="s">
        <v>1850</v>
      </c>
      <c r="AP114" s="680" t="s">
        <v>1891</v>
      </c>
      <c r="AQ114" s="680" t="s">
        <v>2264</v>
      </c>
      <c r="AR114" s="680" t="s">
        <v>2286</v>
      </c>
      <c r="AS114" s="680" t="s">
        <v>2401</v>
      </c>
      <c r="AT114" s="680" t="s">
        <v>2434</v>
      </c>
      <c r="AU114" s="680" t="s">
        <v>2487</v>
      </c>
      <c r="AV114" s="196"/>
    </row>
    <row r="115" spans="1:48" ht="80.400000000000006" customHeight="1" thickBot="1" x14ac:dyDescent="0.4">
      <c r="A115" s="264"/>
      <c r="B115" s="1430" t="s">
        <v>200</v>
      </c>
      <c r="C115" s="1430" t="s">
        <v>201</v>
      </c>
      <c r="D115" s="402" t="s">
        <v>162</v>
      </c>
      <c r="E115" s="474">
        <v>3.7499999999999999E-2</v>
      </c>
      <c r="F115" s="428">
        <v>14000</v>
      </c>
      <c r="G115" s="429">
        <v>3500</v>
      </c>
      <c r="H115" s="430">
        <v>3500</v>
      </c>
      <c r="I115" s="430">
        <v>3500</v>
      </c>
      <c r="J115" s="431">
        <f t="shared" si="95"/>
        <v>0.25</v>
      </c>
      <c r="K115" s="447">
        <f t="shared" si="104"/>
        <v>0.25</v>
      </c>
      <c r="L115" s="448">
        <f t="shared" si="81"/>
        <v>0.25</v>
      </c>
      <c r="M115" s="473">
        <f t="shared" si="96"/>
        <v>9.3749999999999997E-3</v>
      </c>
      <c r="N115" s="473">
        <f t="shared" si="82"/>
        <v>9.3749999999999997E-3</v>
      </c>
      <c r="O115" s="473"/>
      <c r="P115" s="429">
        <v>3500</v>
      </c>
      <c r="Q115" s="488">
        <v>650</v>
      </c>
      <c r="R115" s="484">
        <v>1058</v>
      </c>
      <c r="S115" s="484">
        <v>566</v>
      </c>
      <c r="T115" s="484">
        <v>699</v>
      </c>
      <c r="U115" s="484">
        <v>527</v>
      </c>
      <c r="V115" s="430">
        <f t="shared" si="105"/>
        <v>3500</v>
      </c>
      <c r="W115" s="430">
        <f t="shared" si="106"/>
        <v>7648</v>
      </c>
      <c r="X115" s="484">
        <v>648</v>
      </c>
      <c r="Y115" s="430"/>
      <c r="Z115" s="430"/>
      <c r="AA115" s="430"/>
      <c r="AB115" s="430">
        <f t="shared" si="83"/>
        <v>648</v>
      </c>
      <c r="AC115" s="478">
        <f t="shared" si="97"/>
        <v>1</v>
      </c>
      <c r="AD115" s="464">
        <f t="shared" si="98"/>
        <v>1</v>
      </c>
      <c r="AE115" s="464">
        <f>+AB115/I115</f>
        <v>0.18514285714285714</v>
      </c>
      <c r="AF115" s="478">
        <f t="shared" si="99"/>
        <v>3.7499999999999999E-2</v>
      </c>
      <c r="AG115" s="502">
        <f t="shared" si="100"/>
        <v>3.7499999999999999E-2</v>
      </c>
      <c r="AH115" s="503">
        <f t="shared" si="84"/>
        <v>6.9428571428571421E-3</v>
      </c>
      <c r="AI115" s="502">
        <f t="shared" si="101"/>
        <v>0.25</v>
      </c>
      <c r="AJ115" s="503">
        <v>0.5</v>
      </c>
      <c r="AK115" s="1426">
        <f t="shared" si="94"/>
        <v>0.54628571428571426</v>
      </c>
      <c r="AL115" s="502">
        <f t="shared" si="102"/>
        <v>9.3749999999999997E-3</v>
      </c>
      <c r="AM115" s="503">
        <f t="shared" si="103"/>
        <v>1.8749999999999999E-2</v>
      </c>
      <c r="AN115" s="1426">
        <f t="shared" si="90"/>
        <v>2.0485714285714284E-2</v>
      </c>
      <c r="AO115" s="179" t="s">
        <v>1850</v>
      </c>
      <c r="AP115" s="680" t="s">
        <v>1891</v>
      </c>
      <c r="AQ115" s="680" t="s">
        <v>2264</v>
      </c>
      <c r="AR115" s="680" t="s">
        <v>2286</v>
      </c>
      <c r="AS115" s="680" t="s">
        <v>2401</v>
      </c>
      <c r="AT115" s="680" t="s">
        <v>2434</v>
      </c>
      <c r="AU115" s="680" t="s">
        <v>2487</v>
      </c>
      <c r="AV115" s="196"/>
    </row>
    <row r="116" spans="1:48" ht="91.95" customHeight="1" thickBot="1" x14ac:dyDescent="0.4">
      <c r="A116" s="264"/>
      <c r="B116" s="1430" t="s">
        <v>202</v>
      </c>
      <c r="C116" s="1430" t="s">
        <v>203</v>
      </c>
      <c r="D116" s="402" t="s">
        <v>162</v>
      </c>
      <c r="E116" s="474">
        <v>3.7499999999999999E-2</v>
      </c>
      <c r="F116" s="428">
        <v>380</v>
      </c>
      <c r="G116" s="429">
        <v>95</v>
      </c>
      <c r="H116" s="430">
        <v>95</v>
      </c>
      <c r="I116" s="1167">
        <v>95</v>
      </c>
      <c r="J116" s="431">
        <f t="shared" si="95"/>
        <v>0.25</v>
      </c>
      <c r="K116" s="447">
        <f t="shared" si="104"/>
        <v>0.25</v>
      </c>
      <c r="L116" s="448">
        <f t="shared" si="81"/>
        <v>0.25</v>
      </c>
      <c r="M116" s="473">
        <f t="shared" si="96"/>
        <v>9.3749999999999997E-3</v>
      </c>
      <c r="N116" s="473">
        <f t="shared" si="82"/>
        <v>9.3749999999999997E-3</v>
      </c>
      <c r="O116" s="473"/>
      <c r="P116" s="429">
        <v>94</v>
      </c>
      <c r="Q116" s="488">
        <v>0</v>
      </c>
      <c r="R116" s="484">
        <v>31</v>
      </c>
      <c r="S116" s="484">
        <v>20</v>
      </c>
      <c r="T116" s="484">
        <v>22</v>
      </c>
      <c r="U116" s="484">
        <v>22</v>
      </c>
      <c r="V116" s="430">
        <f t="shared" si="105"/>
        <v>95</v>
      </c>
      <c r="W116" s="430">
        <f t="shared" si="106"/>
        <v>201.06</v>
      </c>
      <c r="X116" s="484">
        <v>12.06</v>
      </c>
      <c r="Y116" s="430"/>
      <c r="Z116" s="430"/>
      <c r="AA116" s="430"/>
      <c r="AB116" s="430">
        <f t="shared" si="83"/>
        <v>12.06</v>
      </c>
      <c r="AC116" s="478">
        <f t="shared" si="97"/>
        <v>0.98947368421052628</v>
      </c>
      <c r="AD116" s="464">
        <f t="shared" si="98"/>
        <v>1</v>
      </c>
      <c r="AE116" s="464">
        <f t="shared" si="92"/>
        <v>0.12694736842105264</v>
      </c>
      <c r="AF116" s="478">
        <f t="shared" si="99"/>
        <v>3.7105263157894731E-2</v>
      </c>
      <c r="AG116" s="502">
        <f t="shared" si="100"/>
        <v>3.7499999999999999E-2</v>
      </c>
      <c r="AH116" s="503">
        <f t="shared" si="84"/>
        <v>4.7605263157894737E-3</v>
      </c>
      <c r="AI116" s="502">
        <f t="shared" si="101"/>
        <v>0.24736842105263157</v>
      </c>
      <c r="AJ116" s="503">
        <v>0.49736842105263157</v>
      </c>
      <c r="AK116" s="1426">
        <f t="shared" si="94"/>
        <v>0.52910526315789475</v>
      </c>
      <c r="AL116" s="502">
        <f t="shared" si="102"/>
        <v>9.2763157894736829E-3</v>
      </c>
      <c r="AM116" s="503">
        <f t="shared" si="103"/>
        <v>1.8651315789473683E-2</v>
      </c>
      <c r="AN116" s="1426">
        <f t="shared" si="90"/>
        <v>1.9841447368421052E-2</v>
      </c>
      <c r="AO116" s="179" t="s">
        <v>1850</v>
      </c>
      <c r="AP116" s="680" t="s">
        <v>1891</v>
      </c>
      <c r="AQ116" s="680" t="s">
        <v>2264</v>
      </c>
      <c r="AR116" s="680" t="s">
        <v>2286</v>
      </c>
      <c r="AS116" s="680" t="s">
        <v>2401</v>
      </c>
      <c r="AT116" s="680" t="s">
        <v>2434</v>
      </c>
      <c r="AU116" s="680" t="s">
        <v>2487</v>
      </c>
      <c r="AV116" s="196"/>
    </row>
    <row r="117" spans="1:48" ht="163.19999999999999" customHeight="1" thickBot="1" x14ac:dyDescent="0.4">
      <c r="A117" s="264"/>
      <c r="B117" s="1430" t="s">
        <v>204</v>
      </c>
      <c r="C117" s="1430" t="s">
        <v>205</v>
      </c>
      <c r="D117" s="402" t="s">
        <v>162</v>
      </c>
      <c r="E117" s="474">
        <v>3.7499999999999999E-2</v>
      </c>
      <c r="F117" s="428">
        <v>2700</v>
      </c>
      <c r="G117" s="429">
        <v>675</v>
      </c>
      <c r="H117" s="430">
        <v>675</v>
      </c>
      <c r="I117" s="430">
        <v>675</v>
      </c>
      <c r="J117" s="431">
        <f t="shared" si="95"/>
        <v>0.25</v>
      </c>
      <c r="K117" s="447">
        <f t="shared" si="104"/>
        <v>0.25</v>
      </c>
      <c r="L117" s="448">
        <f>+I117/F117</f>
        <v>0.25</v>
      </c>
      <c r="M117" s="473">
        <f t="shared" si="96"/>
        <v>9.3749999999999997E-3</v>
      </c>
      <c r="N117" s="473">
        <f t="shared" si="82"/>
        <v>9.3749999999999997E-3</v>
      </c>
      <c r="O117" s="473"/>
      <c r="P117" s="429">
        <v>674</v>
      </c>
      <c r="Q117" s="488">
        <v>7</v>
      </c>
      <c r="R117" s="484">
        <v>212</v>
      </c>
      <c r="S117" s="484">
        <v>98</v>
      </c>
      <c r="T117" s="484">
        <v>244</v>
      </c>
      <c r="U117" s="484">
        <v>114</v>
      </c>
      <c r="V117" s="430">
        <f t="shared" si="105"/>
        <v>675</v>
      </c>
      <c r="W117" s="430">
        <f t="shared" si="106"/>
        <v>1473</v>
      </c>
      <c r="X117" s="484">
        <v>124</v>
      </c>
      <c r="Y117" s="430"/>
      <c r="Z117" s="430"/>
      <c r="AA117" s="430"/>
      <c r="AB117" s="430">
        <f t="shared" si="83"/>
        <v>124</v>
      </c>
      <c r="AC117" s="478">
        <f t="shared" si="97"/>
        <v>0.99851851851851847</v>
      </c>
      <c r="AD117" s="464">
        <f t="shared" si="98"/>
        <v>1</v>
      </c>
      <c r="AE117" s="464">
        <f t="shared" si="92"/>
        <v>0.1837037037037037</v>
      </c>
      <c r="AF117" s="478">
        <f t="shared" si="99"/>
        <v>3.744444444444444E-2</v>
      </c>
      <c r="AG117" s="502">
        <f t="shared" si="100"/>
        <v>3.7499999999999999E-2</v>
      </c>
      <c r="AH117" s="503">
        <f t="shared" si="84"/>
        <v>6.8888888888888888E-3</v>
      </c>
      <c r="AI117" s="502">
        <f t="shared" si="101"/>
        <v>0.24962962962962962</v>
      </c>
      <c r="AJ117" s="503">
        <v>0.49962962962962965</v>
      </c>
      <c r="AK117" s="1426">
        <f t="shared" si="94"/>
        <v>0.54555555555555557</v>
      </c>
      <c r="AL117" s="502">
        <f t="shared" si="102"/>
        <v>9.36111111111111E-3</v>
      </c>
      <c r="AM117" s="503">
        <f t="shared" si="103"/>
        <v>1.873611111111111E-2</v>
      </c>
      <c r="AN117" s="1426">
        <f t="shared" si="90"/>
        <v>2.0458333333333332E-2</v>
      </c>
      <c r="AO117" s="179" t="s">
        <v>1850</v>
      </c>
      <c r="AP117" s="680" t="s">
        <v>1891</v>
      </c>
      <c r="AQ117" s="680" t="s">
        <v>2264</v>
      </c>
      <c r="AR117" s="680" t="s">
        <v>2286</v>
      </c>
      <c r="AS117" s="680" t="s">
        <v>2401</v>
      </c>
      <c r="AT117" s="680" t="s">
        <v>2434</v>
      </c>
      <c r="AU117" s="680" t="s">
        <v>2487</v>
      </c>
      <c r="AV117" s="196"/>
    </row>
    <row r="118" spans="1:48" ht="100.2" customHeight="1" thickBot="1" x14ac:dyDescent="0.4">
      <c r="A118" s="264"/>
      <c r="B118" s="1430" t="s">
        <v>206</v>
      </c>
      <c r="C118" s="1430" t="s">
        <v>207</v>
      </c>
      <c r="D118" s="402" t="s">
        <v>162</v>
      </c>
      <c r="E118" s="474">
        <v>0.2</v>
      </c>
      <c r="F118" s="428">
        <v>59184</v>
      </c>
      <c r="G118" s="429">
        <v>14796</v>
      </c>
      <c r="H118" s="429">
        <v>14796</v>
      </c>
      <c r="I118" s="430">
        <v>14796</v>
      </c>
      <c r="J118" s="431">
        <f t="shared" si="95"/>
        <v>0.25</v>
      </c>
      <c r="K118" s="447">
        <f t="shared" si="104"/>
        <v>0.25</v>
      </c>
      <c r="L118" s="448">
        <f>+I118/F118</f>
        <v>0.25</v>
      </c>
      <c r="M118" s="473">
        <f t="shared" si="96"/>
        <v>0.05</v>
      </c>
      <c r="N118" s="473">
        <f t="shared" si="82"/>
        <v>0.05</v>
      </c>
      <c r="O118" s="473"/>
      <c r="P118" s="429">
        <v>12957</v>
      </c>
      <c r="Q118" s="488">
        <v>1876</v>
      </c>
      <c r="R118" s="488">
        <v>3026</v>
      </c>
      <c r="S118" s="484">
        <v>2890</v>
      </c>
      <c r="T118" s="484">
        <v>1371</v>
      </c>
      <c r="U118" s="484">
        <v>1057</v>
      </c>
      <c r="V118" s="430">
        <f t="shared" si="105"/>
        <v>10220</v>
      </c>
      <c r="W118" s="430">
        <f t="shared" si="106"/>
        <v>25190</v>
      </c>
      <c r="X118" s="484">
        <v>2013</v>
      </c>
      <c r="Y118" s="430"/>
      <c r="Z118" s="430"/>
      <c r="AA118" s="430"/>
      <c r="AB118" s="430">
        <f t="shared" si="83"/>
        <v>2013</v>
      </c>
      <c r="AC118" s="478">
        <f t="shared" si="97"/>
        <v>0.87570965125709654</v>
      </c>
      <c r="AD118" s="464">
        <f t="shared" si="98"/>
        <v>0.6907272235739389</v>
      </c>
      <c r="AE118" s="464">
        <f t="shared" si="92"/>
        <v>0.13605028386050283</v>
      </c>
      <c r="AF118" s="478">
        <f t="shared" si="99"/>
        <v>0.17514193025141933</v>
      </c>
      <c r="AG118" s="502">
        <f t="shared" si="100"/>
        <v>0.13814544471478779</v>
      </c>
      <c r="AH118" s="503">
        <f t="shared" si="84"/>
        <v>2.7210056772100567E-2</v>
      </c>
      <c r="AI118" s="502">
        <f t="shared" si="101"/>
        <v>0.21892741281427414</v>
      </c>
      <c r="AJ118" s="503">
        <v>0.39160921870775883</v>
      </c>
      <c r="AK118" s="1426">
        <f t="shared" si="94"/>
        <v>0.42562178967288455</v>
      </c>
      <c r="AL118" s="502">
        <f t="shared" si="102"/>
        <v>4.3785482562854833E-2</v>
      </c>
      <c r="AM118" s="503">
        <f t="shared" si="103"/>
        <v>7.8321843741551767E-2</v>
      </c>
      <c r="AN118" s="1426">
        <f t="shared" si="90"/>
        <v>8.5124357934576914E-2</v>
      </c>
      <c r="AO118" s="179" t="s">
        <v>1850</v>
      </c>
      <c r="AP118" s="680" t="s">
        <v>1891</v>
      </c>
      <c r="AQ118" s="680" t="s">
        <v>2264</v>
      </c>
      <c r="AR118" s="680" t="s">
        <v>2286</v>
      </c>
      <c r="AS118" s="680" t="s">
        <v>2401</v>
      </c>
      <c r="AT118" s="680" t="s">
        <v>2434</v>
      </c>
      <c r="AU118" s="680" t="s">
        <v>2487</v>
      </c>
      <c r="AV118" s="196"/>
    </row>
    <row r="119" spans="1:48" ht="94.95" customHeight="1" thickBot="1" x14ac:dyDescent="0.4">
      <c r="A119" s="264"/>
      <c r="B119" s="1430" t="s">
        <v>208</v>
      </c>
      <c r="C119" s="1430" t="s">
        <v>209</v>
      </c>
      <c r="D119" s="402" t="s">
        <v>162</v>
      </c>
      <c r="E119" s="474">
        <v>3.7499999999999999E-2</v>
      </c>
      <c r="F119" s="428">
        <v>28</v>
      </c>
      <c r="G119" s="429">
        <v>7</v>
      </c>
      <c r="H119" s="430">
        <v>7</v>
      </c>
      <c r="I119" s="430">
        <v>7</v>
      </c>
      <c r="J119" s="431">
        <f t="shared" si="95"/>
        <v>0.25</v>
      </c>
      <c r="K119" s="447">
        <f t="shared" si="104"/>
        <v>0.25</v>
      </c>
      <c r="L119" s="448">
        <f t="shared" si="81"/>
        <v>0.25</v>
      </c>
      <c r="M119" s="473">
        <f t="shared" si="96"/>
        <v>9.3749999999999997E-3</v>
      </c>
      <c r="N119" s="473">
        <f t="shared" si="82"/>
        <v>9.3749999999999997E-3</v>
      </c>
      <c r="O119" s="473"/>
      <c r="P119" s="429">
        <v>7</v>
      </c>
      <c r="Q119" s="488">
        <v>0</v>
      </c>
      <c r="R119" s="484">
        <v>3.7</v>
      </c>
      <c r="S119" s="484">
        <v>0.69</v>
      </c>
      <c r="T119" s="484">
        <v>0.6</v>
      </c>
      <c r="U119" s="484">
        <v>2</v>
      </c>
      <c r="V119" s="494">
        <f t="shared" si="105"/>
        <v>6.99</v>
      </c>
      <c r="W119" s="430">
        <f t="shared" si="106"/>
        <v>15.25</v>
      </c>
      <c r="X119" s="484">
        <v>1.26</v>
      </c>
      <c r="Y119" s="430"/>
      <c r="Z119" s="430"/>
      <c r="AA119" s="430"/>
      <c r="AB119" s="430">
        <f t="shared" si="83"/>
        <v>1.26</v>
      </c>
      <c r="AC119" s="478">
        <f t="shared" si="97"/>
        <v>1</v>
      </c>
      <c r="AD119" s="464">
        <f t="shared" si="98"/>
        <v>0.99857142857142855</v>
      </c>
      <c r="AE119" s="464">
        <f t="shared" si="92"/>
        <v>0.18</v>
      </c>
      <c r="AF119" s="478">
        <f t="shared" si="99"/>
        <v>3.7499999999999999E-2</v>
      </c>
      <c r="AG119" s="502">
        <f t="shared" si="100"/>
        <v>3.7446428571428568E-2</v>
      </c>
      <c r="AH119" s="503">
        <f t="shared" si="84"/>
        <v>6.7499999999999999E-3</v>
      </c>
      <c r="AI119" s="502">
        <f t="shared" si="101"/>
        <v>0.25</v>
      </c>
      <c r="AJ119" s="503">
        <v>0.49964285714285717</v>
      </c>
      <c r="AK119" s="1426">
        <f t="shared" si="94"/>
        <v>0.5446428571428571</v>
      </c>
      <c r="AL119" s="502">
        <f t="shared" si="102"/>
        <v>9.3749999999999997E-3</v>
      </c>
      <c r="AM119" s="503">
        <f t="shared" si="103"/>
        <v>1.8736607142857142E-2</v>
      </c>
      <c r="AN119" s="1426">
        <f t="shared" si="90"/>
        <v>2.042410714285714E-2</v>
      </c>
      <c r="AO119" s="179" t="s">
        <v>1850</v>
      </c>
      <c r="AP119" s="680" t="s">
        <v>1891</v>
      </c>
      <c r="AQ119" s="680" t="s">
        <v>2264</v>
      </c>
      <c r="AR119" s="680" t="s">
        <v>2286</v>
      </c>
      <c r="AS119" s="680" t="s">
        <v>2401</v>
      </c>
      <c r="AT119" s="680" t="s">
        <v>2434</v>
      </c>
      <c r="AU119" s="680" t="s">
        <v>2487</v>
      </c>
      <c r="AV119" s="196"/>
    </row>
    <row r="120" spans="1:48" ht="153.6" customHeight="1" thickBot="1" x14ac:dyDescent="0.4">
      <c r="A120" s="264"/>
      <c r="B120" s="1430" t="s">
        <v>210</v>
      </c>
      <c r="C120" s="1430" t="s">
        <v>211</v>
      </c>
      <c r="D120" s="402" t="s">
        <v>162</v>
      </c>
      <c r="E120" s="474">
        <v>0.1</v>
      </c>
      <c r="F120" s="428">
        <v>32</v>
      </c>
      <c r="G120" s="429">
        <v>4</v>
      </c>
      <c r="H120" s="430">
        <v>8</v>
      </c>
      <c r="I120" s="430">
        <v>11</v>
      </c>
      <c r="J120" s="431">
        <f t="shared" si="95"/>
        <v>0.125</v>
      </c>
      <c r="K120" s="447">
        <f t="shared" si="104"/>
        <v>0.25</v>
      </c>
      <c r="L120" s="448">
        <f t="shared" si="81"/>
        <v>0.34375</v>
      </c>
      <c r="M120" s="473">
        <f t="shared" si="96"/>
        <v>1.2500000000000001E-2</v>
      </c>
      <c r="N120" s="473">
        <f>+(H120/F120)*E120</f>
        <v>2.5000000000000001E-2</v>
      </c>
      <c r="O120" s="473"/>
      <c r="P120" s="429">
        <v>8</v>
      </c>
      <c r="Q120" s="488">
        <v>0</v>
      </c>
      <c r="R120" s="484">
        <v>12</v>
      </c>
      <c r="S120" s="484">
        <v>3</v>
      </c>
      <c r="T120" s="484">
        <v>4</v>
      </c>
      <c r="U120" s="484">
        <v>31</v>
      </c>
      <c r="V120" s="430">
        <f t="shared" si="105"/>
        <v>50</v>
      </c>
      <c r="W120" s="430">
        <f t="shared" si="106"/>
        <v>58</v>
      </c>
      <c r="X120" s="484">
        <v>0</v>
      </c>
      <c r="Y120" s="430"/>
      <c r="Z120" s="430"/>
      <c r="AA120" s="430"/>
      <c r="AB120" s="430">
        <f t="shared" si="83"/>
        <v>0</v>
      </c>
      <c r="AC120" s="478">
        <v>1</v>
      </c>
      <c r="AD120" s="464">
        <v>1</v>
      </c>
      <c r="AE120" s="464">
        <f t="shared" si="92"/>
        <v>0</v>
      </c>
      <c r="AF120" s="478">
        <f t="shared" si="99"/>
        <v>0.1</v>
      </c>
      <c r="AG120" s="502">
        <f t="shared" si="100"/>
        <v>0.1</v>
      </c>
      <c r="AH120" s="503">
        <f t="shared" si="84"/>
        <v>0</v>
      </c>
      <c r="AI120" s="502">
        <f>+P120/F120</f>
        <v>0.25</v>
      </c>
      <c r="AJ120" s="503">
        <v>1</v>
      </c>
      <c r="AK120" s="1426">
        <v>1</v>
      </c>
      <c r="AL120" s="502">
        <f t="shared" si="102"/>
        <v>2.5000000000000001E-2</v>
      </c>
      <c r="AM120" s="503">
        <f t="shared" si="103"/>
        <v>0.1</v>
      </c>
      <c r="AN120" s="1426">
        <f t="shared" si="90"/>
        <v>0.1</v>
      </c>
      <c r="AO120" s="598" t="s">
        <v>1851</v>
      </c>
      <c r="AP120" s="680" t="s">
        <v>1891</v>
      </c>
      <c r="AQ120" s="680" t="s">
        <v>2264</v>
      </c>
      <c r="AR120" s="680" t="s">
        <v>2286</v>
      </c>
      <c r="AS120" s="680" t="s">
        <v>2401</v>
      </c>
      <c r="AT120" s="680" t="s">
        <v>2434</v>
      </c>
      <c r="AU120" s="680" t="s">
        <v>2487</v>
      </c>
      <c r="AV120" s="196"/>
    </row>
    <row r="121" spans="1:48" ht="176.4" customHeight="1" thickBot="1" x14ac:dyDescent="0.4">
      <c r="A121" s="264"/>
      <c r="B121" s="1430" t="s">
        <v>212</v>
      </c>
      <c r="C121" s="1430" t="s">
        <v>213</v>
      </c>
      <c r="D121" s="402" t="s">
        <v>162</v>
      </c>
      <c r="E121" s="474">
        <v>3.7499999999999999E-2</v>
      </c>
      <c r="F121" s="428">
        <f>72*4</f>
        <v>288</v>
      </c>
      <c r="G121" s="429">
        <v>72</v>
      </c>
      <c r="H121" s="430">
        <v>72</v>
      </c>
      <c r="I121" s="430">
        <v>72</v>
      </c>
      <c r="J121" s="431">
        <f t="shared" si="95"/>
        <v>0.25</v>
      </c>
      <c r="K121" s="447">
        <f t="shared" si="104"/>
        <v>0.25</v>
      </c>
      <c r="L121" s="448">
        <f t="shared" si="81"/>
        <v>0.25</v>
      </c>
      <c r="M121" s="473">
        <f t="shared" si="96"/>
        <v>9.3749999999999997E-3</v>
      </c>
      <c r="N121" s="473">
        <f t="shared" si="82"/>
        <v>9.3749999999999997E-3</v>
      </c>
      <c r="O121" s="473"/>
      <c r="P121" s="429">
        <v>70</v>
      </c>
      <c r="Q121" s="488">
        <v>0</v>
      </c>
      <c r="R121" s="484">
        <v>36</v>
      </c>
      <c r="S121" s="484">
        <v>30</v>
      </c>
      <c r="T121" s="484">
        <v>5</v>
      </c>
      <c r="U121" s="484">
        <f>26-T121</f>
        <v>21</v>
      </c>
      <c r="V121" s="430">
        <f t="shared" si="105"/>
        <v>92</v>
      </c>
      <c r="W121" s="430">
        <f t="shared" si="106"/>
        <v>180</v>
      </c>
      <c r="X121" s="484">
        <v>18</v>
      </c>
      <c r="Y121" s="430"/>
      <c r="Z121" s="430"/>
      <c r="AA121" s="430"/>
      <c r="AB121" s="430">
        <f t="shared" si="83"/>
        <v>18</v>
      </c>
      <c r="AC121" s="478">
        <f t="shared" si="97"/>
        <v>0.97222222222222221</v>
      </c>
      <c r="AD121" s="464">
        <v>1</v>
      </c>
      <c r="AE121" s="464">
        <f t="shared" si="92"/>
        <v>0.25</v>
      </c>
      <c r="AF121" s="478">
        <f t="shared" si="99"/>
        <v>3.6458333333333329E-2</v>
      </c>
      <c r="AG121" s="502">
        <f t="shared" si="100"/>
        <v>3.7499999999999999E-2</v>
      </c>
      <c r="AH121" s="503">
        <f t="shared" si="84"/>
        <v>9.3749999999999997E-3</v>
      </c>
      <c r="AI121" s="502">
        <f t="shared" si="101"/>
        <v>0.24305555555555555</v>
      </c>
      <c r="AJ121" s="503">
        <v>0.5625</v>
      </c>
      <c r="AK121" s="1426">
        <f t="shared" si="94"/>
        <v>0.625</v>
      </c>
      <c r="AL121" s="502">
        <f t="shared" si="102"/>
        <v>9.1145833333333322E-3</v>
      </c>
      <c r="AM121" s="503">
        <f t="shared" si="103"/>
        <v>2.1093749999999998E-2</v>
      </c>
      <c r="AN121" s="1426">
        <f t="shared" si="90"/>
        <v>2.34375E-2</v>
      </c>
      <c r="AO121" s="598" t="s">
        <v>1850</v>
      </c>
      <c r="AP121" s="680" t="s">
        <v>1891</v>
      </c>
      <c r="AQ121" s="680" t="s">
        <v>2264</v>
      </c>
      <c r="AR121" s="680" t="s">
        <v>2286</v>
      </c>
      <c r="AS121" s="680" t="s">
        <v>2401</v>
      </c>
      <c r="AT121" s="680" t="s">
        <v>2434</v>
      </c>
      <c r="AU121" s="680" t="s">
        <v>2487</v>
      </c>
      <c r="AV121" s="196"/>
    </row>
    <row r="122" spans="1:48" ht="114.6" customHeight="1" thickBot="1" x14ac:dyDescent="0.4">
      <c r="A122" s="264"/>
      <c r="B122" s="1430" t="s">
        <v>214</v>
      </c>
      <c r="C122" s="1430" t="s">
        <v>215</v>
      </c>
      <c r="D122" s="402" t="s">
        <v>162</v>
      </c>
      <c r="E122" s="474">
        <v>3.7499999999999999E-2</v>
      </c>
      <c r="F122" s="428">
        <v>300</v>
      </c>
      <c r="G122" s="429">
        <v>75</v>
      </c>
      <c r="H122" s="430">
        <v>75</v>
      </c>
      <c r="I122" s="430">
        <v>75</v>
      </c>
      <c r="J122" s="431">
        <f t="shared" si="95"/>
        <v>0.25</v>
      </c>
      <c r="K122" s="447">
        <f t="shared" si="104"/>
        <v>0.25</v>
      </c>
      <c r="L122" s="448">
        <f t="shared" si="81"/>
        <v>0.25</v>
      </c>
      <c r="M122" s="473">
        <f t="shared" si="96"/>
        <v>9.3749999999999997E-3</v>
      </c>
      <c r="N122" s="473">
        <f t="shared" si="82"/>
        <v>9.3749999999999997E-3</v>
      </c>
      <c r="O122" s="473"/>
      <c r="P122" s="429">
        <v>75</v>
      </c>
      <c r="Q122" s="488">
        <v>0</v>
      </c>
      <c r="R122" s="484">
        <v>20</v>
      </c>
      <c r="S122" s="484">
        <v>32</v>
      </c>
      <c r="T122" s="484">
        <v>18</v>
      </c>
      <c r="U122" s="484">
        <v>12</v>
      </c>
      <c r="V122" s="430">
        <f t="shared" si="105"/>
        <v>82</v>
      </c>
      <c r="W122" s="430">
        <f t="shared" si="106"/>
        <v>176</v>
      </c>
      <c r="X122" s="484">
        <v>19</v>
      </c>
      <c r="Y122" s="430"/>
      <c r="Z122" s="430"/>
      <c r="AA122" s="430"/>
      <c r="AB122" s="430">
        <f t="shared" si="83"/>
        <v>19</v>
      </c>
      <c r="AC122" s="478">
        <f t="shared" si="97"/>
        <v>1</v>
      </c>
      <c r="AD122" s="464">
        <v>1</v>
      </c>
      <c r="AE122" s="464">
        <f t="shared" si="92"/>
        <v>0.25333333333333335</v>
      </c>
      <c r="AF122" s="478">
        <f t="shared" si="99"/>
        <v>3.7499999999999999E-2</v>
      </c>
      <c r="AG122" s="502">
        <f>+AD122*E122</f>
        <v>3.7499999999999999E-2</v>
      </c>
      <c r="AH122" s="503">
        <f t="shared" si="84"/>
        <v>9.4999999999999998E-3</v>
      </c>
      <c r="AI122" s="502">
        <f t="shared" si="101"/>
        <v>0.25</v>
      </c>
      <c r="AJ122" s="503">
        <v>0.52333333333333332</v>
      </c>
      <c r="AK122" s="1426">
        <f t="shared" si="94"/>
        <v>0.58666666666666667</v>
      </c>
      <c r="AL122" s="502">
        <f t="shared" si="102"/>
        <v>9.3749999999999997E-3</v>
      </c>
      <c r="AM122" s="503">
        <f t="shared" si="103"/>
        <v>1.9625E-2</v>
      </c>
      <c r="AN122" s="1426">
        <f t="shared" si="90"/>
        <v>2.1999999999999999E-2</v>
      </c>
      <c r="AO122" s="598" t="s">
        <v>1850</v>
      </c>
      <c r="AP122" s="680" t="s">
        <v>1891</v>
      </c>
      <c r="AQ122" s="680" t="s">
        <v>2264</v>
      </c>
      <c r="AR122" s="680" t="s">
        <v>2286</v>
      </c>
      <c r="AS122" s="680" t="s">
        <v>2401</v>
      </c>
      <c r="AT122" s="680" t="s">
        <v>2434</v>
      </c>
      <c r="AU122" s="680" t="s">
        <v>2487</v>
      </c>
      <c r="AV122" s="196"/>
    </row>
    <row r="123" spans="1:48" ht="105.6" customHeight="1" thickBot="1" x14ac:dyDescent="0.4">
      <c r="A123" s="264"/>
      <c r="B123" s="1430" t="s">
        <v>216</v>
      </c>
      <c r="C123" s="1430" t="s">
        <v>217</v>
      </c>
      <c r="D123" s="402" t="s">
        <v>162</v>
      </c>
      <c r="E123" s="474">
        <v>3.7499999999999999E-2</v>
      </c>
      <c r="F123" s="428">
        <v>300</v>
      </c>
      <c r="G123" s="429">
        <v>75</v>
      </c>
      <c r="H123" s="430">
        <v>75</v>
      </c>
      <c r="I123" s="430">
        <v>75</v>
      </c>
      <c r="J123" s="431">
        <f t="shared" si="95"/>
        <v>0.25</v>
      </c>
      <c r="K123" s="447">
        <f t="shared" si="104"/>
        <v>0.25</v>
      </c>
      <c r="L123" s="448">
        <f t="shared" si="81"/>
        <v>0.25</v>
      </c>
      <c r="M123" s="473">
        <f t="shared" si="96"/>
        <v>9.3749999999999997E-3</v>
      </c>
      <c r="N123" s="473">
        <f t="shared" si="82"/>
        <v>9.3749999999999997E-3</v>
      </c>
      <c r="O123" s="473"/>
      <c r="P123" s="429">
        <v>75</v>
      </c>
      <c r="Q123" s="488">
        <v>0</v>
      </c>
      <c r="R123" s="484">
        <v>19</v>
      </c>
      <c r="S123" s="484">
        <v>37</v>
      </c>
      <c r="T123" s="484">
        <v>18</v>
      </c>
      <c r="U123" s="484">
        <v>11</v>
      </c>
      <c r="V123" s="430">
        <f t="shared" si="105"/>
        <v>85</v>
      </c>
      <c r="W123" s="430">
        <f t="shared" si="106"/>
        <v>186</v>
      </c>
      <c r="X123" s="484">
        <v>26</v>
      </c>
      <c r="Y123" s="430"/>
      <c r="Z123" s="430"/>
      <c r="AA123" s="430"/>
      <c r="AB123" s="430">
        <f t="shared" si="83"/>
        <v>26</v>
      </c>
      <c r="AC123" s="478">
        <f t="shared" si="97"/>
        <v>1</v>
      </c>
      <c r="AD123" s="464">
        <v>1</v>
      </c>
      <c r="AE123" s="464">
        <f t="shared" si="92"/>
        <v>0.34666666666666668</v>
      </c>
      <c r="AF123" s="478">
        <f t="shared" si="99"/>
        <v>3.7499999999999999E-2</v>
      </c>
      <c r="AG123" s="502">
        <f t="shared" si="100"/>
        <v>3.7499999999999999E-2</v>
      </c>
      <c r="AH123" s="503">
        <f t="shared" si="84"/>
        <v>1.2999999999999999E-2</v>
      </c>
      <c r="AI123" s="502">
        <f t="shared" si="101"/>
        <v>0.25</v>
      </c>
      <c r="AJ123" s="503">
        <v>0.53333333333333333</v>
      </c>
      <c r="AK123" s="1426">
        <f t="shared" si="94"/>
        <v>0.62</v>
      </c>
      <c r="AL123" s="502">
        <f t="shared" si="102"/>
        <v>9.3749999999999997E-3</v>
      </c>
      <c r="AM123" s="503">
        <f t="shared" si="103"/>
        <v>0.02</v>
      </c>
      <c r="AN123" s="1426">
        <f t="shared" si="90"/>
        <v>2.325E-2</v>
      </c>
      <c r="AO123" s="598" t="s">
        <v>1850</v>
      </c>
      <c r="AP123" s="680" t="s">
        <v>1891</v>
      </c>
      <c r="AQ123" s="680" t="s">
        <v>2264</v>
      </c>
      <c r="AR123" s="680" t="s">
        <v>2286</v>
      </c>
      <c r="AS123" s="680" t="s">
        <v>2401</v>
      </c>
      <c r="AT123" s="680" t="s">
        <v>2434</v>
      </c>
      <c r="AU123" s="680" t="s">
        <v>2487</v>
      </c>
      <c r="AV123" s="196"/>
    </row>
    <row r="124" spans="1:48" ht="92.4" customHeight="1" thickBot="1" x14ac:dyDescent="0.4">
      <c r="A124" s="264"/>
      <c r="B124" s="1430" t="s">
        <v>218</v>
      </c>
      <c r="C124" s="1430" t="s">
        <v>219</v>
      </c>
      <c r="D124" s="402" t="s">
        <v>162</v>
      </c>
      <c r="E124" s="474">
        <v>3.7499999999999999E-2</v>
      </c>
      <c r="F124" s="428">
        <v>720</v>
      </c>
      <c r="G124" s="429">
        <v>180</v>
      </c>
      <c r="H124" s="430">
        <v>180</v>
      </c>
      <c r="I124" s="430">
        <v>180</v>
      </c>
      <c r="J124" s="431">
        <f t="shared" si="95"/>
        <v>0.25</v>
      </c>
      <c r="K124" s="447">
        <f t="shared" si="104"/>
        <v>0.25</v>
      </c>
      <c r="L124" s="448">
        <f>+I124/F124</f>
        <v>0.25</v>
      </c>
      <c r="M124" s="473">
        <f t="shared" si="96"/>
        <v>9.3749999999999997E-3</v>
      </c>
      <c r="N124" s="473">
        <f t="shared" si="82"/>
        <v>9.3749999999999997E-3</v>
      </c>
      <c r="O124" s="473"/>
      <c r="P124" s="429">
        <v>224</v>
      </c>
      <c r="Q124" s="488">
        <v>3</v>
      </c>
      <c r="R124" s="484">
        <v>76</v>
      </c>
      <c r="S124" s="484">
        <v>48</v>
      </c>
      <c r="T124" s="484">
        <v>39</v>
      </c>
      <c r="U124" s="484">
        <v>14</v>
      </c>
      <c r="V124" s="430">
        <f t="shared" si="105"/>
        <v>180</v>
      </c>
      <c r="W124" s="430">
        <f>+V124+P124+AB124</f>
        <v>423</v>
      </c>
      <c r="X124" s="484">
        <v>19</v>
      </c>
      <c r="Y124" s="430"/>
      <c r="Z124" s="430"/>
      <c r="AA124" s="430"/>
      <c r="AB124" s="430">
        <f t="shared" si="83"/>
        <v>19</v>
      </c>
      <c r="AC124" s="478">
        <v>1</v>
      </c>
      <c r="AD124" s="464">
        <f>+V124/H124</f>
        <v>1</v>
      </c>
      <c r="AE124" s="464">
        <f t="shared" si="92"/>
        <v>0.10555555555555556</v>
      </c>
      <c r="AF124" s="478">
        <f>+AC124*E124</f>
        <v>3.7499999999999999E-2</v>
      </c>
      <c r="AG124" s="502">
        <f t="shared" si="100"/>
        <v>3.7499999999999999E-2</v>
      </c>
      <c r="AH124" s="504">
        <f t="shared" si="84"/>
        <v>3.9583333333333328E-3</v>
      </c>
      <c r="AI124" s="502">
        <f t="shared" si="101"/>
        <v>0.31111111111111112</v>
      </c>
      <c r="AJ124" s="504">
        <v>0.56111111111111112</v>
      </c>
      <c r="AK124" s="1426">
        <f t="shared" si="94"/>
        <v>0.58750000000000002</v>
      </c>
      <c r="AL124" s="502">
        <f>+AI124*E124</f>
        <v>1.1666666666666667E-2</v>
      </c>
      <c r="AM124" s="503">
        <f t="shared" si="103"/>
        <v>2.1041666666666667E-2</v>
      </c>
      <c r="AN124" s="449">
        <f t="shared" si="90"/>
        <v>2.2031249999999999E-2</v>
      </c>
      <c r="AO124" s="598" t="s">
        <v>1850</v>
      </c>
      <c r="AP124" s="680" t="s">
        <v>1891</v>
      </c>
      <c r="AQ124" s="680" t="s">
        <v>2264</v>
      </c>
      <c r="AR124" s="680" t="s">
        <v>2286</v>
      </c>
      <c r="AS124" s="680" t="s">
        <v>2401</v>
      </c>
      <c r="AT124" s="680" t="s">
        <v>2434</v>
      </c>
      <c r="AU124" s="680" t="s">
        <v>2434</v>
      </c>
      <c r="AV124" s="196"/>
    </row>
    <row r="125" spans="1:48" ht="99" customHeight="1" thickBot="1" x14ac:dyDescent="0.45">
      <c r="A125" s="264"/>
      <c r="B125" s="1535" t="s">
        <v>1610</v>
      </c>
      <c r="C125" s="1534"/>
      <c r="D125" s="402"/>
      <c r="E125" s="424">
        <v>0.05</v>
      </c>
      <c r="F125" s="427"/>
      <c r="G125" s="429"/>
      <c r="H125" s="430"/>
      <c r="I125" s="430"/>
      <c r="J125" s="426">
        <f>+AVERAGE(J126:J129)</f>
        <v>0.25</v>
      </c>
      <c r="K125" s="446">
        <f>+AVERAGE(K126:K129)</f>
        <v>0.25</v>
      </c>
      <c r="L125" s="498">
        <f>+AVERAGE(L126:L129)</f>
        <v>0.25</v>
      </c>
      <c r="M125" s="426">
        <f>+M126+M127+M128+M129</f>
        <v>0.15</v>
      </c>
      <c r="N125" s="426">
        <f>+N126+N127+N128+N129</f>
        <v>0.15</v>
      </c>
      <c r="O125" s="426"/>
      <c r="P125" s="427"/>
      <c r="Q125" s="433"/>
      <c r="R125" s="433"/>
      <c r="S125" s="433"/>
      <c r="T125" s="433"/>
      <c r="U125" s="981"/>
      <c r="V125" s="433"/>
      <c r="W125" s="433"/>
      <c r="X125" s="430"/>
      <c r="Y125" s="430"/>
      <c r="Z125" s="430"/>
      <c r="AA125" s="430"/>
      <c r="AB125" s="430"/>
      <c r="AC125" s="486">
        <f>+AVERAGE(AC126:AC129)</f>
        <v>1</v>
      </c>
      <c r="AD125" s="486">
        <f>+AVERAGE(AD126:AD129)</f>
        <v>1</v>
      </c>
      <c r="AE125" s="486">
        <f>+AVERAGE(AE126:AE129)</f>
        <v>0.3</v>
      </c>
      <c r="AF125" s="486">
        <f>+(AF126+AF127+AF128+AF129)*E125</f>
        <v>0.03</v>
      </c>
      <c r="AG125" s="505">
        <f>+(AG126+AG127+AG128+AG129)*F125</f>
        <v>0</v>
      </c>
      <c r="AH125" s="1033">
        <f>+(AH126+AH127+AH128+AH129)*E125</f>
        <v>8.9999999999999993E-3</v>
      </c>
      <c r="AI125" s="446">
        <f>+AVERAGE(AI126:AI129)</f>
        <v>0.25</v>
      </c>
      <c r="AJ125" s="506">
        <v>0.3125</v>
      </c>
      <c r="AK125" s="506">
        <f>+AJ125+((AK127-AJ127)/4)</f>
        <v>0.33124999999999999</v>
      </c>
      <c r="AL125" s="446">
        <f>+(AL126+AL127+AL128+AL129)*E125</f>
        <v>7.4999999999999997E-3</v>
      </c>
      <c r="AM125" s="498">
        <f>+(AM126+AM127+AM128+AM129)</f>
        <v>0.3</v>
      </c>
      <c r="AN125" s="498">
        <f>+(AN126+AN127+AN128+AN129)</f>
        <v>0.34499999999999997</v>
      </c>
      <c r="AO125" s="172"/>
      <c r="AP125" s="584" t="s">
        <v>1965</v>
      </c>
      <c r="AQ125" s="400"/>
      <c r="AR125" s="584" t="s">
        <v>1965</v>
      </c>
      <c r="AS125" s="400"/>
      <c r="AT125" s="400"/>
      <c r="AU125" s="196"/>
      <c r="AV125" s="196"/>
    </row>
    <row r="126" spans="1:48" ht="118.2" customHeight="1" thickBot="1" x14ac:dyDescent="0.4">
      <c r="A126" s="264"/>
      <c r="B126" s="1430" t="s">
        <v>220</v>
      </c>
      <c r="C126" s="1430" t="s">
        <v>221</v>
      </c>
      <c r="D126" s="402" t="s">
        <v>222</v>
      </c>
      <c r="E126" s="310">
        <v>0.1</v>
      </c>
      <c r="F126" s="428">
        <v>1</v>
      </c>
      <c r="G126" s="429">
        <v>0</v>
      </c>
      <c r="H126" s="430">
        <v>0</v>
      </c>
      <c r="I126" s="430">
        <v>0</v>
      </c>
      <c r="J126" s="431"/>
      <c r="K126" s="447"/>
      <c r="L126" s="1035"/>
      <c r="M126" s="473"/>
      <c r="N126" s="473"/>
      <c r="O126" s="473"/>
      <c r="P126" s="429"/>
      <c r="Q126" s="488"/>
      <c r="R126" s="484"/>
      <c r="S126" s="484"/>
      <c r="T126" s="484"/>
      <c r="U126" s="484"/>
      <c r="V126" s="430">
        <f>+Q126+R126+S126+T126+U126</f>
        <v>0</v>
      </c>
      <c r="W126" s="430">
        <f>+V126+P126+AB126</f>
        <v>0</v>
      </c>
      <c r="X126" s="484"/>
      <c r="Y126" s="430"/>
      <c r="Z126" s="430"/>
      <c r="AA126" s="430"/>
      <c r="AB126" s="430">
        <f t="shared" si="83"/>
        <v>0</v>
      </c>
      <c r="AC126" s="472"/>
      <c r="AD126" s="473"/>
      <c r="AE126" s="473"/>
      <c r="AF126" s="472"/>
      <c r="AG126" s="510"/>
      <c r="AH126" s="1438"/>
      <c r="AI126" s="447"/>
      <c r="AJ126" s="507">
        <v>0</v>
      </c>
      <c r="AK126" s="1439">
        <f t="shared" si="94"/>
        <v>0</v>
      </c>
      <c r="AL126" s="502"/>
      <c r="AM126" s="503"/>
      <c r="AN126" s="1426">
        <f t="shared" si="90"/>
        <v>0</v>
      </c>
      <c r="AO126" s="179" t="s">
        <v>1850</v>
      </c>
      <c r="AP126" s="680" t="s">
        <v>1891</v>
      </c>
      <c r="AQ126" s="680" t="s">
        <v>2264</v>
      </c>
      <c r="AR126" s="680" t="s">
        <v>2286</v>
      </c>
      <c r="AS126" s="680" t="s">
        <v>2401</v>
      </c>
      <c r="AT126" s="680" t="s">
        <v>2434</v>
      </c>
      <c r="AU126" s="680" t="s">
        <v>2434</v>
      </c>
      <c r="AV126" s="196"/>
    </row>
    <row r="127" spans="1:48" ht="117" customHeight="1" thickBot="1" x14ac:dyDescent="0.4">
      <c r="A127" s="264"/>
      <c r="B127" s="1427" t="s">
        <v>223</v>
      </c>
      <c r="C127" s="1427" t="s">
        <v>224</v>
      </c>
      <c r="D127" s="402" t="s">
        <v>222</v>
      </c>
      <c r="E127" s="310">
        <v>0.6</v>
      </c>
      <c r="F127" s="428">
        <v>4</v>
      </c>
      <c r="G127" s="429">
        <v>1</v>
      </c>
      <c r="H127" s="430">
        <v>1</v>
      </c>
      <c r="I127" s="430">
        <v>1</v>
      </c>
      <c r="J127" s="431">
        <f>+G127/F127</f>
        <v>0.25</v>
      </c>
      <c r="K127" s="447">
        <f t="shared" ref="K127" si="111">+H127/F127</f>
        <v>0.25</v>
      </c>
      <c r="L127" s="1035">
        <f t="shared" ref="L127" si="112">+I127/F127</f>
        <v>0.25</v>
      </c>
      <c r="M127" s="473">
        <f>+(G127/F127)*E127</f>
        <v>0.15</v>
      </c>
      <c r="N127" s="473">
        <f>+(H127/F127)*E127</f>
        <v>0.15</v>
      </c>
      <c r="O127" s="473"/>
      <c r="P127" s="429">
        <v>1</v>
      </c>
      <c r="Q127" s="488">
        <v>0.4</v>
      </c>
      <c r="R127" s="484">
        <v>0.1</v>
      </c>
      <c r="S127" s="484">
        <v>0.4</v>
      </c>
      <c r="T127" s="484">
        <v>0.1</v>
      </c>
      <c r="U127" s="484">
        <v>0</v>
      </c>
      <c r="V127" s="430">
        <f t="shared" ref="V127:V129" si="113">+Q127+R127+S127+T127+U127</f>
        <v>1</v>
      </c>
      <c r="W127" s="430">
        <f>+V127+P127+AB127</f>
        <v>2.2999999999999998</v>
      </c>
      <c r="X127" s="484">
        <v>0.3</v>
      </c>
      <c r="Y127" s="430"/>
      <c r="Z127" s="430"/>
      <c r="AA127" s="430"/>
      <c r="AB127" s="430">
        <f t="shared" si="83"/>
        <v>0.3</v>
      </c>
      <c r="AC127" s="472">
        <f>+(P127/G127)</f>
        <v>1</v>
      </c>
      <c r="AD127" s="473">
        <f t="shared" ref="AD127" si="114">+V127/H127</f>
        <v>1</v>
      </c>
      <c r="AE127" s="473">
        <f t="shared" si="92"/>
        <v>0.3</v>
      </c>
      <c r="AF127" s="472">
        <f>+AC127*E127</f>
        <v>0.6</v>
      </c>
      <c r="AG127" s="510">
        <f t="shared" si="100"/>
        <v>0.6</v>
      </c>
      <c r="AH127" s="1440">
        <f t="shared" si="84"/>
        <v>0.18</v>
      </c>
      <c r="AI127" s="447">
        <f>+P127/F127</f>
        <v>0.25</v>
      </c>
      <c r="AJ127" s="448">
        <v>0.5</v>
      </c>
      <c r="AK127" s="1198">
        <f t="shared" si="94"/>
        <v>0.57499999999999996</v>
      </c>
      <c r="AL127" s="502">
        <f>+AI127*E127</f>
        <v>0.15</v>
      </c>
      <c r="AM127" s="503">
        <f>+AJ127*E127</f>
        <v>0.3</v>
      </c>
      <c r="AN127" s="1426">
        <f t="shared" si="90"/>
        <v>0.34499999999999997</v>
      </c>
      <c r="AO127" s="179" t="s">
        <v>1850</v>
      </c>
      <c r="AP127" s="680" t="s">
        <v>1891</v>
      </c>
      <c r="AQ127" s="680" t="s">
        <v>2264</v>
      </c>
      <c r="AR127" s="680" t="s">
        <v>2286</v>
      </c>
      <c r="AS127" s="680" t="s">
        <v>2401</v>
      </c>
      <c r="AT127" s="680" t="s">
        <v>2434</v>
      </c>
      <c r="AU127" s="680" t="s">
        <v>2434</v>
      </c>
      <c r="AV127" s="196"/>
    </row>
    <row r="128" spans="1:48" ht="90" customHeight="1" thickBot="1" x14ac:dyDescent="0.4">
      <c r="A128" s="264"/>
      <c r="B128" s="1430" t="s">
        <v>225</v>
      </c>
      <c r="C128" s="1430" t="s">
        <v>226</v>
      </c>
      <c r="D128" s="402" t="s">
        <v>222</v>
      </c>
      <c r="E128" s="310">
        <v>0.2</v>
      </c>
      <c r="F128" s="428">
        <v>1</v>
      </c>
      <c r="G128" s="429">
        <v>0</v>
      </c>
      <c r="H128" s="430">
        <v>0</v>
      </c>
      <c r="I128" s="430">
        <v>0</v>
      </c>
      <c r="J128" s="431"/>
      <c r="K128" s="447"/>
      <c r="L128" s="1035"/>
      <c r="M128" s="473"/>
      <c r="N128" s="473"/>
      <c r="O128" s="473"/>
      <c r="P128" s="429"/>
      <c r="Q128" s="488"/>
      <c r="R128" s="484"/>
      <c r="S128" s="484"/>
      <c r="T128" s="484"/>
      <c r="U128" s="484"/>
      <c r="V128" s="430">
        <f t="shared" si="113"/>
        <v>0</v>
      </c>
      <c r="W128" s="430">
        <f t="shared" ref="W128:W129" si="115">+V128+P128+AB128</f>
        <v>0</v>
      </c>
      <c r="X128" s="484"/>
      <c r="Y128" s="430"/>
      <c r="Z128" s="430"/>
      <c r="AA128" s="430"/>
      <c r="AB128" s="430">
        <f t="shared" si="83"/>
        <v>0</v>
      </c>
      <c r="AC128" s="472"/>
      <c r="AD128" s="473"/>
      <c r="AE128" s="473"/>
      <c r="AF128" s="472"/>
      <c r="AG128" s="510"/>
      <c r="AH128" s="1440"/>
      <c r="AI128" s="447"/>
      <c r="AJ128" s="448">
        <v>0</v>
      </c>
      <c r="AK128" s="1198">
        <f t="shared" si="94"/>
        <v>0</v>
      </c>
      <c r="AL128" s="502"/>
      <c r="AM128" s="503"/>
      <c r="AN128" s="1426">
        <f t="shared" si="90"/>
        <v>0</v>
      </c>
      <c r="AO128" s="179" t="s">
        <v>1850</v>
      </c>
      <c r="AP128" s="680" t="s">
        <v>1891</v>
      </c>
      <c r="AQ128" s="680" t="s">
        <v>2264</v>
      </c>
      <c r="AR128" s="680" t="s">
        <v>2286</v>
      </c>
      <c r="AS128" s="680" t="s">
        <v>2401</v>
      </c>
      <c r="AT128" s="680" t="s">
        <v>2434</v>
      </c>
      <c r="AU128" s="680" t="s">
        <v>2434</v>
      </c>
      <c r="AV128" s="196"/>
    </row>
    <row r="129" spans="1:48" ht="75.599999999999994" customHeight="1" thickBot="1" x14ac:dyDescent="0.4">
      <c r="A129" s="264"/>
      <c r="B129" s="1430" t="s">
        <v>227</v>
      </c>
      <c r="C129" s="1430" t="s">
        <v>228</v>
      </c>
      <c r="D129" s="402" t="s">
        <v>222</v>
      </c>
      <c r="E129" s="310">
        <v>0.1</v>
      </c>
      <c r="F129" s="428">
        <v>1</v>
      </c>
      <c r="G129" s="429">
        <v>0</v>
      </c>
      <c r="H129" s="430">
        <v>0</v>
      </c>
      <c r="I129" s="430">
        <v>0</v>
      </c>
      <c r="J129" s="431"/>
      <c r="K129" s="447"/>
      <c r="L129" s="1035"/>
      <c r="M129" s="473"/>
      <c r="N129" s="473"/>
      <c r="O129" s="473"/>
      <c r="P129" s="429"/>
      <c r="Q129" s="488"/>
      <c r="R129" s="484"/>
      <c r="S129" s="484"/>
      <c r="T129" s="484"/>
      <c r="U129" s="484"/>
      <c r="V129" s="430">
        <f t="shared" si="113"/>
        <v>0</v>
      </c>
      <c r="W129" s="430">
        <f t="shared" si="115"/>
        <v>0</v>
      </c>
      <c r="X129" s="484"/>
      <c r="Y129" s="430"/>
      <c r="Z129" s="430"/>
      <c r="AA129" s="430"/>
      <c r="AB129" s="430">
        <f t="shared" si="83"/>
        <v>0</v>
      </c>
      <c r="AC129" s="472"/>
      <c r="AD129" s="473"/>
      <c r="AE129" s="473"/>
      <c r="AF129" s="472"/>
      <c r="AG129" s="510"/>
      <c r="AH129" s="1441"/>
      <c r="AI129" s="447"/>
      <c r="AJ129" s="508">
        <v>0</v>
      </c>
      <c r="AK129" s="1442">
        <f t="shared" si="94"/>
        <v>0</v>
      </c>
      <c r="AL129" s="502"/>
      <c r="AM129" s="503"/>
      <c r="AN129" s="1426">
        <f t="shared" si="90"/>
        <v>0</v>
      </c>
      <c r="AO129" s="179" t="s">
        <v>1850</v>
      </c>
      <c r="AP129" s="680" t="s">
        <v>1891</v>
      </c>
      <c r="AQ129" s="680" t="s">
        <v>2264</v>
      </c>
      <c r="AR129" s="680" t="s">
        <v>2286</v>
      </c>
      <c r="AS129" s="680" t="s">
        <v>2401</v>
      </c>
      <c r="AT129" s="680" t="s">
        <v>2434</v>
      </c>
      <c r="AU129" s="680" t="s">
        <v>2434</v>
      </c>
      <c r="AV129" s="196"/>
    </row>
    <row r="130" spans="1:48" ht="147" customHeight="1" thickBot="1" x14ac:dyDescent="0.45">
      <c r="A130" s="264"/>
      <c r="B130" s="1536" t="s">
        <v>229</v>
      </c>
      <c r="C130" s="1534"/>
      <c r="D130" s="399"/>
      <c r="E130" s="436">
        <v>0.2</v>
      </c>
      <c r="F130" s="436">
        <f>+E130*AF130</f>
        <v>0.13438738197424893</v>
      </c>
      <c r="G130" s="427"/>
      <c r="H130" s="436">
        <f>E130*AG130</f>
        <v>0.18170884995371539</v>
      </c>
      <c r="I130" s="436">
        <f>+E130*AH130</f>
        <v>2.9947716190191279E-2</v>
      </c>
      <c r="J130" s="421">
        <f>+(J131+J140+J143+J148+J153+J160+J166)/6</f>
        <v>0.3193759495300631</v>
      </c>
      <c r="K130" s="501">
        <f>+(K131+K140+K143+K148+K153+K160+K166)/7</f>
        <v>0.36067241266804129</v>
      </c>
      <c r="L130" s="497">
        <f>+(L131+L140+L143+L148+L153+L160+L166)/7</f>
        <v>0.28501877948421306</v>
      </c>
      <c r="M130" s="476">
        <f>+(M131+M140+M143+M148+M153+M160+M166)/6</f>
        <v>0.17451004248744692</v>
      </c>
      <c r="N130" s="476">
        <f>+(N131+N140+N143+N148+N153+N160+N166)/7</f>
        <v>0.31558347607692649</v>
      </c>
      <c r="O130" s="476"/>
      <c r="P130" s="427"/>
      <c r="Q130" s="587"/>
      <c r="R130" s="433"/>
      <c r="S130" s="433"/>
      <c r="T130" s="433"/>
      <c r="U130" s="981"/>
      <c r="V130" s="433"/>
      <c r="W130" s="433"/>
      <c r="X130" s="430"/>
      <c r="Y130" s="430"/>
      <c r="Z130" s="430"/>
      <c r="AA130" s="430"/>
      <c r="AB130" s="430"/>
      <c r="AC130" s="421">
        <f>+(AC131+AC140+AC143+AC148+AC153+AC160+AC166)/6</f>
        <v>0.73629960790547333</v>
      </c>
      <c r="AD130" s="421">
        <f>+(AD131+AD140+AD143+AD148+AD153+AD160+AD166)/7</f>
        <v>0.95449776895021254</v>
      </c>
      <c r="AE130" s="421">
        <f>+(AE131+AE140+AE143+AE148+AE153+AE160+AE166)/7</f>
        <v>0.21435420408027589</v>
      </c>
      <c r="AF130" s="476">
        <f>+AF131+AF140+AF143+AF148+AF153+AF160+AF166</f>
        <v>0.67193690987124466</v>
      </c>
      <c r="AG130" s="1021">
        <f>+AG131+AG140+AG143+AG148+AG153+AG160+AG166</f>
        <v>0.90854424976857695</v>
      </c>
      <c r="AH130" s="1443">
        <f>+AH131+AH140+AH143+AH148+AH153+AH160+AH166</f>
        <v>0.14973858095095638</v>
      </c>
      <c r="AI130" s="501">
        <f>+(AI131+AI140+AI143+AI148+AI153+AI160+AI166)/6</f>
        <v>0.24621230380461609</v>
      </c>
      <c r="AJ130" s="512">
        <v>0.53900494378103292</v>
      </c>
      <c r="AK130" s="512">
        <f>+(AK131+AK140+AK143+AK148+AK153+AK160+AK166)/7</f>
        <v>0.58995411905045714</v>
      </c>
      <c r="AL130" s="511">
        <f>+AL131+AL140+AL143+AL148+AL153+AL160+AL166</f>
        <v>0.18458001541682623</v>
      </c>
      <c r="AM130" s="601">
        <f>+(AM131*E131)+(AM140*E140)+(AM143*E143)+(AM148*E148)+(AM153*E153)+(AM160*E160)+(AM166*E166)</f>
        <v>0.47851879245993212</v>
      </c>
      <c r="AN130" s="601">
        <f>+(AN131*E131)+(AN140*E140)+(AN143*E143)+(AN148*E148)+(AN153*E153)+(AN160*E160)+(AN166*E166)</f>
        <v>0.52726154508305056</v>
      </c>
      <c r="AO130" s="186"/>
      <c r="AP130" s="186"/>
      <c r="AQ130" s="400"/>
      <c r="AR130" s="400"/>
      <c r="AS130" s="400"/>
      <c r="AT130" s="400"/>
      <c r="AU130" s="196"/>
      <c r="AV130" s="196"/>
    </row>
    <row r="131" spans="1:48" ht="86.25" customHeight="1" thickBot="1" x14ac:dyDescent="0.45">
      <c r="A131" s="264"/>
      <c r="B131" s="1535" t="s">
        <v>1611</v>
      </c>
      <c r="C131" s="1534"/>
      <c r="D131" s="401"/>
      <c r="E131" s="424">
        <v>0.2</v>
      </c>
      <c r="F131" s="427"/>
      <c r="G131" s="429"/>
      <c r="H131" s="430"/>
      <c r="I131" s="430"/>
      <c r="J131" s="426">
        <f>+AVERAGE(J132:J139)</f>
        <v>0.33333333333333331</v>
      </c>
      <c r="K131" s="446">
        <f>+AVERAGE(K132:K139)</f>
        <v>0.39999999999999997</v>
      </c>
      <c r="L131" s="498">
        <f>+AVERAGE(L132:L139)</f>
        <v>0.32999999999999996</v>
      </c>
      <c r="M131" s="426">
        <f>+M132+M133+M134+M135+M136+M137+M138+M139</f>
        <v>0.21750000000000003</v>
      </c>
      <c r="N131" s="426">
        <f>+N132+N133+N134+N135+N136+N137+N138+N139</f>
        <v>0.21250000000000002</v>
      </c>
      <c r="O131" s="426"/>
      <c r="P131" s="427"/>
      <c r="Q131" s="433"/>
      <c r="R131" s="433"/>
      <c r="S131" s="433"/>
      <c r="T131" s="433"/>
      <c r="U131" s="981"/>
      <c r="V131" s="433"/>
      <c r="W131" s="433"/>
      <c r="X131" s="430"/>
      <c r="Y131" s="430"/>
      <c r="Z131" s="430"/>
      <c r="AA131" s="430"/>
      <c r="AB131" s="430"/>
      <c r="AC131" s="486">
        <f>+AVERAGE(AC132:AC139)</f>
        <v>0.60613098076617389</v>
      </c>
      <c r="AD131" s="486">
        <f>+AVERAGE(AD132:AD139)</f>
        <v>0.95842359833776136</v>
      </c>
      <c r="AE131" s="486">
        <f>+AVERAGE(AE132:AE139)</f>
        <v>0.12305879364129627</v>
      </c>
      <c r="AF131" s="486">
        <f>+(AF132+AF133+AF134+AF135+AF136+AF137+AF138+AF139)*E131</f>
        <v>9.023690987124465E-2</v>
      </c>
      <c r="AG131" s="505">
        <f>+(AG132+AG133+AG134+AG135+AG136+AG137+AG138+AG139)*E131</f>
        <v>0.13693562231759657</v>
      </c>
      <c r="AH131" s="1033">
        <f>+(AH132+AH133+AH134+AH135+AH136+AH137+AH138+AH139)*E131</f>
        <v>1.6092152379527776E-2</v>
      </c>
      <c r="AI131" s="446">
        <f>+AVERAGE(AI132:AI139)</f>
        <v>0.22653274519154346</v>
      </c>
      <c r="AJ131" s="506">
        <v>0.56705472103004295</v>
      </c>
      <c r="AK131" s="506">
        <f>+AVERAGE(AK132:AK139)</f>
        <v>0.64396646705585314</v>
      </c>
      <c r="AL131" s="446">
        <f>+(AL132+AL133+AL134+AL135+AL136+AL137+AL138+AL139)*E131</f>
        <v>3.155922746781116E-2</v>
      </c>
      <c r="AM131" s="498">
        <f>+(AM132+AM133+AM134+AM135+AM136+AM137+AM138+AM139)</f>
        <v>0.42271566523605159</v>
      </c>
      <c r="AN131" s="498">
        <f>+(AN132+AN133+AN134+AN135+AN136+AN137+AN138+AN139)</f>
        <v>0.50317642713369037</v>
      </c>
      <c r="AO131" s="172"/>
      <c r="AP131" s="400"/>
      <c r="AQ131" s="400"/>
      <c r="AR131" s="400"/>
      <c r="AS131" s="400"/>
      <c r="AT131" s="400"/>
      <c r="AU131" s="196"/>
      <c r="AV131" s="196"/>
    </row>
    <row r="132" spans="1:48" ht="72.599999999999994" customHeight="1" thickBot="1" x14ac:dyDescent="0.4">
      <c r="A132" s="264"/>
      <c r="B132" s="1430" t="s">
        <v>230</v>
      </c>
      <c r="C132" s="1430" t="s">
        <v>231</v>
      </c>
      <c r="D132" s="402" t="s">
        <v>58</v>
      </c>
      <c r="E132" s="310">
        <v>0.15</v>
      </c>
      <c r="F132" s="428">
        <v>16776</v>
      </c>
      <c r="G132" s="429">
        <v>4194</v>
      </c>
      <c r="H132" s="430">
        <v>4194</v>
      </c>
      <c r="I132" s="430">
        <v>4194</v>
      </c>
      <c r="J132" s="431">
        <f t="shared" ref="J132:J139" si="116">+G132/F132</f>
        <v>0.25</v>
      </c>
      <c r="K132" s="447">
        <f t="shared" ref="K132:K170" si="117">+H132/F132</f>
        <v>0.25</v>
      </c>
      <c r="L132" s="448">
        <f t="shared" ref="L132:L168" si="118">+I132/F132</f>
        <v>0.25</v>
      </c>
      <c r="M132" s="434">
        <f t="shared" ref="M132:M139" si="119">+(G132/F132)*E132</f>
        <v>3.7499999999999999E-2</v>
      </c>
      <c r="N132" s="434">
        <f t="shared" ref="N132:N170" si="120">+(H132/F132)*E132</f>
        <v>3.7499999999999999E-2</v>
      </c>
      <c r="O132" s="434"/>
      <c r="P132" s="429">
        <v>3146</v>
      </c>
      <c r="Q132" s="488">
        <v>2976</v>
      </c>
      <c r="R132" s="484">
        <v>3032</v>
      </c>
      <c r="S132" s="484">
        <v>3146</v>
      </c>
      <c r="T132" s="484">
        <v>3253</v>
      </c>
      <c r="U132" s="484">
        <v>3253</v>
      </c>
      <c r="V132" s="430">
        <f>+P132+U132</f>
        <v>6399</v>
      </c>
      <c r="W132" s="430">
        <f>+P132+U132+AB132</f>
        <v>9490</v>
      </c>
      <c r="X132" s="484">
        <v>3091</v>
      </c>
      <c r="Y132" s="430"/>
      <c r="Z132" s="430"/>
      <c r="AA132" s="430"/>
      <c r="AB132" s="430">
        <f t="shared" ref="AB132:AB194" si="121">+X132+Y132+Z132+AA132</f>
        <v>3091</v>
      </c>
      <c r="AC132" s="431">
        <f>+(P132/G132)</f>
        <v>0.75011921793037672</v>
      </c>
      <c r="AD132" s="641">
        <f>+U132/H132</f>
        <v>0.77563185503099663</v>
      </c>
      <c r="AE132" s="641">
        <f>+AB132/I132*0.25</f>
        <v>0.18425131139723414</v>
      </c>
      <c r="AF132" s="431">
        <f t="shared" ref="AF132:AF139" si="122">+AC132*E132</f>
        <v>0.11251788268955651</v>
      </c>
      <c r="AG132" s="447">
        <f>+AD132*E132</f>
        <v>0.11634477825464949</v>
      </c>
      <c r="AH132" s="507">
        <f t="shared" ref="AH132:AH141" si="123">+AE132*E132</f>
        <v>2.763769670958512E-2</v>
      </c>
      <c r="AI132" s="510">
        <f>+P132/F132</f>
        <v>0.18752980448259418</v>
      </c>
      <c r="AJ132" s="509">
        <v>0.38143776824034337</v>
      </c>
      <c r="AK132" s="509">
        <f t="shared" ref="AK132:AK170" si="124">+W132/F132</f>
        <v>0.56568907963757753</v>
      </c>
      <c r="AL132" s="447">
        <f>+AI132*E132</f>
        <v>2.8129470672389127E-2</v>
      </c>
      <c r="AM132" s="448">
        <f>+AJ132*E132</f>
        <v>5.7215665236051504E-2</v>
      </c>
      <c r="AN132" s="449">
        <f t="shared" ref="AN132:AN170" si="125">+AK132*E132</f>
        <v>8.4853361945636627E-2</v>
      </c>
      <c r="AO132" s="179" t="s">
        <v>1850</v>
      </c>
      <c r="AP132" s="583" t="s">
        <v>1917</v>
      </c>
      <c r="AQ132" s="680" t="s">
        <v>2264</v>
      </c>
      <c r="AR132" s="680" t="s">
        <v>2286</v>
      </c>
      <c r="AS132" s="680" t="s">
        <v>2401</v>
      </c>
      <c r="AT132" s="680" t="s">
        <v>2434</v>
      </c>
      <c r="AU132" s="680" t="s">
        <v>2487</v>
      </c>
      <c r="AV132" s="680" t="s">
        <v>1893</v>
      </c>
    </row>
    <row r="133" spans="1:48" ht="72.599999999999994" customHeight="1" thickBot="1" x14ac:dyDescent="0.4">
      <c r="A133" s="264"/>
      <c r="B133" s="1430" t="s">
        <v>232</v>
      </c>
      <c r="C133" s="1430" t="s">
        <v>233</v>
      </c>
      <c r="D133" s="402" t="s">
        <v>58</v>
      </c>
      <c r="E133" s="310">
        <v>0.15</v>
      </c>
      <c r="F133" s="428">
        <v>22724</v>
      </c>
      <c r="G133" s="429">
        <v>5681</v>
      </c>
      <c r="H133" s="430">
        <v>5681</v>
      </c>
      <c r="I133" s="430">
        <v>5681</v>
      </c>
      <c r="J133" s="431">
        <f t="shared" si="116"/>
        <v>0.25</v>
      </c>
      <c r="K133" s="447">
        <f t="shared" si="117"/>
        <v>0.25</v>
      </c>
      <c r="L133" s="448">
        <f t="shared" si="118"/>
        <v>0.25</v>
      </c>
      <c r="M133" s="434">
        <f t="shared" si="119"/>
        <v>3.7499999999999999E-2</v>
      </c>
      <c r="N133" s="434">
        <f t="shared" si="120"/>
        <v>3.7499999999999999E-2</v>
      </c>
      <c r="O133" s="434"/>
      <c r="P133" s="429">
        <v>5681</v>
      </c>
      <c r="Q133" s="488">
        <v>5455</v>
      </c>
      <c r="R133" s="484">
        <v>5455</v>
      </c>
      <c r="S133" s="484">
        <v>5681</v>
      </c>
      <c r="T133" s="484">
        <v>5500</v>
      </c>
      <c r="U133" s="484">
        <v>5681</v>
      </c>
      <c r="V133" s="430">
        <f>+U133</f>
        <v>5681</v>
      </c>
      <c r="W133" s="430">
        <f t="shared" ref="W133:W136" si="126">+P133+U133+AB133</f>
        <v>15779</v>
      </c>
      <c r="X133" s="484">
        <v>4417</v>
      </c>
      <c r="Y133" s="430"/>
      <c r="Z133" s="430"/>
      <c r="AA133" s="430"/>
      <c r="AB133" s="430">
        <f t="shared" si="121"/>
        <v>4417</v>
      </c>
      <c r="AC133" s="431">
        <f t="shared" ref="AC133:AC139" si="127">+(P133/G133)</f>
        <v>1</v>
      </c>
      <c r="AD133" s="641">
        <f>+S133/H133</f>
        <v>1</v>
      </c>
      <c r="AE133" s="641">
        <f>+AB133/I133*0.25</f>
        <v>0.19437599014258053</v>
      </c>
      <c r="AF133" s="431">
        <f t="shared" si="122"/>
        <v>0.15</v>
      </c>
      <c r="AG133" s="447">
        <f t="shared" ref="AG133:AG141" si="128">+AD133*E133</f>
        <v>0.15</v>
      </c>
      <c r="AH133" s="448">
        <f t="shared" si="123"/>
        <v>2.9156398521387079E-2</v>
      </c>
      <c r="AI133" s="447">
        <f t="shared" ref="AI133:AI139" si="129">+P133/F133</f>
        <v>0.25</v>
      </c>
      <c r="AJ133" s="503">
        <v>0.5</v>
      </c>
      <c r="AK133" s="503">
        <f t="shared" si="124"/>
        <v>0.69437599014258056</v>
      </c>
      <c r="AL133" s="447">
        <f t="shared" ref="AL133:AL139" si="130">+AI133*E133</f>
        <v>3.7499999999999999E-2</v>
      </c>
      <c r="AM133" s="448">
        <f>+AJ133*E133</f>
        <v>7.4999999999999997E-2</v>
      </c>
      <c r="AN133" s="449">
        <f t="shared" si="125"/>
        <v>0.10415639852138708</v>
      </c>
      <c r="AO133" s="179" t="s">
        <v>1850</v>
      </c>
      <c r="AP133" s="583" t="s">
        <v>1917</v>
      </c>
      <c r="AQ133" s="680" t="s">
        <v>2264</v>
      </c>
      <c r="AR133" s="680" t="s">
        <v>2286</v>
      </c>
      <c r="AS133" s="680" t="s">
        <v>2401</v>
      </c>
      <c r="AT133" s="680" t="s">
        <v>2434</v>
      </c>
      <c r="AU133" s="680" t="s">
        <v>2487</v>
      </c>
      <c r="AV133" s="680" t="s">
        <v>1893</v>
      </c>
    </row>
    <row r="134" spans="1:48" ht="72.599999999999994" customHeight="1" thickBot="1" x14ac:dyDescent="0.4">
      <c r="A134" s="264"/>
      <c r="B134" s="1430" t="s">
        <v>234</v>
      </c>
      <c r="C134" s="1430" t="s">
        <v>235</v>
      </c>
      <c r="D134" s="402" t="s">
        <v>58</v>
      </c>
      <c r="E134" s="310">
        <v>0.1</v>
      </c>
      <c r="F134" s="428">
        <f>150*4</f>
        <v>600</v>
      </c>
      <c r="G134" s="429">
        <v>150</v>
      </c>
      <c r="H134" s="430">
        <v>150</v>
      </c>
      <c r="I134" s="430">
        <v>150</v>
      </c>
      <c r="J134" s="431">
        <f t="shared" si="116"/>
        <v>0.25</v>
      </c>
      <c r="K134" s="447">
        <f t="shared" si="117"/>
        <v>0.25</v>
      </c>
      <c r="L134" s="448">
        <f t="shared" si="118"/>
        <v>0.25</v>
      </c>
      <c r="M134" s="434">
        <f t="shared" si="119"/>
        <v>2.5000000000000001E-2</v>
      </c>
      <c r="N134" s="434">
        <f t="shared" si="120"/>
        <v>2.5000000000000001E-2</v>
      </c>
      <c r="O134" s="434"/>
      <c r="P134" s="429">
        <v>133</v>
      </c>
      <c r="Q134" s="488">
        <v>135</v>
      </c>
      <c r="R134" s="484">
        <v>136</v>
      </c>
      <c r="S134" s="484">
        <v>136</v>
      </c>
      <c r="T134" s="484">
        <v>140</v>
      </c>
      <c r="U134" s="484">
        <v>140</v>
      </c>
      <c r="V134" s="430">
        <f>+Q134+R134+S134+T134+U134</f>
        <v>687</v>
      </c>
      <c r="W134" s="430">
        <f>+P134+U134+AB134</f>
        <v>415</v>
      </c>
      <c r="X134" s="484">
        <v>142</v>
      </c>
      <c r="Y134" s="430"/>
      <c r="Z134" s="430"/>
      <c r="AA134" s="430"/>
      <c r="AB134" s="430">
        <f t="shared" si="121"/>
        <v>142</v>
      </c>
      <c r="AC134" s="431">
        <f t="shared" si="127"/>
        <v>0.88666666666666671</v>
      </c>
      <c r="AD134" s="464">
        <f>+T134/H134</f>
        <v>0.93333333333333335</v>
      </c>
      <c r="AE134" s="641">
        <f t="shared" ref="AE134" si="131">+AB134/I134*0.25</f>
        <v>0.23666666666666666</v>
      </c>
      <c r="AF134" s="431">
        <f t="shared" si="122"/>
        <v>8.8666666666666671E-2</v>
      </c>
      <c r="AG134" s="447">
        <f t="shared" si="128"/>
        <v>9.3333333333333338E-2</v>
      </c>
      <c r="AH134" s="448">
        <f t="shared" si="123"/>
        <v>2.3666666666666669E-2</v>
      </c>
      <c r="AI134" s="447">
        <f t="shared" si="129"/>
        <v>0.22166666666666668</v>
      </c>
      <c r="AJ134" s="503">
        <v>0.45500000000000002</v>
      </c>
      <c r="AK134" s="503">
        <f t="shared" si="124"/>
        <v>0.69166666666666665</v>
      </c>
      <c r="AL134" s="447">
        <f t="shared" si="130"/>
        <v>2.2166666666666668E-2</v>
      </c>
      <c r="AM134" s="448">
        <f>+AJ134*E134</f>
        <v>4.5500000000000006E-2</v>
      </c>
      <c r="AN134" s="449">
        <f t="shared" si="125"/>
        <v>6.9166666666666668E-2</v>
      </c>
      <c r="AO134" s="179" t="s">
        <v>1850</v>
      </c>
      <c r="AP134" s="680" t="s">
        <v>1891</v>
      </c>
      <c r="AQ134" s="680" t="s">
        <v>2264</v>
      </c>
      <c r="AR134" s="680" t="s">
        <v>2286</v>
      </c>
      <c r="AS134" s="680" t="s">
        <v>2401</v>
      </c>
      <c r="AT134" s="680" t="s">
        <v>2434</v>
      </c>
      <c r="AU134" s="680" t="s">
        <v>2487</v>
      </c>
      <c r="AV134" s="680" t="s">
        <v>1893</v>
      </c>
    </row>
    <row r="135" spans="1:48" ht="74.400000000000006" customHeight="1" thickBot="1" x14ac:dyDescent="0.4">
      <c r="A135" s="264"/>
      <c r="B135" s="1430" t="s">
        <v>236</v>
      </c>
      <c r="C135" s="1430" t="s">
        <v>237</v>
      </c>
      <c r="D135" s="402" t="s">
        <v>58</v>
      </c>
      <c r="E135" s="310">
        <v>0.25</v>
      </c>
      <c r="F135" s="428">
        <v>4</v>
      </c>
      <c r="G135" s="429">
        <v>1</v>
      </c>
      <c r="H135" s="430">
        <v>1</v>
      </c>
      <c r="I135" s="430">
        <v>2</v>
      </c>
      <c r="J135" s="431">
        <f t="shared" si="116"/>
        <v>0.25</v>
      </c>
      <c r="K135" s="447">
        <f t="shared" si="117"/>
        <v>0.25</v>
      </c>
      <c r="L135" s="448">
        <f>+I135/F135</f>
        <v>0.5</v>
      </c>
      <c r="M135" s="434">
        <f t="shared" si="119"/>
        <v>6.25E-2</v>
      </c>
      <c r="N135" s="434">
        <f t="shared" si="120"/>
        <v>6.25E-2</v>
      </c>
      <c r="O135" s="434"/>
      <c r="P135" s="429">
        <v>0</v>
      </c>
      <c r="Q135" s="488">
        <v>0</v>
      </c>
      <c r="R135" s="484">
        <v>0</v>
      </c>
      <c r="S135" s="484">
        <v>0</v>
      </c>
      <c r="T135" s="484">
        <v>2</v>
      </c>
      <c r="U135" s="484">
        <v>2</v>
      </c>
      <c r="V135" s="430">
        <f t="shared" ref="V135:V136" si="132">+Q135+R135+S135+T135+U135</f>
        <v>4</v>
      </c>
      <c r="W135" s="430">
        <f>+P135+U135+AB135</f>
        <v>2</v>
      </c>
      <c r="X135" s="484">
        <v>0</v>
      </c>
      <c r="Y135" s="430"/>
      <c r="Z135" s="430"/>
      <c r="AA135" s="430"/>
      <c r="AB135" s="430">
        <f t="shared" si="121"/>
        <v>0</v>
      </c>
      <c r="AC135" s="431">
        <f t="shared" si="127"/>
        <v>0</v>
      </c>
      <c r="AD135" s="872">
        <v>1</v>
      </c>
      <c r="AE135" s="872">
        <f t="shared" ref="AE135:AE170" si="133">+AB135/I135</f>
        <v>0</v>
      </c>
      <c r="AF135" s="431">
        <f t="shared" si="122"/>
        <v>0</v>
      </c>
      <c r="AG135" s="447">
        <f t="shared" si="128"/>
        <v>0.25</v>
      </c>
      <c r="AH135" s="448">
        <f t="shared" si="123"/>
        <v>0</v>
      </c>
      <c r="AI135" s="447">
        <f t="shared" si="129"/>
        <v>0</v>
      </c>
      <c r="AJ135" s="1035">
        <v>0.5</v>
      </c>
      <c r="AK135" s="1035">
        <f t="shared" si="124"/>
        <v>0.5</v>
      </c>
      <c r="AL135" s="874">
        <f t="shared" si="130"/>
        <v>0</v>
      </c>
      <c r="AM135" s="1035">
        <f>+AJ135*E135</f>
        <v>0.125</v>
      </c>
      <c r="AN135" s="1444">
        <f t="shared" si="125"/>
        <v>0.125</v>
      </c>
      <c r="AO135" s="179" t="s">
        <v>1850</v>
      </c>
      <c r="AP135" s="680" t="s">
        <v>1891</v>
      </c>
      <c r="AQ135" s="680" t="s">
        <v>2264</v>
      </c>
      <c r="AR135" s="680" t="s">
        <v>2286</v>
      </c>
      <c r="AS135" s="680" t="s">
        <v>2401</v>
      </c>
      <c r="AT135" s="680" t="s">
        <v>2434</v>
      </c>
      <c r="AU135" s="602" t="s">
        <v>2488</v>
      </c>
      <c r="AV135" s="680" t="s">
        <v>1893</v>
      </c>
    </row>
    <row r="136" spans="1:48" ht="82.95" customHeight="1" thickBot="1" x14ac:dyDescent="0.4">
      <c r="A136" s="264"/>
      <c r="B136" s="1430" t="s">
        <v>238</v>
      </c>
      <c r="C136" s="1430" t="s">
        <v>239</v>
      </c>
      <c r="D136" s="402" t="s">
        <v>58</v>
      </c>
      <c r="E136" s="310">
        <v>0.2</v>
      </c>
      <c r="F136" s="428">
        <v>1</v>
      </c>
      <c r="G136" s="429">
        <v>0</v>
      </c>
      <c r="H136" s="430">
        <v>0</v>
      </c>
      <c r="I136" s="430">
        <v>0</v>
      </c>
      <c r="J136" s="431"/>
      <c r="K136" s="447"/>
      <c r="L136" s="448"/>
      <c r="M136" s="434"/>
      <c r="N136" s="434"/>
      <c r="O136" s="434"/>
      <c r="P136" s="429"/>
      <c r="Q136" s="488"/>
      <c r="R136" s="484"/>
      <c r="S136" s="484"/>
      <c r="T136" s="484"/>
      <c r="U136" s="484"/>
      <c r="V136" s="430">
        <f t="shared" si="132"/>
        <v>0</v>
      </c>
      <c r="W136" s="430">
        <f t="shared" si="126"/>
        <v>0</v>
      </c>
      <c r="X136" s="484">
        <v>0</v>
      </c>
      <c r="Y136" s="430"/>
      <c r="Z136" s="430"/>
      <c r="AA136" s="430"/>
      <c r="AB136" s="430">
        <f t="shared" si="121"/>
        <v>0</v>
      </c>
      <c r="AC136" s="431"/>
      <c r="AD136" s="434"/>
      <c r="AE136" s="872"/>
      <c r="AF136" s="431"/>
      <c r="AG136" s="447"/>
      <c r="AH136" s="448"/>
      <c r="AI136" s="447"/>
      <c r="AJ136" s="448">
        <v>0</v>
      </c>
      <c r="AK136" s="503">
        <f t="shared" si="124"/>
        <v>0</v>
      </c>
      <c r="AL136" s="502">
        <v>0</v>
      </c>
      <c r="AM136" s="503">
        <v>0</v>
      </c>
      <c r="AN136" s="1426">
        <f t="shared" si="125"/>
        <v>0</v>
      </c>
      <c r="AO136" s="179" t="s">
        <v>1850</v>
      </c>
      <c r="AP136" s="680" t="s">
        <v>1891</v>
      </c>
      <c r="AQ136" s="680" t="s">
        <v>2264</v>
      </c>
      <c r="AR136" s="680" t="s">
        <v>2286</v>
      </c>
      <c r="AS136" s="680" t="s">
        <v>2401</v>
      </c>
      <c r="AT136" s="680" t="s">
        <v>2434</v>
      </c>
      <c r="AU136" s="680" t="s">
        <v>2487</v>
      </c>
      <c r="AV136" s="680" t="s">
        <v>1893</v>
      </c>
    </row>
    <row r="137" spans="1:48" ht="80.400000000000006" customHeight="1" thickBot="1" x14ac:dyDescent="0.4">
      <c r="A137" s="264"/>
      <c r="B137" s="1430" t="s">
        <v>240</v>
      </c>
      <c r="C137" s="1430" t="s">
        <v>241</v>
      </c>
      <c r="D137" s="402" t="s">
        <v>58</v>
      </c>
      <c r="E137" s="310">
        <v>0.1</v>
      </c>
      <c r="F137" s="428">
        <v>10</v>
      </c>
      <c r="G137" s="429">
        <v>4</v>
      </c>
      <c r="H137" s="430">
        <v>4</v>
      </c>
      <c r="I137" s="430">
        <v>4</v>
      </c>
      <c r="J137" s="431">
        <f t="shared" si="116"/>
        <v>0.4</v>
      </c>
      <c r="K137" s="447">
        <f t="shared" si="117"/>
        <v>0.4</v>
      </c>
      <c r="L137" s="448">
        <f t="shared" si="118"/>
        <v>0.4</v>
      </c>
      <c r="M137" s="434">
        <f t="shared" si="119"/>
        <v>4.0000000000000008E-2</v>
      </c>
      <c r="N137" s="434">
        <f t="shared" si="120"/>
        <v>4.0000000000000008E-2</v>
      </c>
      <c r="O137" s="434"/>
      <c r="P137" s="429">
        <v>7</v>
      </c>
      <c r="Q137" s="488">
        <v>0</v>
      </c>
      <c r="R137" s="488">
        <v>0</v>
      </c>
      <c r="S137" s="484">
        <v>0</v>
      </c>
      <c r="T137" s="484">
        <v>0</v>
      </c>
      <c r="U137" s="484">
        <v>0</v>
      </c>
      <c r="V137" s="430">
        <f>+Q137+R137+S137+T137+U137</f>
        <v>0</v>
      </c>
      <c r="W137" s="430">
        <f>+P137+U137+AB137</f>
        <v>7</v>
      </c>
      <c r="X137" s="484">
        <v>0</v>
      </c>
      <c r="Y137" s="430"/>
      <c r="Z137" s="430"/>
      <c r="AA137" s="430"/>
      <c r="AB137" s="430">
        <f t="shared" si="121"/>
        <v>0</v>
      </c>
      <c r="AC137" s="431">
        <v>1</v>
      </c>
      <c r="AD137" s="434">
        <f t="shared" ref="AD137:AD149" si="134">+V137/H137</f>
        <v>0</v>
      </c>
      <c r="AE137" s="434">
        <f t="shared" si="133"/>
        <v>0</v>
      </c>
      <c r="AF137" s="431">
        <f t="shared" si="122"/>
        <v>0.1</v>
      </c>
      <c r="AG137" s="447">
        <f t="shared" si="128"/>
        <v>0</v>
      </c>
      <c r="AH137" s="448">
        <f t="shared" si="123"/>
        <v>0</v>
      </c>
      <c r="AI137" s="447">
        <f t="shared" si="129"/>
        <v>0.7</v>
      </c>
      <c r="AJ137" s="448">
        <v>0.7</v>
      </c>
      <c r="AK137" s="503">
        <f t="shared" si="124"/>
        <v>0.7</v>
      </c>
      <c r="AL137" s="502">
        <f>+AI137*E137</f>
        <v>6.9999999999999993E-2</v>
      </c>
      <c r="AM137" s="503">
        <f>+AJ137*E137</f>
        <v>6.9999999999999993E-2</v>
      </c>
      <c r="AN137" s="1426">
        <f t="shared" si="125"/>
        <v>6.9999999999999993E-2</v>
      </c>
      <c r="AO137" s="179" t="s">
        <v>1850</v>
      </c>
      <c r="AP137" s="680" t="s">
        <v>1891</v>
      </c>
      <c r="AQ137" s="680" t="s">
        <v>2264</v>
      </c>
      <c r="AR137" s="680" t="s">
        <v>2286</v>
      </c>
      <c r="AS137" s="680" t="s">
        <v>2401</v>
      </c>
      <c r="AT137" s="680" t="s">
        <v>2434</v>
      </c>
      <c r="AU137" s="680" t="s">
        <v>2487</v>
      </c>
      <c r="AV137" s="680" t="s">
        <v>1893</v>
      </c>
    </row>
    <row r="138" spans="1:48" ht="149.4" customHeight="1" thickBot="1" x14ac:dyDescent="0.4">
      <c r="A138" s="264"/>
      <c r="B138" s="1430" t="s">
        <v>242</v>
      </c>
      <c r="C138" s="1430" t="s">
        <v>243</v>
      </c>
      <c r="D138" s="402" t="s">
        <v>58</v>
      </c>
      <c r="E138" s="310">
        <v>2.5000000000000001E-2</v>
      </c>
      <c r="F138" s="428">
        <v>1</v>
      </c>
      <c r="G138" s="429">
        <v>0</v>
      </c>
      <c r="H138" s="430">
        <v>1</v>
      </c>
      <c r="I138" s="430">
        <v>0</v>
      </c>
      <c r="J138" s="431"/>
      <c r="K138" s="447">
        <f t="shared" si="117"/>
        <v>1</v>
      </c>
      <c r="L138" s="448"/>
      <c r="M138" s="434"/>
      <c r="N138" s="434"/>
      <c r="O138" s="434"/>
      <c r="P138" s="429"/>
      <c r="Q138" s="488">
        <v>0</v>
      </c>
      <c r="R138" s="488">
        <v>0</v>
      </c>
      <c r="S138" s="484">
        <v>1</v>
      </c>
      <c r="T138" s="484"/>
      <c r="U138" s="484">
        <v>1</v>
      </c>
      <c r="V138" s="430">
        <f>+Q138+R138+S138+T138+U138</f>
        <v>2</v>
      </c>
      <c r="W138" s="430">
        <f>+P138+U138+AB138</f>
        <v>1</v>
      </c>
      <c r="X138" s="484">
        <v>0</v>
      </c>
      <c r="Y138" s="430"/>
      <c r="Z138" s="430"/>
      <c r="AA138" s="430"/>
      <c r="AB138" s="430">
        <f t="shared" si="121"/>
        <v>0</v>
      </c>
      <c r="AC138" s="431"/>
      <c r="AD138" s="434">
        <f t="shared" si="134"/>
        <v>2</v>
      </c>
      <c r="AE138" s="434"/>
      <c r="AF138" s="431"/>
      <c r="AG138" s="447">
        <f t="shared" si="128"/>
        <v>0.05</v>
      </c>
      <c r="AH138" s="448"/>
      <c r="AI138" s="447"/>
      <c r="AJ138" s="448">
        <v>1</v>
      </c>
      <c r="AK138" s="504">
        <f t="shared" si="124"/>
        <v>1</v>
      </c>
      <c r="AL138" s="502">
        <v>0</v>
      </c>
      <c r="AM138" s="503">
        <f>+AJ138*E138</f>
        <v>2.5000000000000001E-2</v>
      </c>
      <c r="AN138" s="1426">
        <f t="shared" si="125"/>
        <v>2.5000000000000001E-2</v>
      </c>
      <c r="AO138" s="179" t="s">
        <v>1850</v>
      </c>
      <c r="AP138" s="680" t="s">
        <v>1891</v>
      </c>
      <c r="AQ138" s="680" t="s">
        <v>2264</v>
      </c>
      <c r="AR138" s="680" t="s">
        <v>2286</v>
      </c>
      <c r="AS138" s="589" t="s">
        <v>2355</v>
      </c>
      <c r="AT138" s="680" t="s">
        <v>2434</v>
      </c>
      <c r="AU138" s="680" t="s">
        <v>2487</v>
      </c>
      <c r="AV138" s="680" t="s">
        <v>1893</v>
      </c>
    </row>
    <row r="139" spans="1:48" ht="133.19999999999999" customHeight="1" thickBot="1" x14ac:dyDescent="0.4">
      <c r="A139" s="264"/>
      <c r="B139" s="1430" t="s">
        <v>244</v>
      </c>
      <c r="C139" s="1430" t="s">
        <v>245</v>
      </c>
      <c r="D139" s="402" t="s">
        <v>58</v>
      </c>
      <c r="E139" s="310">
        <v>2.5000000000000001E-2</v>
      </c>
      <c r="F139" s="428">
        <v>1</v>
      </c>
      <c r="G139" s="429">
        <v>0.6</v>
      </c>
      <c r="H139" s="430">
        <v>0.4</v>
      </c>
      <c r="I139" s="430">
        <v>0</v>
      </c>
      <c r="J139" s="431">
        <f t="shared" si="116"/>
        <v>0.6</v>
      </c>
      <c r="K139" s="447">
        <f t="shared" si="117"/>
        <v>0.4</v>
      </c>
      <c r="L139" s="448"/>
      <c r="M139" s="434">
        <f t="shared" si="119"/>
        <v>1.4999999999999999E-2</v>
      </c>
      <c r="N139" s="434">
        <f t="shared" si="120"/>
        <v>1.0000000000000002E-2</v>
      </c>
      <c r="O139" s="434"/>
      <c r="P139" s="429">
        <v>0</v>
      </c>
      <c r="Q139" s="488">
        <v>0</v>
      </c>
      <c r="R139" s="488">
        <v>0</v>
      </c>
      <c r="S139" s="484">
        <v>0</v>
      </c>
      <c r="T139" s="484">
        <v>1</v>
      </c>
      <c r="U139" s="484"/>
      <c r="V139" s="430">
        <f>+Q139+R139+S139+T139+U139</f>
        <v>1</v>
      </c>
      <c r="W139" s="430">
        <f>+V139+AB139</f>
        <v>1</v>
      </c>
      <c r="X139" s="484">
        <v>0</v>
      </c>
      <c r="Y139" s="430"/>
      <c r="Z139" s="430"/>
      <c r="AA139" s="430"/>
      <c r="AB139" s="430">
        <f t="shared" si="121"/>
        <v>0</v>
      </c>
      <c r="AC139" s="431">
        <f t="shared" si="127"/>
        <v>0</v>
      </c>
      <c r="AD139" s="434">
        <v>1</v>
      </c>
      <c r="AE139" s="434"/>
      <c r="AF139" s="431">
        <f t="shared" si="122"/>
        <v>0</v>
      </c>
      <c r="AG139" s="447">
        <f t="shared" si="128"/>
        <v>2.5000000000000001E-2</v>
      </c>
      <c r="AH139" s="508"/>
      <c r="AI139" s="447">
        <f t="shared" si="129"/>
        <v>0</v>
      </c>
      <c r="AJ139" s="508">
        <v>1</v>
      </c>
      <c r="AK139" s="1426">
        <f t="shared" si="124"/>
        <v>1</v>
      </c>
      <c r="AL139" s="502">
        <f t="shared" si="130"/>
        <v>0</v>
      </c>
      <c r="AM139" s="503">
        <f>+AJ139*E139</f>
        <v>2.5000000000000001E-2</v>
      </c>
      <c r="AN139" s="1426">
        <f t="shared" si="125"/>
        <v>2.5000000000000001E-2</v>
      </c>
      <c r="AO139" s="179" t="s">
        <v>1850</v>
      </c>
      <c r="AP139" s="680" t="s">
        <v>1891</v>
      </c>
      <c r="AQ139" s="680" t="s">
        <v>2264</v>
      </c>
      <c r="AR139" s="680" t="s">
        <v>2286</v>
      </c>
      <c r="AS139" s="680" t="s">
        <v>2401</v>
      </c>
      <c r="AT139" s="680" t="s">
        <v>2452</v>
      </c>
      <c r="AU139" s="680" t="s">
        <v>2487</v>
      </c>
      <c r="AV139" s="680" t="s">
        <v>1893</v>
      </c>
    </row>
    <row r="140" spans="1:48" ht="114.75" customHeight="1" thickBot="1" x14ac:dyDescent="0.45">
      <c r="A140" s="264"/>
      <c r="B140" s="1535" t="s">
        <v>1612</v>
      </c>
      <c r="C140" s="1534"/>
      <c r="D140" s="401"/>
      <c r="E140" s="424">
        <v>0.2</v>
      </c>
      <c r="F140" s="427"/>
      <c r="G140" s="427"/>
      <c r="H140" s="433"/>
      <c r="I140" s="433"/>
      <c r="J140" s="426">
        <f>+AVERAGE(J141:J142)</f>
        <v>0.23392236384704518</v>
      </c>
      <c r="K140" s="446">
        <f>+AVERAGE(K141:K142)</f>
        <v>0.25535921205098494</v>
      </c>
      <c r="L140" s="498">
        <f>+AVERAGE(L141:L142)</f>
        <v>0.25535921205098494</v>
      </c>
      <c r="M140" s="426">
        <f>+M141+M142</f>
        <v>0.22106025492468134</v>
      </c>
      <c r="N140" s="426">
        <f>+N141+N142</f>
        <v>0.2596465816917729</v>
      </c>
      <c r="O140" s="426"/>
      <c r="P140" s="427"/>
      <c r="Q140" s="433"/>
      <c r="R140" s="433"/>
      <c r="S140" s="433"/>
      <c r="T140" s="433"/>
      <c r="U140" s="981"/>
      <c r="V140" s="430"/>
      <c r="W140" s="430"/>
      <c r="X140" s="430"/>
      <c r="Y140" s="430"/>
      <c r="Z140" s="430"/>
      <c r="AA140" s="430"/>
      <c r="AB140" s="430"/>
      <c r="AC140" s="486">
        <f>+AVERAGE(AC141:AC142)</f>
        <v>0.5</v>
      </c>
      <c r="AD140" s="486">
        <f>+AVERAGE(AD141:AD142)</f>
        <v>1</v>
      </c>
      <c r="AE140" s="486">
        <f>+AVERAGE(AE141:AE142)</f>
        <v>0.14777777777777779</v>
      </c>
      <c r="AF140" s="486">
        <f>+(AF141+AF142)*E140</f>
        <v>0.18000000000000002</v>
      </c>
      <c r="AG140" s="505">
        <f>+(AG141+AG142)*E140</f>
        <v>0.2</v>
      </c>
      <c r="AH140" s="1033">
        <f>+(AH141+AH142)*E140</f>
        <v>5.3200000000000004E-2</v>
      </c>
      <c r="AI140" s="446">
        <f>+AVERAGE(AI141:AI142)</f>
        <v>0.13789107763615296</v>
      </c>
      <c r="AJ140" s="506">
        <v>0.51926419466975671</v>
      </c>
      <c r="AK140" s="506">
        <f>+AVERAGE(AK141:AK142)</f>
        <v>0.55779258400927001</v>
      </c>
      <c r="AL140" s="446">
        <f>+(AL141+AL142)*E140</f>
        <v>4.9640787949015074E-2</v>
      </c>
      <c r="AM140" s="498">
        <f>+(AM141+AM142)</f>
        <v>0.53467555040556203</v>
      </c>
      <c r="AN140" s="498">
        <f>+(AN141+AN142)</f>
        <v>0.60402665121668608</v>
      </c>
      <c r="AO140" s="172"/>
      <c r="AP140" s="400"/>
      <c r="AQ140" s="400"/>
      <c r="AR140" s="400"/>
      <c r="AS140" s="400"/>
      <c r="AT140" s="400"/>
      <c r="AU140" s="196"/>
      <c r="AV140" s="196"/>
    </row>
    <row r="141" spans="1:48" ht="120" customHeight="1" thickBot="1" x14ac:dyDescent="0.4">
      <c r="A141" s="264"/>
      <c r="B141" s="1430" t="s">
        <v>246</v>
      </c>
      <c r="C141" s="1430" t="s">
        <v>247</v>
      </c>
      <c r="D141" s="402" t="s">
        <v>58</v>
      </c>
      <c r="E141" s="310">
        <v>0.9</v>
      </c>
      <c r="F141" s="428">
        <v>3452</v>
      </c>
      <c r="G141" s="429">
        <v>752</v>
      </c>
      <c r="H141" s="430">
        <v>900</v>
      </c>
      <c r="I141" s="430">
        <v>900</v>
      </c>
      <c r="J141" s="431">
        <f>+G141/F141</f>
        <v>0.21784472769409038</v>
      </c>
      <c r="K141" s="447">
        <f t="shared" si="117"/>
        <v>0.26071842410196988</v>
      </c>
      <c r="L141" s="448">
        <f t="shared" si="118"/>
        <v>0.26071842410196988</v>
      </c>
      <c r="M141" s="434">
        <f>+(G141/F141)*E141</f>
        <v>0.19606025492468135</v>
      </c>
      <c r="N141" s="434">
        <f t="shared" si="120"/>
        <v>0.23464658169177291</v>
      </c>
      <c r="O141" s="434"/>
      <c r="P141" s="429">
        <v>952</v>
      </c>
      <c r="Q141" s="488">
        <v>0</v>
      </c>
      <c r="R141" s="484">
        <v>348</v>
      </c>
      <c r="S141" s="484">
        <v>129</v>
      </c>
      <c r="T141" s="484">
        <v>400</v>
      </c>
      <c r="U141" s="484">
        <v>30</v>
      </c>
      <c r="V141" s="430">
        <f>+Q141+R141+S141+T141+U141</f>
        <v>907</v>
      </c>
      <c r="W141" s="430">
        <f>+V141+P141+AB141</f>
        <v>2125</v>
      </c>
      <c r="X141" s="484">
        <v>266</v>
      </c>
      <c r="Y141" s="430"/>
      <c r="Z141" s="430"/>
      <c r="AA141" s="430"/>
      <c r="AB141" s="430">
        <f t="shared" si="121"/>
        <v>266</v>
      </c>
      <c r="AC141" s="431">
        <v>1</v>
      </c>
      <c r="AD141" s="464">
        <v>1</v>
      </c>
      <c r="AE141" s="464">
        <f>+AB141/I141</f>
        <v>0.29555555555555557</v>
      </c>
      <c r="AF141" s="478">
        <f>+AC141*E141</f>
        <v>0.9</v>
      </c>
      <c r="AG141" s="502">
        <f t="shared" si="128"/>
        <v>0.9</v>
      </c>
      <c r="AH141" s="509">
        <f t="shared" si="123"/>
        <v>0.26600000000000001</v>
      </c>
      <c r="AI141" s="502">
        <f>+P141/F141</f>
        <v>0.27578215527230593</v>
      </c>
      <c r="AJ141" s="509">
        <v>0.5385283893395133</v>
      </c>
      <c r="AK141" s="1426">
        <f t="shared" si="124"/>
        <v>0.61558516801854002</v>
      </c>
      <c r="AL141" s="502">
        <f>+AI141*E141</f>
        <v>0.24820393974507535</v>
      </c>
      <c r="AM141" s="503">
        <f>+AJ141*E141</f>
        <v>0.48467555040556198</v>
      </c>
      <c r="AN141" s="449">
        <f t="shared" si="125"/>
        <v>0.55402665121668604</v>
      </c>
      <c r="AO141" s="179" t="s">
        <v>1850</v>
      </c>
      <c r="AP141" s="680" t="s">
        <v>1891</v>
      </c>
      <c r="AQ141" s="680" t="s">
        <v>2264</v>
      </c>
      <c r="AR141" s="680" t="s">
        <v>2286</v>
      </c>
      <c r="AS141" s="680" t="s">
        <v>2401</v>
      </c>
      <c r="AT141" s="680" t="s">
        <v>2434</v>
      </c>
      <c r="AU141" s="680" t="s">
        <v>2487</v>
      </c>
      <c r="AV141" s="680" t="s">
        <v>1893</v>
      </c>
    </row>
    <row r="142" spans="1:48" ht="102" customHeight="1" thickBot="1" x14ac:dyDescent="0.4">
      <c r="A142" s="264"/>
      <c r="B142" s="1430" t="s">
        <v>248</v>
      </c>
      <c r="C142" s="1430" t="s">
        <v>249</v>
      </c>
      <c r="D142" s="402" t="s">
        <v>58</v>
      </c>
      <c r="E142" s="310">
        <v>0.1</v>
      </c>
      <c r="F142" s="428">
        <v>4</v>
      </c>
      <c r="G142" s="429">
        <v>1</v>
      </c>
      <c r="H142" s="430">
        <v>1</v>
      </c>
      <c r="I142" s="430">
        <v>1</v>
      </c>
      <c r="J142" s="431">
        <f>+G142/F142</f>
        <v>0.25</v>
      </c>
      <c r="K142" s="447">
        <f t="shared" si="117"/>
        <v>0.25</v>
      </c>
      <c r="L142" s="448">
        <f t="shared" si="118"/>
        <v>0.25</v>
      </c>
      <c r="M142" s="434">
        <f>+(G142/F142)*E142</f>
        <v>2.5000000000000001E-2</v>
      </c>
      <c r="N142" s="434">
        <f t="shared" si="120"/>
        <v>2.5000000000000001E-2</v>
      </c>
      <c r="O142" s="434"/>
      <c r="P142" s="429">
        <v>0</v>
      </c>
      <c r="Q142" s="488">
        <v>0</v>
      </c>
      <c r="R142" s="484">
        <v>0</v>
      </c>
      <c r="S142" s="484">
        <v>0</v>
      </c>
      <c r="T142" s="484">
        <v>1</v>
      </c>
      <c r="U142" s="484">
        <v>1</v>
      </c>
      <c r="V142" s="430">
        <f>+Q142+R142+S142+T142+U142</f>
        <v>2</v>
      </c>
      <c r="W142" s="430">
        <f>+V142+P142+AB142</f>
        <v>2</v>
      </c>
      <c r="X142" s="484">
        <v>0</v>
      </c>
      <c r="Y142" s="430"/>
      <c r="Z142" s="430"/>
      <c r="AA142" s="430"/>
      <c r="AB142" s="430">
        <f t="shared" si="121"/>
        <v>0</v>
      </c>
      <c r="AC142" s="431">
        <f>+(P142/G142)</f>
        <v>0</v>
      </c>
      <c r="AD142" s="464">
        <v>1</v>
      </c>
      <c r="AE142" s="464">
        <f t="shared" si="133"/>
        <v>0</v>
      </c>
      <c r="AF142" s="478">
        <f>+AC142*E142</f>
        <v>0</v>
      </c>
      <c r="AG142" s="502">
        <f>+AD142*E142</f>
        <v>0.1</v>
      </c>
      <c r="AH142" s="504">
        <f>+AE142*E142</f>
        <v>0</v>
      </c>
      <c r="AI142" s="502">
        <f>+P142/F142</f>
        <v>0</v>
      </c>
      <c r="AJ142" s="504">
        <v>0.5</v>
      </c>
      <c r="AK142" s="1426">
        <f t="shared" si="124"/>
        <v>0.5</v>
      </c>
      <c r="AL142" s="502">
        <f>+AI142*E142</f>
        <v>0</v>
      </c>
      <c r="AM142" s="503">
        <f>+AJ142*E142</f>
        <v>0.05</v>
      </c>
      <c r="AN142" s="449">
        <f t="shared" si="125"/>
        <v>0.05</v>
      </c>
      <c r="AO142" s="179" t="s">
        <v>1850</v>
      </c>
      <c r="AP142" s="680" t="s">
        <v>1891</v>
      </c>
      <c r="AQ142" s="680" t="s">
        <v>2264</v>
      </c>
      <c r="AR142" s="680" t="s">
        <v>2286</v>
      </c>
      <c r="AS142" s="680" t="s">
        <v>2401</v>
      </c>
      <c r="AT142" s="680" t="s">
        <v>2434</v>
      </c>
      <c r="AU142" s="680" t="s">
        <v>2487</v>
      </c>
      <c r="AV142" s="680" t="s">
        <v>1893</v>
      </c>
    </row>
    <row r="143" spans="1:48" ht="72" customHeight="1" thickBot="1" x14ac:dyDescent="0.45">
      <c r="A143" s="264"/>
      <c r="B143" s="1535" t="s">
        <v>1613</v>
      </c>
      <c r="C143" s="1534"/>
      <c r="D143" s="401"/>
      <c r="E143" s="424">
        <v>0.1</v>
      </c>
      <c r="F143" s="428"/>
      <c r="G143" s="427"/>
      <c r="H143" s="433"/>
      <c r="I143" s="433"/>
      <c r="J143" s="426">
        <f>+AVERAGE(J144:J147)</f>
        <v>0.25</v>
      </c>
      <c r="K143" s="446">
        <f>+AVERAGE(K144:K147)</f>
        <v>0.27083333333333337</v>
      </c>
      <c r="L143" s="498">
        <f>+AVERAGE(L144:L147)</f>
        <v>0.27500000000000002</v>
      </c>
      <c r="M143" s="426">
        <f>+M144+M145+M146+M147</f>
        <v>0.25</v>
      </c>
      <c r="N143" s="426">
        <f>+N144+N145+N146+N147</f>
        <v>0.28000000000000003</v>
      </c>
      <c r="O143" s="426"/>
      <c r="P143" s="427"/>
      <c r="Q143" s="433"/>
      <c r="R143" s="433"/>
      <c r="S143" s="433"/>
      <c r="T143" s="433"/>
      <c r="U143" s="981"/>
      <c r="V143" s="433"/>
      <c r="W143" s="433"/>
      <c r="X143" s="430"/>
      <c r="Y143" s="430"/>
      <c r="Z143" s="430"/>
      <c r="AA143" s="430"/>
      <c r="AB143" s="430"/>
      <c r="AC143" s="486">
        <f>+AVERAGE(AC144:AC147)</f>
        <v>0.81166666666666665</v>
      </c>
      <c r="AD143" s="486">
        <f>+AVERAGE(AD144:AD147)</f>
        <v>0.98529411764705888</v>
      </c>
      <c r="AE143" s="486">
        <f>+AVERAGE(AE144:AE147)</f>
        <v>0.10714285714285714</v>
      </c>
      <c r="AF143" s="486">
        <f>+(AF144+AF145+AF146+AF147)*E143</f>
        <v>7.9200000000000007E-2</v>
      </c>
      <c r="AG143" s="505">
        <f>+(AG144+AG145+AG146+AG147)*E143</f>
        <v>9.823529411764706E-2</v>
      </c>
      <c r="AH143" s="1033">
        <f>+(AH144+AH145+AH146+AH147)*E143</f>
        <v>8.5714285714285719E-3</v>
      </c>
      <c r="AI143" s="446">
        <f>+AVERAGE(AI144:AI147)</f>
        <v>0.20291666666666666</v>
      </c>
      <c r="AJ143" s="506">
        <v>0.46958333333333335</v>
      </c>
      <c r="AK143" s="506">
        <f>+AVERAGE(AK144:AK147)</f>
        <v>0.50708333333333333</v>
      </c>
      <c r="AL143" s="446">
        <f>+(AL144+AL145+AL146+AL147)*E143</f>
        <v>1.9800000000000002E-2</v>
      </c>
      <c r="AM143" s="498">
        <f>+(AM144+AM145+AM146+AM147)</f>
        <v>0.47299999999999998</v>
      </c>
      <c r="AN143" s="498">
        <f>+(AN144+AN145+AN146+AN147)</f>
        <v>0.503</v>
      </c>
      <c r="AO143" s="172"/>
      <c r="AP143" s="400"/>
      <c r="AQ143" s="400"/>
      <c r="AR143" s="400"/>
      <c r="AS143" s="400"/>
      <c r="AT143" s="400"/>
      <c r="AU143" s="196"/>
      <c r="AV143" s="196"/>
    </row>
    <row r="144" spans="1:48" ht="84" customHeight="1" thickBot="1" x14ac:dyDescent="0.4">
      <c r="A144" s="264"/>
      <c r="B144" s="1430" t="s">
        <v>250</v>
      </c>
      <c r="C144" s="1430" t="s">
        <v>251</v>
      </c>
      <c r="D144" s="402" t="s">
        <v>58</v>
      </c>
      <c r="E144" s="310">
        <v>0.4</v>
      </c>
      <c r="F144" s="428">
        <v>200</v>
      </c>
      <c r="G144" s="429">
        <v>50</v>
      </c>
      <c r="H144" s="430">
        <v>60</v>
      </c>
      <c r="I144" s="430">
        <v>50</v>
      </c>
      <c r="J144" s="431">
        <f>+G144/F144</f>
        <v>0.25</v>
      </c>
      <c r="K144" s="447">
        <f t="shared" si="117"/>
        <v>0.3</v>
      </c>
      <c r="L144" s="448">
        <f>+I144/F144</f>
        <v>0.25</v>
      </c>
      <c r="M144" s="434">
        <f>+(G144/F144)*E144</f>
        <v>0.1</v>
      </c>
      <c r="N144" s="434">
        <f t="shared" si="120"/>
        <v>0.12</v>
      </c>
      <c r="O144" s="434"/>
      <c r="P144" s="429">
        <v>39</v>
      </c>
      <c r="Q144" s="488">
        <v>0</v>
      </c>
      <c r="R144" s="484">
        <v>0</v>
      </c>
      <c r="S144" s="484">
        <v>0</v>
      </c>
      <c r="T144" s="484">
        <v>60</v>
      </c>
      <c r="U144" s="484"/>
      <c r="V144" s="430">
        <f>+Q144+R144+S144+T144+U144</f>
        <v>60</v>
      </c>
      <c r="W144" s="430">
        <f>+V144+P144+AB144</f>
        <v>99</v>
      </c>
      <c r="X144" s="484">
        <v>0</v>
      </c>
      <c r="Y144" s="430"/>
      <c r="Z144" s="430"/>
      <c r="AA144" s="430"/>
      <c r="AB144" s="430">
        <f t="shared" si="121"/>
        <v>0</v>
      </c>
      <c r="AC144" s="431">
        <f>+(P144/G144)</f>
        <v>0.78</v>
      </c>
      <c r="AD144" s="464">
        <f t="shared" si="134"/>
        <v>1</v>
      </c>
      <c r="AE144" s="464">
        <f t="shared" si="133"/>
        <v>0</v>
      </c>
      <c r="AF144" s="478">
        <f>+AC144*E144</f>
        <v>0.31200000000000006</v>
      </c>
      <c r="AG144" s="502">
        <f t="shared" ref="AG144:AG170" si="135">+AD144*E144</f>
        <v>0.4</v>
      </c>
      <c r="AH144" s="509">
        <f t="shared" ref="AH144:AH170" si="136">+AE144*E144</f>
        <v>0</v>
      </c>
      <c r="AI144" s="502">
        <f>+P144/F144</f>
        <v>0.19500000000000001</v>
      </c>
      <c r="AJ144" s="509">
        <v>0.495</v>
      </c>
      <c r="AK144" s="509">
        <f t="shared" si="124"/>
        <v>0.495</v>
      </c>
      <c r="AL144" s="502">
        <f>+AI144*E144</f>
        <v>7.8000000000000014E-2</v>
      </c>
      <c r="AM144" s="503">
        <f>+AJ144*E144</f>
        <v>0.19800000000000001</v>
      </c>
      <c r="AN144" s="1426">
        <f t="shared" si="125"/>
        <v>0.19800000000000001</v>
      </c>
      <c r="AO144" s="179" t="s">
        <v>1850</v>
      </c>
      <c r="AP144" s="680" t="s">
        <v>1891</v>
      </c>
      <c r="AQ144" s="680" t="s">
        <v>2264</v>
      </c>
      <c r="AR144" s="680" t="s">
        <v>2286</v>
      </c>
      <c r="AS144" s="680" t="s">
        <v>2401</v>
      </c>
      <c r="AT144" s="680" t="s">
        <v>2434</v>
      </c>
      <c r="AU144" s="680" t="s">
        <v>2487</v>
      </c>
      <c r="AV144" s="680" t="s">
        <v>1893</v>
      </c>
    </row>
    <row r="145" spans="1:48" ht="101.4" customHeight="1" thickBot="1" x14ac:dyDescent="0.4">
      <c r="A145" s="264"/>
      <c r="B145" s="1430" t="s">
        <v>252</v>
      </c>
      <c r="C145" s="1430" t="s">
        <v>253</v>
      </c>
      <c r="D145" s="402" t="s">
        <v>58</v>
      </c>
      <c r="E145" s="310">
        <v>0.1</v>
      </c>
      <c r="F145" s="428">
        <v>4</v>
      </c>
      <c r="G145" s="429">
        <v>1</v>
      </c>
      <c r="H145" s="430">
        <v>1</v>
      </c>
      <c r="I145" s="430">
        <v>1</v>
      </c>
      <c r="J145" s="431">
        <f>+G145/F145</f>
        <v>0.25</v>
      </c>
      <c r="K145" s="447">
        <f t="shared" si="117"/>
        <v>0.25</v>
      </c>
      <c r="L145" s="448">
        <f t="shared" si="118"/>
        <v>0.25</v>
      </c>
      <c r="M145" s="434">
        <f>+(G145/F145)*E145</f>
        <v>2.5000000000000001E-2</v>
      </c>
      <c r="N145" s="434">
        <f t="shared" si="120"/>
        <v>2.5000000000000001E-2</v>
      </c>
      <c r="O145" s="434"/>
      <c r="P145" s="429">
        <v>1</v>
      </c>
      <c r="Q145" s="488">
        <v>0</v>
      </c>
      <c r="R145" s="484">
        <v>0</v>
      </c>
      <c r="S145" s="484">
        <v>0</v>
      </c>
      <c r="T145" s="484">
        <v>0</v>
      </c>
      <c r="U145" s="484">
        <v>1</v>
      </c>
      <c r="V145" s="430">
        <f t="shared" ref="V145:V147" si="137">+Q145+R145+S145+T145+U145</f>
        <v>1</v>
      </c>
      <c r="W145" s="430">
        <f t="shared" ref="W145:W147" si="138">+V145+P145+AB145</f>
        <v>2</v>
      </c>
      <c r="X145" s="484">
        <v>0</v>
      </c>
      <c r="Y145" s="430"/>
      <c r="Z145" s="430"/>
      <c r="AA145" s="430"/>
      <c r="AB145" s="430">
        <f t="shared" si="121"/>
        <v>0</v>
      </c>
      <c r="AC145" s="431">
        <f>+(P145/G145)</f>
        <v>1</v>
      </c>
      <c r="AD145" s="464">
        <f t="shared" si="134"/>
        <v>1</v>
      </c>
      <c r="AE145" s="464">
        <f t="shared" si="133"/>
        <v>0</v>
      </c>
      <c r="AF145" s="478">
        <f>+AC145*E145</f>
        <v>0.1</v>
      </c>
      <c r="AG145" s="502">
        <f t="shared" si="135"/>
        <v>0.1</v>
      </c>
      <c r="AH145" s="503">
        <f t="shared" si="136"/>
        <v>0</v>
      </c>
      <c r="AI145" s="502">
        <f>+P145/F145</f>
        <v>0.25</v>
      </c>
      <c r="AJ145" s="503">
        <v>0.5</v>
      </c>
      <c r="AK145" s="503">
        <f t="shared" si="124"/>
        <v>0.5</v>
      </c>
      <c r="AL145" s="502">
        <f>+AI145*E145</f>
        <v>2.5000000000000001E-2</v>
      </c>
      <c r="AM145" s="503">
        <f>+AJ145*E145</f>
        <v>0.05</v>
      </c>
      <c r="AN145" s="1426">
        <f t="shared" si="125"/>
        <v>0.05</v>
      </c>
      <c r="AO145" s="179" t="s">
        <v>1850</v>
      </c>
      <c r="AP145" s="680" t="s">
        <v>1891</v>
      </c>
      <c r="AQ145" s="680" t="s">
        <v>2264</v>
      </c>
      <c r="AR145" s="680" t="s">
        <v>2286</v>
      </c>
      <c r="AS145" s="680" t="s">
        <v>2401</v>
      </c>
      <c r="AT145" s="680" t="s">
        <v>2434</v>
      </c>
      <c r="AU145" s="680" t="s">
        <v>2487</v>
      </c>
      <c r="AV145" s="680" t="s">
        <v>1893</v>
      </c>
    </row>
    <row r="146" spans="1:48" ht="101.4" customHeight="1" thickBot="1" x14ac:dyDescent="0.4">
      <c r="A146" s="264"/>
      <c r="B146" s="1430" t="s">
        <v>254</v>
      </c>
      <c r="C146" s="1430" t="s">
        <v>255</v>
      </c>
      <c r="D146" s="402" t="s">
        <v>58</v>
      </c>
      <c r="E146" s="310">
        <v>0.2</v>
      </c>
      <c r="F146" s="428">
        <v>20</v>
      </c>
      <c r="G146" s="429">
        <v>5</v>
      </c>
      <c r="H146" s="430">
        <v>5</v>
      </c>
      <c r="I146" s="430">
        <v>7</v>
      </c>
      <c r="J146" s="431">
        <f>+G146/F146</f>
        <v>0.25</v>
      </c>
      <c r="K146" s="447">
        <f t="shared" si="117"/>
        <v>0.25</v>
      </c>
      <c r="L146" s="448">
        <f>+I146/F146</f>
        <v>0.35</v>
      </c>
      <c r="M146" s="434">
        <f>+(G146/F146)*E146</f>
        <v>0.05</v>
      </c>
      <c r="N146" s="434">
        <f t="shared" si="120"/>
        <v>0.05</v>
      </c>
      <c r="O146" s="434"/>
      <c r="P146" s="429">
        <v>3</v>
      </c>
      <c r="Q146" s="488">
        <v>0</v>
      </c>
      <c r="R146" s="484">
        <v>0</v>
      </c>
      <c r="S146" s="484">
        <v>1</v>
      </c>
      <c r="T146" s="484">
        <v>3</v>
      </c>
      <c r="U146" s="484">
        <v>1</v>
      </c>
      <c r="V146" s="430">
        <f t="shared" si="137"/>
        <v>5</v>
      </c>
      <c r="W146" s="430">
        <f t="shared" si="138"/>
        <v>11</v>
      </c>
      <c r="X146" s="484">
        <v>3</v>
      </c>
      <c r="Y146" s="430"/>
      <c r="Z146" s="430"/>
      <c r="AA146" s="430"/>
      <c r="AB146" s="430">
        <f t="shared" si="121"/>
        <v>3</v>
      </c>
      <c r="AC146" s="431">
        <f>+(P146/G146)</f>
        <v>0.6</v>
      </c>
      <c r="AD146" s="464">
        <f t="shared" si="134"/>
        <v>1</v>
      </c>
      <c r="AE146" s="464">
        <f t="shared" si="133"/>
        <v>0.42857142857142855</v>
      </c>
      <c r="AF146" s="478">
        <f>+AC146*E146</f>
        <v>0.12</v>
      </c>
      <c r="AG146" s="502">
        <f t="shared" si="135"/>
        <v>0.2</v>
      </c>
      <c r="AH146" s="503">
        <f t="shared" si="136"/>
        <v>8.5714285714285715E-2</v>
      </c>
      <c r="AI146" s="502">
        <f>+P146/F146</f>
        <v>0.15</v>
      </c>
      <c r="AJ146" s="503">
        <v>0.4</v>
      </c>
      <c r="AK146" s="503">
        <f t="shared" si="124"/>
        <v>0.55000000000000004</v>
      </c>
      <c r="AL146" s="502">
        <f>+AI146*E146</f>
        <v>0.03</v>
      </c>
      <c r="AM146" s="503">
        <f>+AJ146*E146</f>
        <v>8.0000000000000016E-2</v>
      </c>
      <c r="AN146" s="1426">
        <f t="shared" si="125"/>
        <v>0.11000000000000001</v>
      </c>
      <c r="AO146" s="179" t="s">
        <v>1850</v>
      </c>
      <c r="AP146" s="680" t="s">
        <v>1891</v>
      </c>
      <c r="AQ146" s="680" t="s">
        <v>2264</v>
      </c>
      <c r="AR146" s="680" t="s">
        <v>2286</v>
      </c>
      <c r="AS146" s="680" t="s">
        <v>2401</v>
      </c>
      <c r="AT146" s="680" t="s">
        <v>2434</v>
      </c>
      <c r="AU146" s="680" t="s">
        <v>2487</v>
      </c>
      <c r="AV146" s="680" t="s">
        <v>1893</v>
      </c>
    </row>
    <row r="147" spans="1:48" ht="82.95" customHeight="1" thickBot="1" x14ac:dyDescent="0.4">
      <c r="A147" s="264"/>
      <c r="B147" s="1427" t="s">
        <v>1561</v>
      </c>
      <c r="C147" s="1445" t="s">
        <v>1562</v>
      </c>
      <c r="D147" s="402" t="s">
        <v>58</v>
      </c>
      <c r="E147" s="310">
        <v>0.3</v>
      </c>
      <c r="F147" s="477">
        <v>60</v>
      </c>
      <c r="G147" s="429">
        <v>15</v>
      </c>
      <c r="H147" s="485">
        <v>17</v>
      </c>
      <c r="I147" s="485">
        <v>15</v>
      </c>
      <c r="J147" s="431">
        <f>+G147/F147</f>
        <v>0.25</v>
      </c>
      <c r="K147" s="447">
        <f t="shared" si="117"/>
        <v>0.28333333333333333</v>
      </c>
      <c r="L147" s="448">
        <f t="shared" si="118"/>
        <v>0.25</v>
      </c>
      <c r="M147" s="434">
        <f>+(G147/F147)*E147</f>
        <v>7.4999999999999997E-2</v>
      </c>
      <c r="N147" s="434">
        <f t="shared" si="120"/>
        <v>8.4999999999999992E-2</v>
      </c>
      <c r="O147" s="434"/>
      <c r="P147" s="430">
        <v>13</v>
      </c>
      <c r="Q147" s="488">
        <v>0</v>
      </c>
      <c r="R147" s="484">
        <v>13</v>
      </c>
      <c r="S147" s="484">
        <v>0</v>
      </c>
      <c r="T147" s="484">
        <v>3</v>
      </c>
      <c r="U147" s="484">
        <v>0</v>
      </c>
      <c r="V147" s="430">
        <f t="shared" si="137"/>
        <v>16</v>
      </c>
      <c r="W147" s="430">
        <f t="shared" si="138"/>
        <v>29</v>
      </c>
      <c r="X147" s="484">
        <v>0</v>
      </c>
      <c r="Y147" s="430"/>
      <c r="Z147" s="430"/>
      <c r="AA147" s="430"/>
      <c r="AB147" s="430">
        <f t="shared" si="121"/>
        <v>0</v>
      </c>
      <c r="AC147" s="431">
        <f>+(P147/G147)</f>
        <v>0.8666666666666667</v>
      </c>
      <c r="AD147" s="464">
        <f t="shared" si="134"/>
        <v>0.94117647058823528</v>
      </c>
      <c r="AE147" s="464">
        <f t="shared" si="133"/>
        <v>0</v>
      </c>
      <c r="AF147" s="478">
        <f>+AC147*E147</f>
        <v>0.26</v>
      </c>
      <c r="AG147" s="502">
        <f t="shared" si="135"/>
        <v>0.28235294117647058</v>
      </c>
      <c r="AH147" s="504">
        <f t="shared" si="136"/>
        <v>0</v>
      </c>
      <c r="AI147" s="502">
        <f>+P147/F147</f>
        <v>0.21666666666666667</v>
      </c>
      <c r="AJ147" s="504">
        <v>0.48333333333333334</v>
      </c>
      <c r="AK147" s="504">
        <f t="shared" si="124"/>
        <v>0.48333333333333334</v>
      </c>
      <c r="AL147" s="502">
        <f>+AI147*E147</f>
        <v>6.5000000000000002E-2</v>
      </c>
      <c r="AM147" s="503">
        <f>+AJ147*E147</f>
        <v>0.14499999999999999</v>
      </c>
      <c r="AN147" s="1426">
        <f t="shared" si="125"/>
        <v>0.14499999999999999</v>
      </c>
      <c r="AO147" s="179" t="s">
        <v>1850</v>
      </c>
      <c r="AP147" s="680" t="s">
        <v>1891</v>
      </c>
      <c r="AQ147" s="680" t="s">
        <v>2264</v>
      </c>
      <c r="AR147" s="680" t="s">
        <v>2286</v>
      </c>
      <c r="AS147" s="680" t="s">
        <v>2401</v>
      </c>
      <c r="AT147" s="680" t="s">
        <v>2434</v>
      </c>
      <c r="AU147" s="680" t="s">
        <v>2487</v>
      </c>
      <c r="AV147" s="680" t="s">
        <v>1893</v>
      </c>
    </row>
    <row r="148" spans="1:48" ht="86.25" customHeight="1" thickBot="1" x14ac:dyDescent="0.45">
      <c r="A148" s="264"/>
      <c r="B148" s="1535" t="s">
        <v>1614</v>
      </c>
      <c r="C148" s="1537"/>
      <c r="D148" s="401"/>
      <c r="E148" s="424">
        <v>0.2</v>
      </c>
      <c r="F148" s="428"/>
      <c r="G148" s="427"/>
      <c r="H148" s="433"/>
      <c r="I148" s="433"/>
      <c r="J148" s="426">
        <f>+AVERAGE(J149:J152)</f>
        <v>0.25</v>
      </c>
      <c r="K148" s="446">
        <f>+AVERAGE(K149:K152)</f>
        <v>0.22500000000000001</v>
      </c>
      <c r="L148" s="498">
        <f>+AVERAGE(L149:L152)</f>
        <v>0.25</v>
      </c>
      <c r="M148" s="426">
        <f>+M149+M150+M151+M152</f>
        <v>0.15000000000000002</v>
      </c>
      <c r="N148" s="426">
        <f>+N149+N150+N151+N152</f>
        <v>0.20374999999999999</v>
      </c>
      <c r="O148" s="426"/>
      <c r="P148" s="427"/>
      <c r="Q148" s="433"/>
      <c r="R148" s="433"/>
      <c r="S148" s="433"/>
      <c r="T148" s="433"/>
      <c r="U148" s="981"/>
      <c r="V148" s="433"/>
      <c r="W148" s="433"/>
      <c r="X148" s="430"/>
      <c r="Y148" s="430"/>
      <c r="Z148" s="430"/>
      <c r="AA148" s="430"/>
      <c r="AB148" s="430"/>
      <c r="AC148" s="486">
        <f>+AVERAGE(AC149:AC152)</f>
        <v>1</v>
      </c>
      <c r="AD148" s="486">
        <f>+AVERAGE(AD149:AD152)</f>
        <v>1</v>
      </c>
      <c r="AE148" s="486">
        <f>+AVERAGE(AE149:AE152)</f>
        <v>0.36249999999999999</v>
      </c>
      <c r="AF148" s="486">
        <f>+(AF149+AF150+AF151+AF152)*E148</f>
        <v>0.12000000000000002</v>
      </c>
      <c r="AG148" s="505">
        <f>+(AG149+AG150+AG151+AG152)*E148</f>
        <v>0.2</v>
      </c>
      <c r="AH148" s="1033">
        <f>+(AH149+AH150+AH151+AH152)*E148</f>
        <v>3.5999999999999997E-2</v>
      </c>
      <c r="AI148" s="446">
        <f>+AVERAGE(AI149:AI152)</f>
        <v>0.40833333333333338</v>
      </c>
      <c r="AJ148" s="506">
        <v>0.55000000000000004</v>
      </c>
      <c r="AK148" s="506">
        <f>+AVERAGE(AK149:AK152)</f>
        <v>0.62812500000000004</v>
      </c>
      <c r="AL148" s="446">
        <f>+(AL149+AL150+AL151+AL152)*E148</f>
        <v>4.4250000000000005E-2</v>
      </c>
      <c r="AM148" s="498">
        <f>+(AM149+AM150+AM151+AM152)</f>
        <v>0.45500000000000002</v>
      </c>
      <c r="AN148" s="498">
        <f>+(AN149+AN150+AN151+AN152)</f>
        <v>0.49249999999999999</v>
      </c>
      <c r="AO148" s="172"/>
      <c r="AP148" s="680" t="s">
        <v>1992</v>
      </c>
      <c r="AQ148" s="680" t="s">
        <v>2265</v>
      </c>
      <c r="AR148" s="400"/>
      <c r="AS148" s="400"/>
      <c r="AT148" s="400"/>
      <c r="AU148" s="196"/>
      <c r="AV148" s="196"/>
    </row>
    <row r="149" spans="1:48" ht="68.400000000000006" customHeight="1" thickBot="1" x14ac:dyDescent="0.4">
      <c r="A149" s="264"/>
      <c r="B149" s="1446" t="s">
        <v>256</v>
      </c>
      <c r="C149" s="1447" t="s">
        <v>257</v>
      </c>
      <c r="D149" s="1164" t="s">
        <v>58</v>
      </c>
      <c r="E149" s="310">
        <v>0.05</v>
      </c>
      <c r="F149" s="428">
        <v>4</v>
      </c>
      <c r="G149" s="429">
        <v>1</v>
      </c>
      <c r="H149" s="430">
        <v>1</v>
      </c>
      <c r="I149" s="430">
        <v>1</v>
      </c>
      <c r="J149" s="431">
        <f>+G149/F149</f>
        <v>0.25</v>
      </c>
      <c r="K149" s="447">
        <f t="shared" si="117"/>
        <v>0.25</v>
      </c>
      <c r="L149" s="448">
        <f t="shared" si="118"/>
        <v>0.25</v>
      </c>
      <c r="M149" s="434">
        <f>+(G149/F149)*E149</f>
        <v>1.2500000000000001E-2</v>
      </c>
      <c r="N149" s="434">
        <f t="shared" si="120"/>
        <v>1.2500000000000001E-2</v>
      </c>
      <c r="O149" s="434"/>
      <c r="P149" s="430">
        <v>1</v>
      </c>
      <c r="Q149" s="484">
        <v>0</v>
      </c>
      <c r="R149" s="484">
        <v>1</v>
      </c>
      <c r="S149" s="484">
        <v>0</v>
      </c>
      <c r="T149" s="484">
        <v>0</v>
      </c>
      <c r="U149" s="484">
        <v>0</v>
      </c>
      <c r="V149" s="430">
        <f>+Q149+R149+S149+T149+U149</f>
        <v>1</v>
      </c>
      <c r="W149" s="430">
        <f>+V149+P149+AB149</f>
        <v>3</v>
      </c>
      <c r="X149" s="484">
        <v>1</v>
      </c>
      <c r="Y149" s="430"/>
      <c r="Z149" s="430"/>
      <c r="AA149" s="430"/>
      <c r="AB149" s="430">
        <f t="shared" si="121"/>
        <v>1</v>
      </c>
      <c r="AC149" s="431">
        <f>+(P149/G149)</f>
        <v>1</v>
      </c>
      <c r="AD149" s="464">
        <f t="shared" si="134"/>
        <v>1</v>
      </c>
      <c r="AE149" s="464">
        <f t="shared" si="133"/>
        <v>1</v>
      </c>
      <c r="AF149" s="478">
        <f>+AC149*E149</f>
        <v>0.05</v>
      </c>
      <c r="AG149" s="502">
        <f t="shared" si="135"/>
        <v>0.05</v>
      </c>
      <c r="AH149" s="509">
        <f t="shared" si="136"/>
        <v>0.05</v>
      </c>
      <c r="AI149" s="502">
        <f>+P149/F149</f>
        <v>0.25</v>
      </c>
      <c r="AJ149" s="509">
        <v>0.5</v>
      </c>
      <c r="AK149" s="509">
        <f t="shared" si="124"/>
        <v>0.75</v>
      </c>
      <c r="AL149" s="502">
        <f>+AI149*E149</f>
        <v>1.2500000000000001E-2</v>
      </c>
      <c r="AM149" s="503">
        <f>+AJ149*E149</f>
        <v>2.5000000000000001E-2</v>
      </c>
      <c r="AN149" s="1426">
        <f t="shared" si="125"/>
        <v>3.7500000000000006E-2</v>
      </c>
      <c r="AO149" s="179" t="s">
        <v>1850</v>
      </c>
      <c r="AP149" s="680" t="s">
        <v>1891</v>
      </c>
      <c r="AQ149" s="680" t="s">
        <v>2264</v>
      </c>
      <c r="AR149" s="680" t="s">
        <v>2286</v>
      </c>
      <c r="AS149" s="680" t="s">
        <v>2401</v>
      </c>
      <c r="AT149" s="680" t="s">
        <v>2434</v>
      </c>
      <c r="AU149" s="680" t="s">
        <v>2487</v>
      </c>
      <c r="AV149" s="680" t="s">
        <v>1893</v>
      </c>
    </row>
    <row r="150" spans="1:48" ht="84.6" customHeight="1" thickBot="1" x14ac:dyDescent="0.4">
      <c r="A150" s="264"/>
      <c r="B150" s="1446" t="s">
        <v>258</v>
      </c>
      <c r="C150" s="1447" t="s">
        <v>259</v>
      </c>
      <c r="D150" s="1164" t="s">
        <v>58</v>
      </c>
      <c r="E150" s="310">
        <v>0.15</v>
      </c>
      <c r="F150" s="428">
        <v>40</v>
      </c>
      <c r="G150" s="429">
        <v>10</v>
      </c>
      <c r="H150" s="485">
        <v>11</v>
      </c>
      <c r="I150" s="485">
        <v>10</v>
      </c>
      <c r="J150" s="431">
        <f>+G150/F150</f>
        <v>0.25</v>
      </c>
      <c r="K150" s="447">
        <f t="shared" si="117"/>
        <v>0.27500000000000002</v>
      </c>
      <c r="L150" s="448"/>
      <c r="M150" s="434">
        <f>+(G150/F150)*E150</f>
        <v>3.7499999999999999E-2</v>
      </c>
      <c r="N150" s="434">
        <f t="shared" si="120"/>
        <v>4.1250000000000002E-2</v>
      </c>
      <c r="O150" s="434"/>
      <c r="P150" s="430">
        <v>29</v>
      </c>
      <c r="Q150" s="484">
        <v>2</v>
      </c>
      <c r="R150" s="484">
        <v>4</v>
      </c>
      <c r="S150" s="484">
        <v>1</v>
      </c>
      <c r="T150" s="484">
        <v>6</v>
      </c>
      <c r="U150" s="484">
        <v>4</v>
      </c>
      <c r="V150" s="430">
        <f t="shared" ref="V150:V152" si="139">+Q150+R150+S150+T150+U150</f>
        <v>17</v>
      </c>
      <c r="W150" s="430">
        <f t="shared" ref="W150:W152" si="140">+V150+P150+AB150</f>
        <v>48</v>
      </c>
      <c r="X150" s="484">
        <v>2</v>
      </c>
      <c r="Y150" s="430"/>
      <c r="Z150" s="430"/>
      <c r="AA150" s="430"/>
      <c r="AB150" s="430">
        <f t="shared" si="121"/>
        <v>2</v>
      </c>
      <c r="AC150" s="431">
        <v>1</v>
      </c>
      <c r="AD150" s="464">
        <v>1</v>
      </c>
      <c r="AE150" s="464">
        <f t="shared" si="133"/>
        <v>0.2</v>
      </c>
      <c r="AF150" s="478">
        <f>+AC150*E150</f>
        <v>0.15</v>
      </c>
      <c r="AG150" s="502">
        <f t="shared" si="135"/>
        <v>0.15</v>
      </c>
      <c r="AH150" s="503">
        <f t="shared" si="136"/>
        <v>0.03</v>
      </c>
      <c r="AI150" s="502">
        <f>+P150/F150</f>
        <v>0.72499999999999998</v>
      </c>
      <c r="AJ150" s="503">
        <v>1</v>
      </c>
      <c r="AK150" s="509">
        <v>1</v>
      </c>
      <c r="AL150" s="502">
        <f>+AI150*E150</f>
        <v>0.10875</v>
      </c>
      <c r="AM150" s="503">
        <f>+AJ150*E150</f>
        <v>0.15</v>
      </c>
      <c r="AN150" s="1426">
        <f t="shared" si="125"/>
        <v>0.15</v>
      </c>
      <c r="AO150" s="179" t="s">
        <v>1850</v>
      </c>
      <c r="AP150" s="680" t="s">
        <v>1891</v>
      </c>
      <c r="AQ150" s="680" t="s">
        <v>2264</v>
      </c>
      <c r="AR150" s="680" t="s">
        <v>2286</v>
      </c>
      <c r="AS150" s="680" t="s">
        <v>2401</v>
      </c>
      <c r="AT150" s="680" t="s">
        <v>2439</v>
      </c>
      <c r="AU150" s="680" t="s">
        <v>2491</v>
      </c>
      <c r="AV150" s="680" t="s">
        <v>1893</v>
      </c>
    </row>
    <row r="151" spans="1:48" ht="98.4" customHeight="1" thickBot="1" x14ac:dyDescent="0.4">
      <c r="A151" s="264"/>
      <c r="B151" s="1446" t="s">
        <v>260</v>
      </c>
      <c r="C151" s="1447" t="s">
        <v>261</v>
      </c>
      <c r="D151" s="1165" t="s">
        <v>58</v>
      </c>
      <c r="E151" s="336">
        <v>0.4</v>
      </c>
      <c r="F151" s="428">
        <f>80*4</f>
        <v>320</v>
      </c>
      <c r="G151" s="429">
        <v>80</v>
      </c>
      <c r="H151" s="430">
        <v>80</v>
      </c>
      <c r="I151" s="430">
        <v>80</v>
      </c>
      <c r="J151" s="431">
        <f>+G151/F151</f>
        <v>0.25</v>
      </c>
      <c r="K151" s="447">
        <f t="shared" si="117"/>
        <v>0.25</v>
      </c>
      <c r="L151" s="448">
        <f t="shared" si="118"/>
        <v>0.25</v>
      </c>
      <c r="M151" s="434">
        <f>+(G151/F151)*E151</f>
        <v>0.1</v>
      </c>
      <c r="N151" s="434">
        <f t="shared" si="120"/>
        <v>0.1</v>
      </c>
      <c r="O151" s="434"/>
      <c r="P151" s="430">
        <v>80</v>
      </c>
      <c r="Q151" s="484">
        <v>20</v>
      </c>
      <c r="R151" s="484">
        <v>20</v>
      </c>
      <c r="S151" s="484">
        <v>20</v>
      </c>
      <c r="T151" s="484">
        <v>20</v>
      </c>
      <c r="U151" s="484">
        <v>0</v>
      </c>
      <c r="V151" s="430">
        <f t="shared" si="139"/>
        <v>80</v>
      </c>
      <c r="W151" s="430">
        <f t="shared" si="140"/>
        <v>180</v>
      </c>
      <c r="X151" s="484">
        <v>20</v>
      </c>
      <c r="Y151" s="430"/>
      <c r="Z151" s="430"/>
      <c r="AA151" s="430"/>
      <c r="AB151" s="430">
        <f t="shared" si="121"/>
        <v>20</v>
      </c>
      <c r="AC151" s="431">
        <f>+(P151/G151)</f>
        <v>1</v>
      </c>
      <c r="AD151" s="464">
        <v>1</v>
      </c>
      <c r="AE151" s="464">
        <f t="shared" si="133"/>
        <v>0.25</v>
      </c>
      <c r="AF151" s="478">
        <f>+AC151*E151</f>
        <v>0.4</v>
      </c>
      <c r="AG151" s="502">
        <f t="shared" si="135"/>
        <v>0.4</v>
      </c>
      <c r="AH151" s="503">
        <f t="shared" si="136"/>
        <v>0.1</v>
      </c>
      <c r="AI151" s="502">
        <f>+P151/F151</f>
        <v>0.25</v>
      </c>
      <c r="AJ151" s="504">
        <v>0.5</v>
      </c>
      <c r="AK151" s="504">
        <f t="shared" si="124"/>
        <v>0.5625</v>
      </c>
      <c r="AL151" s="502">
        <f>+AI151*E151</f>
        <v>0.1</v>
      </c>
      <c r="AM151" s="503">
        <f>+AJ151*E151</f>
        <v>0.2</v>
      </c>
      <c r="AN151" s="1426">
        <f t="shared" si="125"/>
        <v>0.22500000000000001</v>
      </c>
      <c r="AO151" s="179" t="s">
        <v>1850</v>
      </c>
      <c r="AP151" s="583" t="s">
        <v>1934</v>
      </c>
      <c r="AQ151" s="680" t="s">
        <v>2264</v>
      </c>
      <c r="AR151" s="680" t="s">
        <v>2286</v>
      </c>
      <c r="AS151" s="680" t="s">
        <v>2401</v>
      </c>
      <c r="AT151" s="680" t="s">
        <v>2434</v>
      </c>
      <c r="AU151" s="680" t="s">
        <v>2487</v>
      </c>
      <c r="AV151" s="680" t="s">
        <v>1893</v>
      </c>
    </row>
    <row r="152" spans="1:48" ht="89.4" customHeight="1" thickBot="1" x14ac:dyDescent="0.4">
      <c r="A152" s="264"/>
      <c r="B152" s="1446" t="s">
        <v>262</v>
      </c>
      <c r="C152" s="1447" t="s">
        <v>263</v>
      </c>
      <c r="D152" s="1164" t="s">
        <v>58</v>
      </c>
      <c r="E152" s="310">
        <v>0.4</v>
      </c>
      <c r="F152" s="428">
        <v>80</v>
      </c>
      <c r="G152" s="429">
        <v>0</v>
      </c>
      <c r="H152" s="430">
        <v>10</v>
      </c>
      <c r="I152" s="430">
        <v>20</v>
      </c>
      <c r="J152" s="431"/>
      <c r="K152" s="447">
        <f t="shared" si="117"/>
        <v>0.125</v>
      </c>
      <c r="L152" s="448">
        <f>+I152/F152</f>
        <v>0.25</v>
      </c>
      <c r="M152" s="434"/>
      <c r="N152" s="434">
        <f t="shared" si="120"/>
        <v>0.05</v>
      </c>
      <c r="O152" s="434"/>
      <c r="P152" s="430"/>
      <c r="Q152" s="484">
        <v>3</v>
      </c>
      <c r="R152" s="484">
        <v>7</v>
      </c>
      <c r="S152" s="484">
        <v>6</v>
      </c>
      <c r="T152" s="484">
        <v>0</v>
      </c>
      <c r="U152" s="484">
        <v>0</v>
      </c>
      <c r="V152" s="430">
        <f t="shared" si="139"/>
        <v>16</v>
      </c>
      <c r="W152" s="430">
        <f t="shared" si="140"/>
        <v>16</v>
      </c>
      <c r="X152" s="484">
        <v>0</v>
      </c>
      <c r="Y152" s="430"/>
      <c r="Z152" s="430"/>
      <c r="AA152" s="430"/>
      <c r="AB152" s="430">
        <f t="shared" si="121"/>
        <v>0</v>
      </c>
      <c r="AC152" s="431"/>
      <c r="AD152" s="464">
        <v>1</v>
      </c>
      <c r="AE152" s="464">
        <f t="shared" si="133"/>
        <v>0</v>
      </c>
      <c r="AF152" s="478"/>
      <c r="AG152" s="502">
        <f t="shared" si="135"/>
        <v>0.4</v>
      </c>
      <c r="AH152" s="504">
        <f t="shared" si="136"/>
        <v>0</v>
      </c>
      <c r="AI152" s="502"/>
      <c r="AJ152" s="1004">
        <v>0.2</v>
      </c>
      <c r="AK152" s="504">
        <f t="shared" si="124"/>
        <v>0.2</v>
      </c>
      <c r="AL152" s="502"/>
      <c r="AM152" s="503">
        <f>+AJ152*E152</f>
        <v>8.0000000000000016E-2</v>
      </c>
      <c r="AN152" s="1426">
        <f t="shared" si="125"/>
        <v>8.0000000000000016E-2</v>
      </c>
      <c r="AO152" s="179" t="s">
        <v>1850</v>
      </c>
      <c r="AP152" s="680" t="s">
        <v>1891</v>
      </c>
      <c r="AQ152" s="680" t="s">
        <v>2264</v>
      </c>
      <c r="AR152" s="680" t="s">
        <v>2286</v>
      </c>
      <c r="AS152" s="680" t="s">
        <v>2401</v>
      </c>
      <c r="AT152" s="680" t="s">
        <v>2434</v>
      </c>
      <c r="AU152" s="680" t="s">
        <v>2487</v>
      </c>
      <c r="AV152" s="680" t="s">
        <v>1893</v>
      </c>
    </row>
    <row r="153" spans="1:48" ht="80.400000000000006" customHeight="1" thickBot="1" x14ac:dyDescent="0.45">
      <c r="A153" s="264"/>
      <c r="B153" s="1535" t="s">
        <v>1615</v>
      </c>
      <c r="C153" s="1532"/>
      <c r="D153" s="401"/>
      <c r="E153" s="424">
        <v>0.05</v>
      </c>
      <c r="F153" s="428"/>
      <c r="G153" s="427"/>
      <c r="H153" s="433"/>
      <c r="I153" s="433"/>
      <c r="J153" s="426">
        <f>+AVERAGE(J154:J159)</f>
        <v>0.625</v>
      </c>
      <c r="K153" s="446">
        <f>+AVERAGE(K154:K159)</f>
        <v>0.45611434329197087</v>
      </c>
      <c r="L153" s="498">
        <f>+AVERAGE(L154:L159)</f>
        <v>0.28477224433850634</v>
      </c>
      <c r="M153" s="426">
        <f>+M154+M155+M156+M157+M158+M159</f>
        <v>6.25E-2</v>
      </c>
      <c r="N153" s="426">
        <f>+N154+N155+N156+N157+N158+N159</f>
        <v>0.36258775084671224</v>
      </c>
      <c r="O153" s="426"/>
      <c r="P153" s="427"/>
      <c r="Q153" s="433"/>
      <c r="R153" s="433"/>
      <c r="S153" s="433"/>
      <c r="T153" s="433"/>
      <c r="U153" s="981"/>
      <c r="V153" s="433"/>
      <c r="W153" s="433"/>
      <c r="X153" s="430"/>
      <c r="Y153" s="430"/>
      <c r="Z153" s="430"/>
      <c r="AA153" s="430"/>
      <c r="AB153" s="430"/>
      <c r="AC153" s="486">
        <f>+AVERAGE(AC154:AC159)</f>
        <v>0.5</v>
      </c>
      <c r="AD153" s="486">
        <f>+AVERAGE(AD154:AD159)</f>
        <v>0.96026666666666682</v>
      </c>
      <c r="AE153" s="486">
        <f>+AVERAGE(AE154:AE159)</f>
        <v>0.51</v>
      </c>
      <c r="AF153" s="486">
        <f>+(AF154+AF155+AF156+AF157+AF158+AF159)*E153</f>
        <v>2.5000000000000005E-3</v>
      </c>
      <c r="AG153" s="505">
        <f>+(AG154+AG155+AG156+AG157+AG158+AG159)*E153</f>
        <v>4.4023333333333331E-2</v>
      </c>
      <c r="AH153" s="1448">
        <f>+(AH154+AH155+AH156+AH157+AH158+AH159)*E153</f>
        <v>2.0875000000000001E-2</v>
      </c>
      <c r="AI153" s="446">
        <f>+AVERAGE(AI154:AI159)</f>
        <v>0.25</v>
      </c>
      <c r="AJ153" s="1063">
        <v>0.61533235743409687</v>
      </c>
      <c r="AK153" s="506">
        <f>+AVERAGE(AK154:AK159)</f>
        <v>0.65341144895474268</v>
      </c>
      <c r="AL153" s="446">
        <f>+(AL154+AL155+AL156+AL157+AL158+AL159)*E153</f>
        <v>1.2500000000000002E-3</v>
      </c>
      <c r="AM153" s="446">
        <f>+(AM154+AM155+AM156+AM157+AM158+AM159)</f>
        <v>0.60701098663218656</v>
      </c>
      <c r="AN153" s="446">
        <f>+(AN154+AN155+AN156+AN157+AN158+AN159)</f>
        <v>0.67261858825950505</v>
      </c>
      <c r="AO153" s="172"/>
      <c r="AP153" s="400"/>
      <c r="AQ153" s="400"/>
      <c r="AR153" s="400"/>
      <c r="AS153" s="400"/>
      <c r="AT153" s="400"/>
      <c r="AU153" s="196"/>
      <c r="AV153" s="196"/>
    </row>
    <row r="154" spans="1:48" ht="91.2" customHeight="1" thickBot="1" x14ac:dyDescent="0.4">
      <c r="A154" s="264"/>
      <c r="B154" s="1430" t="s">
        <v>264</v>
      </c>
      <c r="C154" s="1430" t="s">
        <v>265</v>
      </c>
      <c r="D154" s="402" t="s">
        <v>12</v>
      </c>
      <c r="E154" s="310">
        <v>0.05</v>
      </c>
      <c r="F154" s="428">
        <v>1</v>
      </c>
      <c r="G154" s="429">
        <v>0</v>
      </c>
      <c r="H154" s="430">
        <v>1</v>
      </c>
      <c r="I154" s="430">
        <v>1</v>
      </c>
      <c r="J154" s="431"/>
      <c r="K154" s="447">
        <f>+H154/F154</f>
        <v>1</v>
      </c>
      <c r="L154" s="448">
        <v>0.25</v>
      </c>
      <c r="M154" s="434"/>
      <c r="N154" s="434">
        <f>+(H154/F154)*E154</f>
        <v>0.05</v>
      </c>
      <c r="O154" s="434"/>
      <c r="P154" s="429"/>
      <c r="Q154" s="484">
        <v>1</v>
      </c>
      <c r="R154" s="484">
        <v>0</v>
      </c>
      <c r="S154" s="484">
        <v>0</v>
      </c>
      <c r="T154" s="484">
        <v>0</v>
      </c>
      <c r="U154" s="484">
        <v>0</v>
      </c>
      <c r="V154" s="430">
        <f>+Q154+R154+S154+T154+U154</f>
        <v>1</v>
      </c>
      <c r="W154" s="430">
        <f>+V154+P154+AB154</f>
        <v>1.25</v>
      </c>
      <c r="X154" s="430">
        <v>0.25</v>
      </c>
      <c r="Y154" s="430"/>
      <c r="Z154" s="430"/>
      <c r="AA154" s="430"/>
      <c r="AB154" s="430">
        <f t="shared" si="121"/>
        <v>0.25</v>
      </c>
      <c r="AC154" s="431"/>
      <c r="AD154" s="464">
        <f>+V154/H154</f>
        <v>1</v>
      </c>
      <c r="AE154" s="464">
        <f t="shared" si="133"/>
        <v>0.25</v>
      </c>
      <c r="AF154" s="478"/>
      <c r="AG154" s="502">
        <f t="shared" si="135"/>
        <v>0.05</v>
      </c>
      <c r="AH154" s="503">
        <f t="shared" si="136"/>
        <v>1.2500000000000001E-2</v>
      </c>
      <c r="AI154" s="502"/>
      <c r="AJ154" s="509">
        <v>1</v>
      </c>
      <c r="AK154" s="509">
        <v>0.75</v>
      </c>
      <c r="AL154" s="502">
        <v>0</v>
      </c>
      <c r="AM154" s="503">
        <f t="shared" ref="AM154:AM159" si="141">+AJ154*E154</f>
        <v>0.05</v>
      </c>
      <c r="AN154" s="1426">
        <f t="shared" si="125"/>
        <v>3.7500000000000006E-2</v>
      </c>
      <c r="AO154" s="179" t="s">
        <v>1850</v>
      </c>
      <c r="AP154" s="585" t="s">
        <v>1891</v>
      </c>
      <c r="AQ154" s="680" t="s">
        <v>2264</v>
      </c>
      <c r="AR154" s="680" t="s">
        <v>2286</v>
      </c>
      <c r="AS154" s="583" t="s">
        <v>1865</v>
      </c>
      <c r="AT154" s="680" t="s">
        <v>2434</v>
      </c>
      <c r="AU154" s="680" t="s">
        <v>2487</v>
      </c>
      <c r="AV154" s="680" t="s">
        <v>1893</v>
      </c>
    </row>
    <row r="155" spans="1:48" ht="84.6" customHeight="1" thickBot="1" x14ac:dyDescent="0.4">
      <c r="A155" s="264"/>
      <c r="B155" s="1430" t="s">
        <v>266</v>
      </c>
      <c r="C155" s="1430" t="s">
        <v>267</v>
      </c>
      <c r="D155" s="402" t="s">
        <v>12</v>
      </c>
      <c r="E155" s="310">
        <v>0.05</v>
      </c>
      <c r="F155" s="428">
        <v>8</v>
      </c>
      <c r="G155" s="429">
        <v>2</v>
      </c>
      <c r="H155" s="430">
        <v>2</v>
      </c>
      <c r="I155" s="430">
        <v>2</v>
      </c>
      <c r="J155" s="431">
        <f>+G155/F155</f>
        <v>0.25</v>
      </c>
      <c r="K155" s="447">
        <f t="shared" si="117"/>
        <v>0.25</v>
      </c>
      <c r="L155" s="448"/>
      <c r="M155" s="434">
        <f>+(G155/F155)*E155</f>
        <v>1.2500000000000001E-2</v>
      </c>
      <c r="N155" s="434">
        <f t="shared" si="120"/>
        <v>1.2500000000000001E-2</v>
      </c>
      <c r="O155" s="434"/>
      <c r="P155" s="429">
        <v>4</v>
      </c>
      <c r="Q155" s="484">
        <v>0</v>
      </c>
      <c r="R155" s="484">
        <v>2</v>
      </c>
      <c r="S155" s="484">
        <v>0</v>
      </c>
      <c r="T155" s="484">
        <v>0</v>
      </c>
      <c r="U155" s="484"/>
      <c r="V155" s="430">
        <f t="shared" ref="V155:V159" si="142">+Q155+R155+S155+T155+U155</f>
        <v>2</v>
      </c>
      <c r="W155" s="430">
        <f t="shared" ref="W155:W159" si="143">+V155+P155+AB155</f>
        <v>9</v>
      </c>
      <c r="X155" s="430">
        <v>3</v>
      </c>
      <c r="Y155" s="430"/>
      <c r="Z155" s="430"/>
      <c r="AA155" s="430"/>
      <c r="AB155" s="430">
        <f t="shared" si="121"/>
        <v>3</v>
      </c>
      <c r="AC155" s="431">
        <v>1</v>
      </c>
      <c r="AD155" s="464">
        <f t="shared" ref="AD155:AD156" si="144">+V155/H155</f>
        <v>1</v>
      </c>
      <c r="AE155" s="464">
        <v>1</v>
      </c>
      <c r="AF155" s="478">
        <f>+AC155*E155</f>
        <v>0.05</v>
      </c>
      <c r="AG155" s="502">
        <f t="shared" si="135"/>
        <v>0.05</v>
      </c>
      <c r="AH155" s="503">
        <f t="shared" si="136"/>
        <v>0.05</v>
      </c>
      <c r="AI155" s="502">
        <f>+P155/F155</f>
        <v>0.5</v>
      </c>
      <c r="AJ155" s="503">
        <v>0.75</v>
      </c>
      <c r="AK155" s="503">
        <v>1</v>
      </c>
      <c r="AL155" s="502">
        <f>+AI155*E155</f>
        <v>2.5000000000000001E-2</v>
      </c>
      <c r="AM155" s="503">
        <f t="shared" si="141"/>
        <v>3.7500000000000006E-2</v>
      </c>
      <c r="AN155" s="1426">
        <f t="shared" si="125"/>
        <v>0.05</v>
      </c>
      <c r="AO155" s="179" t="s">
        <v>1850</v>
      </c>
      <c r="AP155" s="585" t="s">
        <v>1891</v>
      </c>
      <c r="AQ155" s="680" t="s">
        <v>2264</v>
      </c>
      <c r="AR155" s="680" t="s">
        <v>2286</v>
      </c>
      <c r="AS155" s="680" t="s">
        <v>2401</v>
      </c>
      <c r="AT155" s="680" t="s">
        <v>2434</v>
      </c>
      <c r="AU155" s="680" t="s">
        <v>2487</v>
      </c>
      <c r="AV155" s="680" t="s">
        <v>1893</v>
      </c>
    </row>
    <row r="156" spans="1:48" ht="115.2" customHeight="1" thickBot="1" x14ac:dyDescent="0.4">
      <c r="A156" s="264"/>
      <c r="B156" s="1430" t="s">
        <v>268</v>
      </c>
      <c r="C156" s="1430" t="s">
        <v>269</v>
      </c>
      <c r="D156" s="405" t="s">
        <v>1563</v>
      </c>
      <c r="E156" s="310">
        <v>0.35</v>
      </c>
      <c r="F156" s="428">
        <v>3534</v>
      </c>
      <c r="G156" s="429">
        <v>0</v>
      </c>
      <c r="H156" s="430">
        <v>1500</v>
      </c>
      <c r="I156" s="430">
        <v>1000</v>
      </c>
      <c r="J156" s="431"/>
      <c r="K156" s="447">
        <f t="shared" si="117"/>
        <v>0.42444821731748728</v>
      </c>
      <c r="L156" s="448">
        <f t="shared" si="118"/>
        <v>0.28296547821165818</v>
      </c>
      <c r="M156" s="434"/>
      <c r="N156" s="434">
        <f>+(H156/F156)*E156</f>
        <v>0.14855687606112053</v>
      </c>
      <c r="O156" s="434"/>
      <c r="P156" s="429"/>
      <c r="Q156" s="484">
        <v>0</v>
      </c>
      <c r="R156" s="484">
        <v>353</v>
      </c>
      <c r="S156" s="484">
        <v>286</v>
      </c>
      <c r="T156" s="484">
        <v>61</v>
      </c>
      <c r="U156" s="484">
        <v>502</v>
      </c>
      <c r="V156" s="430">
        <f t="shared" si="142"/>
        <v>1202</v>
      </c>
      <c r="W156" s="430">
        <f t="shared" si="143"/>
        <v>1502</v>
      </c>
      <c r="X156" s="430">
        <v>300</v>
      </c>
      <c r="Y156" s="430"/>
      <c r="Z156" s="430"/>
      <c r="AA156" s="430"/>
      <c r="AB156" s="430">
        <f t="shared" si="121"/>
        <v>300</v>
      </c>
      <c r="AC156" s="431"/>
      <c r="AD156" s="464">
        <f t="shared" si="144"/>
        <v>0.80133333333333334</v>
      </c>
      <c r="AE156" s="464">
        <f t="shared" si="133"/>
        <v>0.3</v>
      </c>
      <c r="AF156" s="478"/>
      <c r="AG156" s="502">
        <f t="shared" si="135"/>
        <v>0.28046666666666664</v>
      </c>
      <c r="AH156" s="503">
        <f t="shared" si="136"/>
        <v>0.105</v>
      </c>
      <c r="AI156" s="502"/>
      <c r="AJ156" s="503">
        <v>0.34012450481041312</v>
      </c>
      <c r="AK156" s="503">
        <f t="shared" si="124"/>
        <v>0.4250141482739106</v>
      </c>
      <c r="AL156" s="502">
        <v>0</v>
      </c>
      <c r="AM156" s="503">
        <f t="shared" si="141"/>
        <v>0.11904357668364458</v>
      </c>
      <c r="AN156" s="1426">
        <f t="shared" si="125"/>
        <v>0.14875495189586871</v>
      </c>
      <c r="AO156" s="179" t="s">
        <v>1850</v>
      </c>
      <c r="AP156" s="602" t="s">
        <v>1922</v>
      </c>
      <c r="AQ156" s="680" t="s">
        <v>2264</v>
      </c>
      <c r="AR156" s="680" t="s">
        <v>2286</v>
      </c>
      <c r="AS156" s="680" t="s">
        <v>2401</v>
      </c>
      <c r="AT156" s="680" t="s">
        <v>2434</v>
      </c>
      <c r="AU156" s="680" t="s">
        <v>2487</v>
      </c>
      <c r="AV156" s="680" t="s">
        <v>1893</v>
      </c>
    </row>
    <row r="157" spans="1:48" ht="142.80000000000001" customHeight="1" thickBot="1" x14ac:dyDescent="0.4">
      <c r="A157" s="264"/>
      <c r="B157" s="1430" t="s">
        <v>270</v>
      </c>
      <c r="C157" s="1430" t="s">
        <v>271</v>
      </c>
      <c r="D157" s="405" t="s">
        <v>1931</v>
      </c>
      <c r="E157" s="310">
        <v>0.25</v>
      </c>
      <c r="F157" s="428">
        <v>55</v>
      </c>
      <c r="G157" s="429">
        <v>0</v>
      </c>
      <c r="H157" s="430">
        <v>15</v>
      </c>
      <c r="I157" s="430">
        <v>15</v>
      </c>
      <c r="J157" s="431"/>
      <c r="K157" s="447">
        <f t="shared" si="117"/>
        <v>0.27272727272727271</v>
      </c>
      <c r="L157" s="448">
        <f>+I157/F157</f>
        <v>0.27272727272727271</v>
      </c>
      <c r="M157" s="434"/>
      <c r="N157" s="434">
        <f t="shared" si="120"/>
        <v>6.8181818181818177E-2</v>
      </c>
      <c r="O157" s="434"/>
      <c r="P157" s="429"/>
      <c r="Q157" s="484">
        <v>0</v>
      </c>
      <c r="R157" s="484">
        <v>0</v>
      </c>
      <c r="S157" s="484">
        <v>0</v>
      </c>
      <c r="T157" s="484">
        <v>0</v>
      </c>
      <c r="U157" s="484">
        <v>41</v>
      </c>
      <c r="V157" s="430">
        <f t="shared" si="142"/>
        <v>41</v>
      </c>
      <c r="W157" s="430">
        <f t="shared" si="143"/>
        <v>41</v>
      </c>
      <c r="X157" s="430">
        <v>0</v>
      </c>
      <c r="Y157" s="430"/>
      <c r="Z157" s="430"/>
      <c r="AA157" s="430"/>
      <c r="AB157" s="430">
        <f t="shared" si="121"/>
        <v>0</v>
      </c>
      <c r="AC157" s="431"/>
      <c r="AD157" s="464">
        <v>1</v>
      </c>
      <c r="AE157" s="464">
        <f t="shared" si="133"/>
        <v>0</v>
      </c>
      <c r="AF157" s="478"/>
      <c r="AG157" s="502">
        <f t="shared" si="135"/>
        <v>0.25</v>
      </c>
      <c r="AH157" s="503">
        <f t="shared" si="136"/>
        <v>0</v>
      </c>
      <c r="AI157" s="502"/>
      <c r="AJ157" s="503">
        <v>0.74545454545454548</v>
      </c>
      <c r="AK157" s="503">
        <f t="shared" si="124"/>
        <v>0.74545454545454548</v>
      </c>
      <c r="AL157" s="502">
        <v>0</v>
      </c>
      <c r="AM157" s="503">
        <f t="shared" si="141"/>
        <v>0.18636363636363637</v>
      </c>
      <c r="AN157" s="1426">
        <f t="shared" si="125"/>
        <v>0.18636363636363637</v>
      </c>
      <c r="AO157" s="179" t="s">
        <v>1850</v>
      </c>
      <c r="AP157" s="602" t="s">
        <v>1930</v>
      </c>
      <c r="AQ157" s="680" t="s">
        <v>2264</v>
      </c>
      <c r="AR157" s="680" t="s">
        <v>2286</v>
      </c>
      <c r="AS157" s="680" t="s">
        <v>2401</v>
      </c>
      <c r="AT157" s="680" t="s">
        <v>2434</v>
      </c>
      <c r="AU157" s="680" t="s">
        <v>2487</v>
      </c>
      <c r="AV157" s="680" t="s">
        <v>1893</v>
      </c>
    </row>
    <row r="158" spans="1:48" ht="76.8" customHeight="1" thickBot="1" x14ac:dyDescent="0.4">
      <c r="A158" s="264"/>
      <c r="B158" s="409" t="s">
        <v>272</v>
      </c>
      <c r="C158" s="409" t="s">
        <v>273</v>
      </c>
      <c r="D158" s="404" t="s">
        <v>162</v>
      </c>
      <c r="E158" s="310">
        <v>0.05</v>
      </c>
      <c r="F158" s="428">
        <v>2</v>
      </c>
      <c r="G158" s="429">
        <v>2</v>
      </c>
      <c r="H158" s="430"/>
      <c r="I158" s="430"/>
      <c r="J158" s="431">
        <f>+G158/F158</f>
        <v>1</v>
      </c>
      <c r="K158" s="447"/>
      <c r="L158" s="448"/>
      <c r="M158" s="434">
        <f>+(G158/F158)*E158</f>
        <v>0.05</v>
      </c>
      <c r="N158" s="434"/>
      <c r="O158" s="434"/>
      <c r="P158" s="429">
        <v>0</v>
      </c>
      <c r="Q158" s="484"/>
      <c r="R158" s="484"/>
      <c r="S158" s="484"/>
      <c r="T158" s="430"/>
      <c r="U158" s="485"/>
      <c r="V158" s="430">
        <f t="shared" si="142"/>
        <v>0</v>
      </c>
      <c r="W158" s="430">
        <f>+V158+P158+AB158</f>
        <v>0</v>
      </c>
      <c r="X158" s="430"/>
      <c r="Y158" s="430"/>
      <c r="Z158" s="430"/>
      <c r="AA158" s="430"/>
      <c r="AB158" s="430">
        <f t="shared" si="121"/>
        <v>0</v>
      </c>
      <c r="AC158" s="431">
        <f>+(P158/G158)</f>
        <v>0</v>
      </c>
      <c r="AD158" s="464"/>
      <c r="AE158" s="464"/>
      <c r="AF158" s="478">
        <f>+AC158*E158</f>
        <v>0</v>
      </c>
      <c r="AG158" s="502"/>
      <c r="AH158" s="503"/>
      <c r="AI158" s="502">
        <f>+P158/F158</f>
        <v>0</v>
      </c>
      <c r="AJ158" s="503">
        <v>0</v>
      </c>
      <c r="AK158" s="504">
        <f t="shared" si="124"/>
        <v>0</v>
      </c>
      <c r="AL158" s="502">
        <f>+AI158*E158</f>
        <v>0</v>
      </c>
      <c r="AM158" s="503">
        <f t="shared" si="141"/>
        <v>0</v>
      </c>
      <c r="AN158" s="1426">
        <f t="shared" si="125"/>
        <v>0</v>
      </c>
      <c r="AO158" s="599" t="s">
        <v>1863</v>
      </c>
      <c r="AP158" s="583" t="s">
        <v>1863</v>
      </c>
      <c r="AQ158" s="400"/>
      <c r="AR158" s="680" t="s">
        <v>2286</v>
      </c>
      <c r="AS158" s="400"/>
      <c r="AT158" s="400"/>
      <c r="AU158" s="196"/>
      <c r="AV158" s="583" t="s">
        <v>1865</v>
      </c>
    </row>
    <row r="159" spans="1:48" ht="106.95" customHeight="1" thickBot="1" x14ac:dyDescent="0.4">
      <c r="A159" s="264"/>
      <c r="B159" s="1430" t="s">
        <v>274</v>
      </c>
      <c r="C159" s="1430" t="s">
        <v>275</v>
      </c>
      <c r="D159" s="406" t="s">
        <v>1547</v>
      </c>
      <c r="E159" s="310">
        <v>0.25</v>
      </c>
      <c r="F159" s="428">
        <v>10600</v>
      </c>
      <c r="G159" s="429">
        <v>0</v>
      </c>
      <c r="H159" s="430">
        <v>3534</v>
      </c>
      <c r="I159" s="430">
        <v>3534</v>
      </c>
      <c r="J159" s="431"/>
      <c r="K159" s="447">
        <f t="shared" si="117"/>
        <v>0.33339622641509437</v>
      </c>
      <c r="L159" s="448">
        <f t="shared" si="118"/>
        <v>0.33339622641509437</v>
      </c>
      <c r="M159" s="434"/>
      <c r="N159" s="434">
        <f t="shared" si="120"/>
        <v>8.3349056603773591E-2</v>
      </c>
      <c r="O159" s="434"/>
      <c r="P159" s="429"/>
      <c r="Q159" s="484">
        <v>0</v>
      </c>
      <c r="R159" s="484">
        <v>3534</v>
      </c>
      <c r="S159" s="484">
        <v>2948</v>
      </c>
      <c r="T159" s="430">
        <v>2596</v>
      </c>
      <c r="U159" s="485"/>
      <c r="V159" s="430">
        <f t="shared" si="142"/>
        <v>9078</v>
      </c>
      <c r="W159" s="430">
        <f t="shared" si="143"/>
        <v>13718</v>
      </c>
      <c r="X159" s="430">
        <v>4640</v>
      </c>
      <c r="Y159" s="430"/>
      <c r="Z159" s="430"/>
      <c r="AA159" s="430"/>
      <c r="AB159" s="430">
        <f t="shared" si="121"/>
        <v>4640</v>
      </c>
      <c r="AC159" s="431"/>
      <c r="AD159" s="464">
        <v>1</v>
      </c>
      <c r="AE159" s="464">
        <v>1</v>
      </c>
      <c r="AF159" s="478"/>
      <c r="AG159" s="502">
        <f t="shared" si="135"/>
        <v>0.25</v>
      </c>
      <c r="AH159" s="1004">
        <f t="shared" si="136"/>
        <v>0.25</v>
      </c>
      <c r="AI159" s="782"/>
      <c r="AJ159" s="504">
        <v>0.8564150943396226</v>
      </c>
      <c r="AK159" s="1426">
        <v>1</v>
      </c>
      <c r="AL159" s="502">
        <v>0</v>
      </c>
      <c r="AM159" s="503">
        <f t="shared" si="141"/>
        <v>0.21410377358490565</v>
      </c>
      <c r="AN159" s="1426">
        <f t="shared" si="125"/>
        <v>0.25</v>
      </c>
      <c r="AO159" s="179" t="s">
        <v>1850</v>
      </c>
      <c r="AP159" s="583" t="s">
        <v>1953</v>
      </c>
      <c r="AQ159" s="400"/>
      <c r="AR159" s="400"/>
      <c r="AS159" s="870" t="s">
        <v>2401</v>
      </c>
      <c r="AT159" s="583" t="s">
        <v>1865</v>
      </c>
      <c r="AU159" s="680" t="s">
        <v>2487</v>
      </c>
      <c r="AV159" s="680" t="s">
        <v>1893</v>
      </c>
    </row>
    <row r="160" spans="1:48" ht="72" customHeight="1" thickBot="1" x14ac:dyDescent="0.45">
      <c r="A160" s="264"/>
      <c r="B160" s="1535" t="s">
        <v>1616</v>
      </c>
      <c r="C160" s="1534"/>
      <c r="D160" s="401"/>
      <c r="E160" s="424">
        <v>0.2</v>
      </c>
      <c r="F160" s="428"/>
      <c r="G160" s="427"/>
      <c r="H160" s="433"/>
      <c r="I160" s="433"/>
      <c r="J160" s="426">
        <f>+AVERAGE(J161:J165)</f>
        <v>0.22400000000000003</v>
      </c>
      <c r="K160" s="446">
        <f>+AVERAGE(K161:K165)</f>
        <v>0.29239999999999999</v>
      </c>
      <c r="L160" s="498">
        <f>+AVERAGE(L161:L165)</f>
        <v>0.25</v>
      </c>
      <c r="M160" s="426">
        <f>+M161+M162+M163+M164+M165</f>
        <v>0.14599999999999999</v>
      </c>
      <c r="N160" s="426">
        <f>+N161+N162+N163+N164+N165</f>
        <v>0.2656</v>
      </c>
      <c r="O160" s="426"/>
      <c r="P160" s="427"/>
      <c r="Q160" s="433"/>
      <c r="R160" s="433"/>
      <c r="S160" s="433"/>
      <c r="T160" s="433"/>
      <c r="U160" s="981"/>
      <c r="V160" s="433"/>
      <c r="W160" s="433"/>
      <c r="X160" s="430"/>
      <c r="Y160" s="430"/>
      <c r="Z160" s="430"/>
      <c r="AA160" s="430"/>
      <c r="AB160" s="430"/>
      <c r="AC160" s="486">
        <f>+AVERAGE(AC161:AC165)</f>
        <v>1</v>
      </c>
      <c r="AD160" s="486">
        <f>+AVERAGE(AD161:AD165)</f>
        <v>0.96250000000000002</v>
      </c>
      <c r="AE160" s="486">
        <f>+AVERAGE(AE161:AE165)</f>
        <v>0.125</v>
      </c>
      <c r="AF160" s="486">
        <f>+(AF161+AF162+AF163+AF164+AF165)*E160</f>
        <v>0.19999999999999998</v>
      </c>
      <c r="AG160" s="505">
        <f>+(AG161+AG162+AG163+AG164+AG165)*E160</f>
        <v>0.18875</v>
      </c>
      <c r="AH160" s="1033">
        <f>+(AH161+AH162+AH163+AH164+AH165)*E160</f>
        <v>1.0000000000000002E-2</v>
      </c>
      <c r="AI160" s="1028">
        <f>+AVERAGE(AI161:AI165)</f>
        <v>0.25159999999999999</v>
      </c>
      <c r="AJ160" s="506">
        <v>0.61180000000000001</v>
      </c>
      <c r="AK160" s="506">
        <f>+AVERAGE(AK161:AK165)</f>
        <v>0.63680000000000003</v>
      </c>
      <c r="AL160" s="446">
        <f>+(AL161+AL162+AL163+AL164+AL165)*E160</f>
        <v>3.8080000000000003E-2</v>
      </c>
      <c r="AM160" s="498">
        <f>+(AM161+AM162+AM163+AM164+AM165)</f>
        <v>0.48270000000000007</v>
      </c>
      <c r="AN160" s="498">
        <f>+(AN161+AN162+AN163+AN164+AN165)</f>
        <v>0.49520000000000008</v>
      </c>
      <c r="AO160" s="172"/>
      <c r="AP160" s="400"/>
      <c r="AQ160" s="400"/>
      <c r="AR160" s="400"/>
      <c r="AS160" s="400"/>
      <c r="AT160" s="400"/>
      <c r="AU160" s="196"/>
      <c r="AV160" s="196"/>
    </row>
    <row r="161" spans="1:48" ht="92.4" customHeight="1" thickBot="1" x14ac:dyDescent="0.4">
      <c r="A161" s="264"/>
      <c r="B161" s="1430" t="s">
        <v>276</v>
      </c>
      <c r="C161" s="1430" t="s">
        <v>277</v>
      </c>
      <c r="D161" s="402" t="s">
        <v>58</v>
      </c>
      <c r="E161" s="310">
        <v>0.3</v>
      </c>
      <c r="F161" s="428">
        <v>500</v>
      </c>
      <c r="G161" s="429">
        <v>10</v>
      </c>
      <c r="H161" s="430">
        <v>96</v>
      </c>
      <c r="I161" s="430">
        <v>150</v>
      </c>
      <c r="J161" s="431">
        <f>+G161/F161</f>
        <v>0.02</v>
      </c>
      <c r="K161" s="447">
        <f t="shared" si="117"/>
        <v>0.192</v>
      </c>
      <c r="L161" s="448">
        <f t="shared" si="118"/>
        <v>0.3</v>
      </c>
      <c r="M161" s="434">
        <f>+(G161/F161)*E161</f>
        <v>6.0000000000000001E-3</v>
      </c>
      <c r="N161" s="434">
        <f t="shared" si="120"/>
        <v>5.7599999999999998E-2</v>
      </c>
      <c r="O161" s="434"/>
      <c r="P161" s="429">
        <v>64</v>
      </c>
      <c r="Q161" s="484">
        <v>0</v>
      </c>
      <c r="R161" s="484">
        <v>32</v>
      </c>
      <c r="S161" s="484">
        <v>0</v>
      </c>
      <c r="T161" s="484">
        <v>30</v>
      </c>
      <c r="U161" s="484">
        <v>16</v>
      </c>
      <c r="V161" s="430">
        <f>+Q161+R161+S161+T161+U161</f>
        <v>78</v>
      </c>
      <c r="W161" s="430">
        <f>+V161+P161+AB161</f>
        <v>142</v>
      </c>
      <c r="X161" s="484">
        <v>0</v>
      </c>
      <c r="Y161" s="430"/>
      <c r="Z161" s="430"/>
      <c r="AA161" s="430"/>
      <c r="AB161" s="430">
        <f t="shared" si="121"/>
        <v>0</v>
      </c>
      <c r="AC161" s="431">
        <v>1</v>
      </c>
      <c r="AD161" s="464">
        <f t="shared" ref="AD161:AD170" si="145">+V161/H161</f>
        <v>0.8125</v>
      </c>
      <c r="AE161" s="464">
        <f t="shared" si="133"/>
        <v>0</v>
      </c>
      <c r="AF161" s="478">
        <f>+AC161*E161</f>
        <v>0.3</v>
      </c>
      <c r="AG161" s="502">
        <f t="shared" si="135"/>
        <v>0.24374999999999999</v>
      </c>
      <c r="AH161" s="1426">
        <f t="shared" si="136"/>
        <v>0</v>
      </c>
      <c r="AI161" s="855">
        <f>+P161/F161</f>
        <v>0.128</v>
      </c>
      <c r="AJ161" s="509">
        <v>0.28399999999999997</v>
      </c>
      <c r="AK161" s="1426">
        <f t="shared" si="124"/>
        <v>0.28399999999999997</v>
      </c>
      <c r="AL161" s="502">
        <f>+AI161*E161</f>
        <v>3.8399999999999997E-2</v>
      </c>
      <c r="AM161" s="503">
        <f>+AJ161*E161</f>
        <v>8.5199999999999984E-2</v>
      </c>
      <c r="AN161" s="1426">
        <f t="shared" si="125"/>
        <v>8.5199999999999984E-2</v>
      </c>
      <c r="AO161" s="179" t="s">
        <v>1850</v>
      </c>
      <c r="AP161" s="680" t="s">
        <v>1891</v>
      </c>
      <c r="AQ161" s="680" t="s">
        <v>2264</v>
      </c>
      <c r="AR161" s="680" t="s">
        <v>2286</v>
      </c>
      <c r="AS161" s="680" t="s">
        <v>2401</v>
      </c>
      <c r="AT161" s="680" t="s">
        <v>2434</v>
      </c>
      <c r="AU161" s="680" t="s">
        <v>2487</v>
      </c>
      <c r="AV161" s="680" t="s">
        <v>1893</v>
      </c>
    </row>
    <row r="162" spans="1:48" ht="139.94999999999999" customHeight="1" thickBot="1" x14ac:dyDescent="0.4">
      <c r="A162" s="264"/>
      <c r="B162" s="1430" t="s">
        <v>278</v>
      </c>
      <c r="C162" s="1430" t="s">
        <v>279</v>
      </c>
      <c r="D162" s="402" t="s">
        <v>58</v>
      </c>
      <c r="E162" s="310">
        <v>0.4</v>
      </c>
      <c r="F162" s="428">
        <v>200</v>
      </c>
      <c r="G162" s="429">
        <v>20</v>
      </c>
      <c r="H162" s="430">
        <v>54</v>
      </c>
      <c r="I162" s="430">
        <v>40</v>
      </c>
      <c r="J162" s="431">
        <f>+G162/F162</f>
        <v>0.1</v>
      </c>
      <c r="K162" s="447">
        <f t="shared" si="117"/>
        <v>0.27</v>
      </c>
      <c r="L162" s="448">
        <f t="shared" si="118"/>
        <v>0.2</v>
      </c>
      <c r="M162" s="434">
        <f>+(G162/F162)*E162</f>
        <v>4.0000000000000008E-2</v>
      </c>
      <c r="N162" s="434">
        <f t="shared" si="120"/>
        <v>0.10800000000000001</v>
      </c>
      <c r="O162" s="434"/>
      <c r="P162" s="429">
        <v>26</v>
      </c>
      <c r="Q162" s="484">
        <v>0</v>
      </c>
      <c r="R162" s="484">
        <v>0</v>
      </c>
      <c r="S162" s="484">
        <v>0</v>
      </c>
      <c r="T162" s="484">
        <v>0</v>
      </c>
      <c r="U162" s="484">
        <v>54</v>
      </c>
      <c r="V162" s="430">
        <f t="shared" ref="V162:V164" si="146">+Q162+R162+S162+T162+U162</f>
        <v>54</v>
      </c>
      <c r="W162" s="430">
        <f t="shared" ref="W162:W164" si="147">+V162+P162+AB162</f>
        <v>80</v>
      </c>
      <c r="X162" s="484">
        <v>0</v>
      </c>
      <c r="Y162" s="430"/>
      <c r="Z162" s="430"/>
      <c r="AA162" s="430"/>
      <c r="AB162" s="430">
        <f t="shared" si="121"/>
        <v>0</v>
      </c>
      <c r="AC162" s="431">
        <v>1</v>
      </c>
      <c r="AD162" s="464">
        <f t="shared" si="145"/>
        <v>1</v>
      </c>
      <c r="AE162" s="464">
        <f t="shared" si="133"/>
        <v>0</v>
      </c>
      <c r="AF162" s="478">
        <f>+AC162*E162</f>
        <v>0.4</v>
      </c>
      <c r="AG162" s="502">
        <f t="shared" si="135"/>
        <v>0.4</v>
      </c>
      <c r="AH162" s="509">
        <f t="shared" si="136"/>
        <v>0</v>
      </c>
      <c r="AI162" s="502">
        <f>+P162/F162</f>
        <v>0.13</v>
      </c>
      <c r="AJ162" s="503">
        <v>0.4</v>
      </c>
      <c r="AK162" s="509">
        <f t="shared" si="124"/>
        <v>0.4</v>
      </c>
      <c r="AL162" s="502">
        <f>+AI162*E162</f>
        <v>5.2000000000000005E-2</v>
      </c>
      <c r="AM162" s="503">
        <f>+AJ162*E162</f>
        <v>0.16000000000000003</v>
      </c>
      <c r="AN162" s="1426">
        <f t="shared" si="125"/>
        <v>0.16000000000000003</v>
      </c>
      <c r="AO162" s="179" t="s">
        <v>1850</v>
      </c>
      <c r="AP162" s="680" t="s">
        <v>1891</v>
      </c>
      <c r="AQ162" s="680" t="s">
        <v>2264</v>
      </c>
      <c r="AR162" s="680" t="s">
        <v>2286</v>
      </c>
      <c r="AS162" s="680" t="s">
        <v>2401</v>
      </c>
      <c r="AT162" s="680" t="s">
        <v>2434</v>
      </c>
      <c r="AU162" s="680" t="s">
        <v>2487</v>
      </c>
      <c r="AV162" s="680" t="s">
        <v>1893</v>
      </c>
    </row>
    <row r="163" spans="1:48" ht="82.95" customHeight="1" thickBot="1" x14ac:dyDescent="0.4">
      <c r="A163" s="264"/>
      <c r="B163" s="1430" t="s">
        <v>280</v>
      </c>
      <c r="C163" s="1430" t="s">
        <v>281</v>
      </c>
      <c r="D163" s="402" t="s">
        <v>58</v>
      </c>
      <c r="E163" s="310">
        <v>0.1</v>
      </c>
      <c r="F163" s="428">
        <v>1</v>
      </c>
      <c r="G163" s="429">
        <v>0.5</v>
      </c>
      <c r="H163" s="430">
        <v>0.5</v>
      </c>
      <c r="I163" s="430">
        <v>0</v>
      </c>
      <c r="J163" s="431">
        <f>+G163/F163</f>
        <v>0.5</v>
      </c>
      <c r="K163" s="447">
        <f t="shared" si="117"/>
        <v>0.5</v>
      </c>
      <c r="L163" s="448"/>
      <c r="M163" s="434">
        <f>+(G163/F163)*E163</f>
        <v>0.05</v>
      </c>
      <c r="N163" s="434">
        <f t="shared" si="120"/>
        <v>0.05</v>
      </c>
      <c r="O163" s="434"/>
      <c r="P163" s="429">
        <v>0.5</v>
      </c>
      <c r="Q163" s="484">
        <v>0</v>
      </c>
      <c r="R163" s="484">
        <v>0</v>
      </c>
      <c r="S163" s="484">
        <v>0</v>
      </c>
      <c r="T163" s="484">
        <v>0.5</v>
      </c>
      <c r="U163" s="484">
        <v>0</v>
      </c>
      <c r="V163" s="430">
        <f t="shared" si="146"/>
        <v>0.5</v>
      </c>
      <c r="W163" s="430">
        <f t="shared" si="147"/>
        <v>1</v>
      </c>
      <c r="X163" s="484"/>
      <c r="Y163" s="430"/>
      <c r="Z163" s="430"/>
      <c r="AA163" s="430"/>
      <c r="AB163" s="430">
        <f t="shared" si="121"/>
        <v>0</v>
      </c>
      <c r="AC163" s="431">
        <f>+(P163/G163)</f>
        <v>1</v>
      </c>
      <c r="AD163" s="464">
        <f t="shared" si="145"/>
        <v>1</v>
      </c>
      <c r="AE163" s="464"/>
      <c r="AF163" s="478">
        <f>+AC163*E163</f>
        <v>0.1</v>
      </c>
      <c r="AG163" s="502">
        <f t="shared" si="135"/>
        <v>0.1</v>
      </c>
      <c r="AH163" s="503">
        <f t="shared" si="136"/>
        <v>0</v>
      </c>
      <c r="AI163" s="502">
        <f>+P163/F163</f>
        <v>0.5</v>
      </c>
      <c r="AJ163" s="503">
        <v>1</v>
      </c>
      <c r="AK163" s="503">
        <f t="shared" si="124"/>
        <v>1</v>
      </c>
      <c r="AL163" s="502">
        <f>+AI163*E163</f>
        <v>0.05</v>
      </c>
      <c r="AM163" s="503">
        <f>+AJ163*E163</f>
        <v>0.1</v>
      </c>
      <c r="AN163" s="1426">
        <f t="shared" si="125"/>
        <v>0.1</v>
      </c>
      <c r="AO163" s="179" t="s">
        <v>1850</v>
      </c>
      <c r="AP163" s="680" t="s">
        <v>1891</v>
      </c>
      <c r="AQ163" s="680" t="s">
        <v>2264</v>
      </c>
      <c r="AR163" s="680" t="s">
        <v>2286</v>
      </c>
      <c r="AS163" s="680" t="s">
        <v>2401</v>
      </c>
      <c r="AT163" s="680" t="s">
        <v>2435</v>
      </c>
      <c r="AU163" s="680" t="s">
        <v>2487</v>
      </c>
      <c r="AV163" s="680" t="s">
        <v>1893</v>
      </c>
    </row>
    <row r="164" spans="1:48" ht="165" customHeight="1" thickBot="1" x14ac:dyDescent="0.4">
      <c r="A164" s="264"/>
      <c r="B164" s="1430" t="s">
        <v>282</v>
      </c>
      <c r="C164" s="1430" t="s">
        <v>283</v>
      </c>
      <c r="D164" s="402" t="s">
        <v>58</v>
      </c>
      <c r="E164" s="310">
        <v>0.1</v>
      </c>
      <c r="F164" s="428">
        <v>8</v>
      </c>
      <c r="G164" s="429">
        <v>2</v>
      </c>
      <c r="H164" s="430">
        <v>2</v>
      </c>
      <c r="I164" s="430">
        <v>2</v>
      </c>
      <c r="J164" s="431">
        <f>+G164/F164</f>
        <v>0.25</v>
      </c>
      <c r="K164" s="447">
        <f>+H164/F164</f>
        <v>0.25</v>
      </c>
      <c r="L164" s="448">
        <f t="shared" si="118"/>
        <v>0.25</v>
      </c>
      <c r="M164" s="434">
        <f>+(G164/F164)*E164</f>
        <v>2.5000000000000001E-2</v>
      </c>
      <c r="N164" s="434">
        <f t="shared" si="120"/>
        <v>2.5000000000000001E-2</v>
      </c>
      <c r="O164" s="434"/>
      <c r="P164" s="429">
        <v>2</v>
      </c>
      <c r="Q164" s="484">
        <v>0</v>
      </c>
      <c r="R164" s="484">
        <v>3</v>
      </c>
      <c r="S164" s="484">
        <v>1</v>
      </c>
      <c r="T164" s="484">
        <v>1</v>
      </c>
      <c r="U164" s="484">
        <v>0</v>
      </c>
      <c r="V164" s="430">
        <f t="shared" si="146"/>
        <v>5</v>
      </c>
      <c r="W164" s="430">
        <f t="shared" si="147"/>
        <v>7</v>
      </c>
      <c r="X164" s="484">
        <v>0</v>
      </c>
      <c r="Y164" s="430"/>
      <c r="Z164" s="430"/>
      <c r="AA164" s="430"/>
      <c r="AB164" s="430">
        <f t="shared" si="121"/>
        <v>0</v>
      </c>
      <c r="AC164" s="431">
        <f>+(P164/G164)</f>
        <v>1</v>
      </c>
      <c r="AD164" s="464">
        <v>1</v>
      </c>
      <c r="AE164" s="464">
        <f t="shared" si="133"/>
        <v>0</v>
      </c>
      <c r="AF164" s="478">
        <f>+AC164*E164</f>
        <v>0.1</v>
      </c>
      <c r="AG164" s="502">
        <f t="shared" si="135"/>
        <v>0.1</v>
      </c>
      <c r="AH164" s="503">
        <f t="shared" si="136"/>
        <v>0</v>
      </c>
      <c r="AI164" s="502">
        <f>+P164/F164</f>
        <v>0.25</v>
      </c>
      <c r="AJ164" s="503">
        <v>0.875</v>
      </c>
      <c r="AK164" s="503">
        <f t="shared" si="124"/>
        <v>0.875</v>
      </c>
      <c r="AL164" s="502">
        <f>+AI164*E164</f>
        <v>2.5000000000000001E-2</v>
      </c>
      <c r="AM164" s="503">
        <f>+AJ164*E164</f>
        <v>8.7500000000000008E-2</v>
      </c>
      <c r="AN164" s="1426">
        <f t="shared" si="125"/>
        <v>8.7500000000000008E-2</v>
      </c>
      <c r="AO164" s="179" t="s">
        <v>1850</v>
      </c>
      <c r="AP164" s="680" t="s">
        <v>1891</v>
      </c>
      <c r="AQ164" s="680" t="s">
        <v>2264</v>
      </c>
      <c r="AR164" s="680" t="s">
        <v>2286</v>
      </c>
      <c r="AS164" s="680" t="s">
        <v>2401</v>
      </c>
      <c r="AT164" s="680" t="s">
        <v>2434</v>
      </c>
      <c r="AU164" s="680" t="s">
        <v>2487</v>
      </c>
      <c r="AV164" s="680" t="s">
        <v>1893</v>
      </c>
    </row>
    <row r="165" spans="1:48" ht="180.6" customHeight="1" thickBot="1" x14ac:dyDescent="0.4">
      <c r="A165" s="264"/>
      <c r="B165" s="1430" t="s">
        <v>284</v>
      </c>
      <c r="C165" s="1430" t="s">
        <v>285</v>
      </c>
      <c r="D165" s="402" t="s">
        <v>58</v>
      </c>
      <c r="E165" s="310">
        <v>0.1</v>
      </c>
      <c r="F165" s="428">
        <v>8</v>
      </c>
      <c r="G165" s="429">
        <v>2</v>
      </c>
      <c r="H165" s="430">
        <v>2</v>
      </c>
      <c r="I165" s="430">
        <v>2</v>
      </c>
      <c r="J165" s="431">
        <f>+G165/F165</f>
        <v>0.25</v>
      </c>
      <c r="K165" s="447">
        <f t="shared" si="117"/>
        <v>0.25</v>
      </c>
      <c r="L165" s="448">
        <f t="shared" si="118"/>
        <v>0.25</v>
      </c>
      <c r="M165" s="434">
        <f>+(G165/F165)*E165</f>
        <v>2.5000000000000001E-2</v>
      </c>
      <c r="N165" s="434">
        <f t="shared" si="120"/>
        <v>2.5000000000000001E-2</v>
      </c>
      <c r="O165" s="434"/>
      <c r="P165" s="429">
        <v>2</v>
      </c>
      <c r="Q165" s="484">
        <v>0</v>
      </c>
      <c r="R165" s="484">
        <v>1</v>
      </c>
      <c r="S165" s="484">
        <v>0</v>
      </c>
      <c r="T165" s="484">
        <v>0</v>
      </c>
      <c r="U165" s="484">
        <v>1</v>
      </c>
      <c r="V165" s="430">
        <f>+Q165+R165+S165+T165+U165</f>
        <v>2</v>
      </c>
      <c r="W165" s="430">
        <f>+V165+P165+AB165</f>
        <v>5</v>
      </c>
      <c r="X165" s="484">
        <v>1</v>
      </c>
      <c r="Y165" s="430"/>
      <c r="Z165" s="430"/>
      <c r="AA165" s="430"/>
      <c r="AB165" s="430">
        <f>+X165+Y165+Z165+AA165</f>
        <v>1</v>
      </c>
      <c r="AC165" s="431">
        <f>+(P165/G165)</f>
        <v>1</v>
      </c>
      <c r="AD165" s="464">
        <f t="shared" si="145"/>
        <v>1</v>
      </c>
      <c r="AE165" s="464">
        <f t="shared" si="133"/>
        <v>0.5</v>
      </c>
      <c r="AF165" s="478">
        <f>+AC165*E165</f>
        <v>0.1</v>
      </c>
      <c r="AG165" s="502">
        <f t="shared" si="135"/>
        <v>0.1</v>
      </c>
      <c r="AH165" s="504">
        <f t="shared" si="136"/>
        <v>0.05</v>
      </c>
      <c r="AI165" s="502">
        <f>+P165/F165</f>
        <v>0.25</v>
      </c>
      <c r="AJ165" s="503">
        <v>0.5</v>
      </c>
      <c r="AK165" s="503">
        <f t="shared" si="124"/>
        <v>0.625</v>
      </c>
      <c r="AL165" s="502">
        <f>+AI165*E165</f>
        <v>2.5000000000000001E-2</v>
      </c>
      <c r="AM165" s="503">
        <f>+AJ165*E165</f>
        <v>0.05</v>
      </c>
      <c r="AN165" s="1426">
        <f t="shared" si="125"/>
        <v>6.25E-2</v>
      </c>
      <c r="AO165" s="179" t="s">
        <v>1850</v>
      </c>
      <c r="AP165" s="680" t="s">
        <v>1891</v>
      </c>
      <c r="AQ165" s="680" t="s">
        <v>2264</v>
      </c>
      <c r="AR165" s="680" t="s">
        <v>2286</v>
      </c>
      <c r="AS165" s="680" t="s">
        <v>2401</v>
      </c>
      <c r="AT165" s="680" t="s">
        <v>2434</v>
      </c>
      <c r="AU165" s="680" t="s">
        <v>2487</v>
      </c>
      <c r="AV165" s="680" t="s">
        <v>1893</v>
      </c>
    </row>
    <row r="166" spans="1:48" ht="144.6" customHeight="1" thickBot="1" x14ac:dyDescent="0.45">
      <c r="A166" s="264"/>
      <c r="B166" s="1535" t="s">
        <v>1617</v>
      </c>
      <c r="C166" s="1534"/>
      <c r="D166" s="401"/>
      <c r="E166" s="424">
        <v>0.05</v>
      </c>
      <c r="F166" s="428"/>
      <c r="G166" s="427"/>
      <c r="H166" s="433"/>
      <c r="I166" s="433"/>
      <c r="J166" s="426"/>
      <c r="K166" s="446">
        <f>+AVERAGE(K167:K170)</f>
        <v>0.625</v>
      </c>
      <c r="L166" s="498">
        <f>+AVERAGE(L167:L170)</f>
        <v>0.35</v>
      </c>
      <c r="M166" s="426">
        <f>+M167+M168+M169+M170</f>
        <v>0</v>
      </c>
      <c r="N166" s="426">
        <f>+N167+N168+N169+N170</f>
        <v>0.625</v>
      </c>
      <c r="O166" s="426"/>
      <c r="P166" s="427"/>
      <c r="Q166" s="433"/>
      <c r="R166" s="433"/>
      <c r="S166" s="433"/>
      <c r="T166" s="433"/>
      <c r="U166" s="981"/>
      <c r="V166" s="433"/>
      <c r="W166" s="433"/>
      <c r="X166" s="430"/>
      <c r="Y166" s="430"/>
      <c r="Z166" s="430"/>
      <c r="AA166" s="430"/>
      <c r="AB166" s="430"/>
      <c r="AC166" s="486"/>
      <c r="AD166" s="486">
        <f>+AVERAGE(AD167:AD170)</f>
        <v>0.81500000000000006</v>
      </c>
      <c r="AE166" s="486">
        <f>+AVERAGE(AE167:AE170)</f>
        <v>0.125</v>
      </c>
      <c r="AF166" s="486"/>
      <c r="AG166" s="505">
        <f>+(AG167+AG168+AG169+AG170)*E166</f>
        <v>4.0599999999999997E-2</v>
      </c>
      <c r="AH166" s="1033">
        <f>+(AH167+AH168+AH169+AH170)*E166</f>
        <v>5.000000000000001E-3</v>
      </c>
      <c r="AI166" s="446"/>
      <c r="AJ166" s="498">
        <v>0.44000000000000006</v>
      </c>
      <c r="AK166" s="498">
        <f>+AVERAGE(AK167:AK170)</f>
        <v>0.50250000000000006</v>
      </c>
      <c r="AL166" s="446">
        <f>+(AL167+AL168+AL169+AL170)*E166</f>
        <v>0</v>
      </c>
      <c r="AM166" s="498">
        <f>+(AM167+AM168+AM169+AM170)</f>
        <v>0.437</v>
      </c>
      <c r="AN166" s="498">
        <f>+(AN167+AN168+AN169+AN170)</f>
        <v>0.48699999999999999</v>
      </c>
      <c r="AO166" s="172"/>
      <c r="AP166" s="690" t="s">
        <v>1982</v>
      </c>
      <c r="AQ166" s="690" t="s">
        <v>2266</v>
      </c>
      <c r="AR166" s="400"/>
      <c r="AS166" s="400"/>
      <c r="AT166" s="400"/>
      <c r="AU166" s="196"/>
      <c r="AV166" s="196"/>
    </row>
    <row r="167" spans="1:48" ht="93.6" customHeight="1" thickBot="1" x14ac:dyDescent="0.4">
      <c r="A167" s="264"/>
      <c r="B167" s="1430" t="s">
        <v>286</v>
      </c>
      <c r="C167" s="1430" t="s">
        <v>287</v>
      </c>
      <c r="D167" s="402" t="s">
        <v>58</v>
      </c>
      <c r="E167" s="310">
        <v>0.3</v>
      </c>
      <c r="F167" s="428">
        <v>4</v>
      </c>
      <c r="G167" s="429">
        <v>0</v>
      </c>
      <c r="H167" s="430">
        <v>1</v>
      </c>
      <c r="I167" s="430">
        <v>2</v>
      </c>
      <c r="J167" s="431"/>
      <c r="K167" s="447">
        <f t="shared" si="117"/>
        <v>0.25</v>
      </c>
      <c r="L167" s="448">
        <f t="shared" si="118"/>
        <v>0.5</v>
      </c>
      <c r="M167" s="434">
        <f>+(G167/F167)*E167</f>
        <v>0</v>
      </c>
      <c r="N167" s="434">
        <f t="shared" si="120"/>
        <v>7.4999999999999997E-2</v>
      </c>
      <c r="O167" s="434"/>
      <c r="P167" s="429"/>
      <c r="Q167" s="484">
        <v>0</v>
      </c>
      <c r="R167" s="484">
        <v>0</v>
      </c>
      <c r="S167" s="484">
        <v>0</v>
      </c>
      <c r="T167" s="484">
        <v>1</v>
      </c>
      <c r="U167" s="484">
        <v>0</v>
      </c>
      <c r="V167" s="430">
        <f>+Q167+R167+S167+T167+U167</f>
        <v>1</v>
      </c>
      <c r="W167" s="430">
        <f>+V167+P167+AB167</f>
        <v>1</v>
      </c>
      <c r="X167" s="484">
        <v>0</v>
      </c>
      <c r="Y167" s="430"/>
      <c r="Z167" s="430"/>
      <c r="AA167" s="430"/>
      <c r="AB167" s="430">
        <f t="shared" si="121"/>
        <v>0</v>
      </c>
      <c r="AC167" s="431"/>
      <c r="AD167" s="464">
        <f t="shared" si="145"/>
        <v>1</v>
      </c>
      <c r="AE167" s="464">
        <f t="shared" si="133"/>
        <v>0</v>
      </c>
      <c r="AF167" s="478"/>
      <c r="AG167" s="502">
        <f t="shared" si="135"/>
        <v>0.3</v>
      </c>
      <c r="AH167" s="509">
        <f t="shared" si="136"/>
        <v>0</v>
      </c>
      <c r="AI167" s="502"/>
      <c r="AJ167" s="503">
        <v>0.25</v>
      </c>
      <c r="AK167" s="503">
        <f t="shared" si="124"/>
        <v>0.25</v>
      </c>
      <c r="AL167" s="447"/>
      <c r="AM167" s="503">
        <f t="shared" ref="AM167:AM169" si="148">+AJ167*E167</f>
        <v>7.4999999999999997E-2</v>
      </c>
      <c r="AN167" s="1426">
        <f t="shared" si="125"/>
        <v>7.4999999999999997E-2</v>
      </c>
      <c r="AO167" s="179" t="s">
        <v>1850</v>
      </c>
      <c r="AP167" s="683" t="s">
        <v>1892</v>
      </c>
      <c r="AQ167" s="680" t="s">
        <v>2264</v>
      </c>
      <c r="AR167" s="680" t="s">
        <v>2286</v>
      </c>
      <c r="AS167" s="680" t="s">
        <v>2401</v>
      </c>
      <c r="AT167" s="680" t="s">
        <v>2434</v>
      </c>
      <c r="AU167" s="680" t="s">
        <v>2487</v>
      </c>
      <c r="AV167" s="680" t="s">
        <v>1893</v>
      </c>
    </row>
    <row r="168" spans="1:48" ht="131.4" customHeight="1" thickBot="1" x14ac:dyDescent="0.4">
      <c r="A168" s="264"/>
      <c r="B168" s="1430" t="s">
        <v>288</v>
      </c>
      <c r="C168" s="1430" t="s">
        <v>289</v>
      </c>
      <c r="D168" s="402" t="s">
        <v>58</v>
      </c>
      <c r="E168" s="310">
        <v>0.3</v>
      </c>
      <c r="F168" s="428">
        <v>1</v>
      </c>
      <c r="G168" s="429">
        <v>0</v>
      </c>
      <c r="H168" s="430">
        <v>1</v>
      </c>
      <c r="I168" s="430">
        <v>0.2</v>
      </c>
      <c r="J168" s="431"/>
      <c r="K168" s="447">
        <f t="shared" si="117"/>
        <v>1</v>
      </c>
      <c r="L168" s="448">
        <f t="shared" si="118"/>
        <v>0.2</v>
      </c>
      <c r="M168" s="434">
        <f>+(G168/F168)*E168</f>
        <v>0</v>
      </c>
      <c r="N168" s="434">
        <f t="shared" si="120"/>
        <v>0.3</v>
      </c>
      <c r="O168" s="434"/>
      <c r="P168" s="429"/>
      <c r="Q168" s="484">
        <v>0</v>
      </c>
      <c r="R168" s="484">
        <v>0.2</v>
      </c>
      <c r="S168" s="484">
        <v>0.2</v>
      </c>
      <c r="T168" s="484">
        <v>0.2</v>
      </c>
      <c r="U168" s="484">
        <v>0</v>
      </c>
      <c r="V168" s="430">
        <f t="shared" ref="V168:V170" si="149">+Q168+R168+S168+T168+U168</f>
        <v>0.60000000000000009</v>
      </c>
      <c r="W168" s="430">
        <f t="shared" ref="W168:W169" si="150">+V168+P168+AB168</f>
        <v>0.60000000000000009</v>
      </c>
      <c r="X168" s="484">
        <v>0</v>
      </c>
      <c r="Y168" s="430"/>
      <c r="Z168" s="430"/>
      <c r="AA168" s="430"/>
      <c r="AB168" s="430">
        <f t="shared" si="121"/>
        <v>0</v>
      </c>
      <c r="AC168" s="431"/>
      <c r="AD168" s="464">
        <f>+V168/H168</f>
        <v>0.60000000000000009</v>
      </c>
      <c r="AE168" s="464">
        <f t="shared" si="133"/>
        <v>0</v>
      </c>
      <c r="AF168" s="478"/>
      <c r="AG168" s="502">
        <f t="shared" si="135"/>
        <v>0.18000000000000002</v>
      </c>
      <c r="AH168" s="503">
        <f t="shared" si="136"/>
        <v>0</v>
      </c>
      <c r="AI168" s="502"/>
      <c r="AJ168" s="503">
        <v>0.60000000000000009</v>
      </c>
      <c r="AK168" s="503">
        <f t="shared" si="124"/>
        <v>0.60000000000000009</v>
      </c>
      <c r="AL168" s="447"/>
      <c r="AM168" s="503">
        <f t="shared" si="148"/>
        <v>0.18000000000000002</v>
      </c>
      <c r="AN168" s="1426">
        <f t="shared" si="125"/>
        <v>0.18000000000000002</v>
      </c>
      <c r="AO168" s="179" t="s">
        <v>1850</v>
      </c>
      <c r="AP168" s="683" t="s">
        <v>1892</v>
      </c>
      <c r="AQ168" s="680" t="s">
        <v>2264</v>
      </c>
      <c r="AR168" s="680" t="s">
        <v>2286</v>
      </c>
      <c r="AS168" s="680" t="s">
        <v>2401</v>
      </c>
      <c r="AT168" s="680" t="s">
        <v>2434</v>
      </c>
      <c r="AU168" s="680" t="s">
        <v>2487</v>
      </c>
      <c r="AV168" s="680" t="s">
        <v>1893</v>
      </c>
    </row>
    <row r="169" spans="1:48" ht="131.4" customHeight="1" thickBot="1" x14ac:dyDescent="0.4">
      <c r="A169" s="264"/>
      <c r="B169" s="1430" t="s">
        <v>290</v>
      </c>
      <c r="C169" s="1430" t="s">
        <v>291</v>
      </c>
      <c r="D169" s="402" t="s">
        <v>58</v>
      </c>
      <c r="E169" s="310">
        <v>0.2</v>
      </c>
      <c r="F169" s="428">
        <v>4</v>
      </c>
      <c r="G169" s="429">
        <v>0</v>
      </c>
      <c r="H169" s="430">
        <v>1</v>
      </c>
      <c r="I169" s="430">
        <v>2</v>
      </c>
      <c r="J169" s="431"/>
      <c r="K169" s="447">
        <f t="shared" si="117"/>
        <v>0.25</v>
      </c>
      <c r="L169" s="448">
        <f>+I169/F169</f>
        <v>0.5</v>
      </c>
      <c r="M169" s="434">
        <f t="shared" ref="M169:M170" si="151">+(G169/F169)*E169</f>
        <v>0</v>
      </c>
      <c r="N169" s="434">
        <f t="shared" si="120"/>
        <v>0.05</v>
      </c>
      <c r="O169" s="434"/>
      <c r="P169" s="429"/>
      <c r="Q169" s="484">
        <v>0</v>
      </c>
      <c r="R169" s="484">
        <v>1</v>
      </c>
      <c r="S169" s="484">
        <v>0</v>
      </c>
      <c r="T169" s="484">
        <v>0</v>
      </c>
      <c r="U169" s="484">
        <v>0</v>
      </c>
      <c r="V169" s="430">
        <f t="shared" si="149"/>
        <v>1</v>
      </c>
      <c r="W169" s="430">
        <f t="shared" si="150"/>
        <v>2</v>
      </c>
      <c r="X169" s="484">
        <v>1</v>
      </c>
      <c r="Y169" s="430"/>
      <c r="Z169" s="430"/>
      <c r="AA169" s="430"/>
      <c r="AB169" s="430">
        <f t="shared" si="121"/>
        <v>1</v>
      </c>
      <c r="AC169" s="431"/>
      <c r="AD169" s="464">
        <v>1</v>
      </c>
      <c r="AE169" s="464">
        <f t="shared" si="133"/>
        <v>0.5</v>
      </c>
      <c r="AF169" s="478"/>
      <c r="AG169" s="502">
        <f t="shared" si="135"/>
        <v>0.2</v>
      </c>
      <c r="AH169" s="503">
        <f t="shared" si="136"/>
        <v>0.1</v>
      </c>
      <c r="AI169" s="502"/>
      <c r="AJ169" s="503">
        <v>0.25</v>
      </c>
      <c r="AK169" s="503">
        <f t="shared" si="124"/>
        <v>0.5</v>
      </c>
      <c r="AL169" s="447"/>
      <c r="AM169" s="503">
        <f t="shared" si="148"/>
        <v>0.05</v>
      </c>
      <c r="AN169" s="1426">
        <f t="shared" si="125"/>
        <v>0.1</v>
      </c>
      <c r="AO169" s="179" t="s">
        <v>1850</v>
      </c>
      <c r="AP169" s="683" t="s">
        <v>1892</v>
      </c>
      <c r="AQ169" s="680" t="s">
        <v>2264</v>
      </c>
      <c r="AR169" s="680" t="s">
        <v>2286</v>
      </c>
      <c r="AS169" s="680" t="s">
        <v>2401</v>
      </c>
      <c r="AT169" s="680" t="s">
        <v>2434</v>
      </c>
      <c r="AU169" s="680" t="s">
        <v>2487</v>
      </c>
      <c r="AV169" s="680" t="s">
        <v>1893</v>
      </c>
    </row>
    <row r="170" spans="1:48" ht="131.4" customHeight="1" thickBot="1" x14ac:dyDescent="0.4">
      <c r="A170" s="264"/>
      <c r="B170" s="1430" t="s">
        <v>292</v>
      </c>
      <c r="C170" s="1430" t="s">
        <v>293</v>
      </c>
      <c r="D170" s="402" t="s">
        <v>58</v>
      </c>
      <c r="E170" s="310">
        <v>0.2</v>
      </c>
      <c r="F170" s="428">
        <v>1</v>
      </c>
      <c r="G170" s="429">
        <v>0</v>
      </c>
      <c r="H170" s="430">
        <v>1</v>
      </c>
      <c r="I170" s="430">
        <v>0.2</v>
      </c>
      <c r="J170" s="431"/>
      <c r="K170" s="447">
        <f t="shared" si="117"/>
        <v>1</v>
      </c>
      <c r="L170" s="448">
        <f>+I170/F170</f>
        <v>0.2</v>
      </c>
      <c r="M170" s="434">
        <f t="shared" si="151"/>
        <v>0</v>
      </c>
      <c r="N170" s="434">
        <f t="shared" si="120"/>
        <v>0.2</v>
      </c>
      <c r="O170" s="434"/>
      <c r="P170" s="429"/>
      <c r="Q170" s="484">
        <v>0</v>
      </c>
      <c r="R170" s="484">
        <v>0</v>
      </c>
      <c r="S170" s="484">
        <v>0</v>
      </c>
      <c r="T170" s="484">
        <v>0.66</v>
      </c>
      <c r="U170" s="484">
        <v>0</v>
      </c>
      <c r="V170" s="430">
        <f t="shared" si="149"/>
        <v>0.66</v>
      </c>
      <c r="W170" s="430">
        <f>+V170+P170+AB170</f>
        <v>0.66</v>
      </c>
      <c r="X170" s="484">
        <v>0</v>
      </c>
      <c r="Y170" s="430"/>
      <c r="Z170" s="430"/>
      <c r="AA170" s="430"/>
      <c r="AB170" s="430">
        <f t="shared" si="121"/>
        <v>0</v>
      </c>
      <c r="AC170" s="431"/>
      <c r="AD170" s="464">
        <f t="shared" si="145"/>
        <v>0.66</v>
      </c>
      <c r="AE170" s="464">
        <f t="shared" si="133"/>
        <v>0</v>
      </c>
      <c r="AF170" s="478"/>
      <c r="AG170" s="502">
        <f t="shared" si="135"/>
        <v>0.13200000000000001</v>
      </c>
      <c r="AH170" s="504">
        <f t="shared" si="136"/>
        <v>0</v>
      </c>
      <c r="AI170" s="502"/>
      <c r="AJ170" s="504">
        <v>0.66</v>
      </c>
      <c r="AK170" s="504">
        <f t="shared" si="124"/>
        <v>0.66</v>
      </c>
      <c r="AL170" s="447"/>
      <c r="AM170" s="503">
        <f>+AJ170*E170</f>
        <v>0.13200000000000001</v>
      </c>
      <c r="AN170" s="1426">
        <f t="shared" si="125"/>
        <v>0.13200000000000001</v>
      </c>
      <c r="AO170" s="179" t="s">
        <v>1850</v>
      </c>
      <c r="AP170" s="683" t="s">
        <v>1892</v>
      </c>
      <c r="AQ170" s="680" t="s">
        <v>2264</v>
      </c>
      <c r="AR170" s="680" t="s">
        <v>2286</v>
      </c>
      <c r="AS170" s="680" t="s">
        <v>2401</v>
      </c>
      <c r="AT170" s="680" t="s">
        <v>2434</v>
      </c>
      <c r="AU170" s="680" t="s">
        <v>2487</v>
      </c>
      <c r="AV170" s="680" t="s">
        <v>1893</v>
      </c>
    </row>
    <row r="171" spans="1:48" ht="133.80000000000001" customHeight="1" thickBot="1" x14ac:dyDescent="0.45">
      <c r="A171" s="264"/>
      <c r="B171" s="1536" t="s">
        <v>294</v>
      </c>
      <c r="C171" s="1534"/>
      <c r="D171" s="399"/>
      <c r="E171" s="436">
        <v>0.15</v>
      </c>
      <c r="F171" s="436">
        <f>+E171*AF171</f>
        <v>9.5333068181818179E-2</v>
      </c>
      <c r="G171" s="427"/>
      <c r="H171" s="436">
        <f>E171*AG171</f>
        <v>0.10209248106060607</v>
      </c>
      <c r="I171" s="436">
        <f>+E171*AH171</f>
        <v>2.5635285651594886E-2</v>
      </c>
      <c r="J171" s="421">
        <f>+(J172+J175+J179+J184+J186+J192+J195+J199+J203+J206+J209)/11</f>
        <v>0.15789568518161531</v>
      </c>
      <c r="K171" s="501">
        <f>+(K172+K175+K179+K184+K186+K192+K195+K199+K203+K206+K209)/10</f>
        <v>0.34922096249585222</v>
      </c>
      <c r="L171" s="497">
        <f>+(L172+L175+L179+L184+L186+L192+L195+L199+L203+L206+L209)/11</f>
        <v>0.32787574114686546</v>
      </c>
      <c r="M171" s="422">
        <f>+(M172+M175+M179+M184+M186+M192+M195+M199+M203+M206+M209)/11</f>
        <v>0.13500023925638274</v>
      </c>
      <c r="N171" s="422">
        <f>+(N172+N175+N179+N184+N186+N192+N195+N199+N203+N206+N209)/11</f>
        <v>0.29944978534279126</v>
      </c>
      <c r="O171" s="422"/>
      <c r="P171" s="427"/>
      <c r="Q171" s="433"/>
      <c r="R171" s="433"/>
      <c r="S171" s="433"/>
      <c r="T171" s="433"/>
      <c r="U171" s="981"/>
      <c r="V171" s="433"/>
      <c r="W171" s="433"/>
      <c r="X171" s="430"/>
      <c r="Y171" s="430"/>
      <c r="Z171" s="430"/>
      <c r="AA171" s="430"/>
      <c r="AB171" s="430"/>
      <c r="AC171" s="421">
        <f>+(AC172+AC175+AC179+AC184+AC186+AC192+AC195+AC199+AC203+AC206+AC209)/11</f>
        <v>0.7831160468319559</v>
      </c>
      <c r="AD171" s="421">
        <f>+(AD172+AD175+AD179+AD184+AD186+AD192+AD195+AD199+AD203+AD206+AD209)/11</f>
        <v>0.78967245971620981</v>
      </c>
      <c r="AE171" s="421">
        <f>+(AE172+AE175+AE179+AE184+AE186+AE192+AE195+AE199+AE203+AE206+AE209)/11</f>
        <v>0.17870705917192112</v>
      </c>
      <c r="AF171" s="422">
        <f>+AF172+AF175+AF179+AF184+AF186+AF192+AF195+AF199+AF203+AF206+AF209</f>
        <v>0.63555378787878791</v>
      </c>
      <c r="AG171" s="496">
        <f>+AG172+AG175+AG179+AG184+AG186+AG192+AG195+AG199+AG203+AG206+AG209</f>
        <v>0.68061654040404052</v>
      </c>
      <c r="AH171" s="1065">
        <f>+AH172+AH175+AH179+AH184+AH186+AH192+AH195+AH199+AH203+AH206+AH209</f>
        <v>0.1709019043439659</v>
      </c>
      <c r="AI171" s="501">
        <f>+(AI172+AI175+AI179+AI184+AI186+AI192+AI195+AI199+AI203+AI206+AI209)/11</f>
        <v>0.17228948927894114</v>
      </c>
      <c r="AJ171" s="512">
        <v>0.46829141731287866</v>
      </c>
      <c r="AK171" s="512">
        <f>+(AK172+AK175+AK179+AK184+AK186+AK192+AK195+AK199+AK203+AK206+AK209)/11</f>
        <v>0.50341569509571538</v>
      </c>
      <c r="AL171" s="496">
        <f>+AL172+AL175+AL179+AL184+AL186+AL192+AL195+AL199+AL203+AL206+AL209</f>
        <v>0.14750248083618644</v>
      </c>
      <c r="AM171" s="600">
        <f>+(AM172*E172)+(AM175*E175)+(AM179*E179)+(AM184*E184)+(AM186*E186)+(AM192*E192)+(AM195*E195)+(AM199*E199)+(AM203*E203)+(AM206*E206)+(AM209*E209)</f>
        <v>0.46847685808282769</v>
      </c>
      <c r="AN171" s="600">
        <f>+(AN172*E172)+(AN175*E175)+(AN179*E179)+(AN184*E184)+(AN186*E186)+(AN192*E192)+(AN195*E195)+(AN199*E199)+(AN203*E203)+(AN206*E206)+(AN209*E209)</f>
        <v>0.50644210731584249</v>
      </c>
      <c r="AO171" s="164"/>
      <c r="AP171" s="643" t="s">
        <v>1966</v>
      </c>
      <c r="AQ171" s="400"/>
      <c r="AR171" s="400"/>
      <c r="AS171" s="400"/>
      <c r="AT171" s="400"/>
      <c r="AU171" s="196"/>
      <c r="AV171" s="196"/>
    </row>
    <row r="172" spans="1:48" ht="57" customHeight="1" thickBot="1" x14ac:dyDescent="0.45">
      <c r="A172" s="264"/>
      <c r="B172" s="1535" t="s">
        <v>1618</v>
      </c>
      <c r="C172" s="1534"/>
      <c r="D172" s="401"/>
      <c r="E172" s="424">
        <v>0.05</v>
      </c>
      <c r="F172" s="428"/>
      <c r="G172" s="427"/>
      <c r="H172" s="433"/>
      <c r="I172" s="433"/>
      <c r="J172" s="426">
        <f>+AVERAGE(J173:J174)</f>
        <v>0.125</v>
      </c>
      <c r="K172" s="446">
        <f>+AVERAGE(K173:K174)</f>
        <v>0.33096590909090906</v>
      </c>
      <c r="L172" s="498">
        <f>+AVERAGE(L173:L174)</f>
        <v>0.33096590909090906</v>
      </c>
      <c r="M172" s="426">
        <f>+M173+M174</f>
        <v>8.7499999999999994E-2</v>
      </c>
      <c r="N172" s="426">
        <f>+N173+N174</f>
        <v>0.33607954545454544</v>
      </c>
      <c r="O172" s="426"/>
      <c r="P172" s="427"/>
      <c r="Q172" s="433"/>
      <c r="R172" s="433"/>
      <c r="S172" s="433"/>
      <c r="T172" s="433"/>
      <c r="U172" s="981"/>
      <c r="V172" s="433"/>
      <c r="W172" s="433"/>
      <c r="X172" s="430"/>
      <c r="Y172" s="430"/>
      <c r="Z172" s="430"/>
      <c r="AA172" s="430"/>
      <c r="AB172" s="430"/>
      <c r="AC172" s="486">
        <f>+AVERAGE(AC173:AC174)</f>
        <v>1</v>
      </c>
      <c r="AD172" s="486">
        <f>+AVERAGE(AD173:AD174)</f>
        <v>0.78054545454545454</v>
      </c>
      <c r="AE172" s="486">
        <f>+AVERAGE(AE173:AE174)</f>
        <v>5.0714285714285712E-2</v>
      </c>
      <c r="AF172" s="486">
        <f>+(AF173+AF174)*E172</f>
        <v>3.4999999999999996E-2</v>
      </c>
      <c r="AG172" s="505">
        <f>+(AG173+AG174)*E172</f>
        <v>3.4638181818181811E-2</v>
      </c>
      <c r="AH172" s="1029">
        <f>+(AH173+AH174)*E172</f>
        <v>1.5214285714285714E-3</v>
      </c>
      <c r="AI172" s="446">
        <f>+AVERAGE(AI173:AI174)</f>
        <v>0.161</v>
      </c>
      <c r="AJ172" s="506">
        <v>0.34830113636363635</v>
      </c>
      <c r="AK172" s="506">
        <f>+AVERAGE(AK173:AK174)</f>
        <v>0.36443749999999997</v>
      </c>
      <c r="AL172" s="446">
        <f>+(AL173+AL174)*E172</f>
        <v>5.6350000000000003E-3</v>
      </c>
      <c r="AM172" s="498">
        <f>+(AM173+AM174)</f>
        <v>0.35053068181818181</v>
      </c>
      <c r="AN172" s="498">
        <f>+(AN173+AN174)</f>
        <v>0.36021249999999994</v>
      </c>
      <c r="AO172" s="172"/>
      <c r="AP172" s="400"/>
      <c r="AQ172" s="400"/>
      <c r="AR172" s="400"/>
      <c r="AS172" s="400"/>
      <c r="AT172" s="400"/>
      <c r="AU172" s="196"/>
      <c r="AV172" s="196"/>
    </row>
    <row r="173" spans="1:48" ht="103.2" customHeight="1" thickBot="1" x14ac:dyDescent="0.4">
      <c r="A173" s="264"/>
      <c r="B173" s="1430" t="s">
        <v>295</v>
      </c>
      <c r="C173" s="1430" t="s">
        <v>296</v>
      </c>
      <c r="D173" s="402" t="s">
        <v>297</v>
      </c>
      <c r="E173" s="310">
        <v>0.7</v>
      </c>
      <c r="F173" s="428">
        <v>16000</v>
      </c>
      <c r="G173" s="429">
        <v>2000</v>
      </c>
      <c r="H173" s="430">
        <v>5500</v>
      </c>
      <c r="I173" s="430">
        <v>5500</v>
      </c>
      <c r="J173" s="431">
        <f>+G173/F173</f>
        <v>0.125</v>
      </c>
      <c r="K173" s="447">
        <f t="shared" ref="K173:K177" si="152">+H173/F173</f>
        <v>0.34375</v>
      </c>
      <c r="L173" s="448">
        <f>+I173/F173</f>
        <v>0.34375</v>
      </c>
      <c r="M173" s="434">
        <f>+(G173/F173)*E173</f>
        <v>8.7499999999999994E-2</v>
      </c>
      <c r="N173" s="434">
        <f t="shared" ref="N173:N193" si="153">+(H173/F173)*E173</f>
        <v>0.24062499999999998</v>
      </c>
      <c r="O173" s="434"/>
      <c r="P173" s="429">
        <v>2576</v>
      </c>
      <c r="Q173" s="484">
        <v>939</v>
      </c>
      <c r="R173" s="484">
        <v>807</v>
      </c>
      <c r="S173" s="484">
        <v>868</v>
      </c>
      <c r="T173" s="484">
        <v>200</v>
      </c>
      <c r="U173" s="485">
        <v>272</v>
      </c>
      <c r="V173" s="430">
        <f>+Q173+R173+S173+T173+U173</f>
        <v>3086</v>
      </c>
      <c r="W173" s="430">
        <f>+V173+P173+AB173</f>
        <v>5662</v>
      </c>
      <c r="X173" s="484">
        <v>0</v>
      </c>
      <c r="Y173" s="430"/>
      <c r="Z173" s="430"/>
      <c r="AA173" s="430"/>
      <c r="AB173" s="430">
        <f t="shared" si="121"/>
        <v>0</v>
      </c>
      <c r="AC173" s="478">
        <v>1</v>
      </c>
      <c r="AD173" s="464">
        <f t="shared" ref="AD173:AD211" si="154">+V173/H173</f>
        <v>0.56109090909090908</v>
      </c>
      <c r="AE173" s="464">
        <f>+AB173/I173</f>
        <v>0</v>
      </c>
      <c r="AF173" s="478">
        <f>+AC173*E173</f>
        <v>0.7</v>
      </c>
      <c r="AG173" s="502">
        <f t="shared" ref="AG173" si="155">+AD173*E173</f>
        <v>0.39276363636363631</v>
      </c>
      <c r="AH173" s="1004">
        <f t="shared" ref="AH173:AH183" si="156">+AE173*E173</f>
        <v>0</v>
      </c>
      <c r="AI173" s="502">
        <f>+P173/F173</f>
        <v>0.161</v>
      </c>
      <c r="AJ173" s="509">
        <v>0.353875</v>
      </c>
      <c r="AK173" s="1426">
        <f t="shared" ref="AK173:AK191" si="157">+W173/F173</f>
        <v>0.353875</v>
      </c>
      <c r="AL173" s="502">
        <f>+AI173*E173</f>
        <v>0.11269999999999999</v>
      </c>
      <c r="AM173" s="503">
        <f>+AJ173*E173</f>
        <v>0.24771249999999997</v>
      </c>
      <c r="AN173" s="449">
        <f t="shared" ref="AN173:AN211" si="158">+AK173*E173</f>
        <v>0.24771249999999997</v>
      </c>
      <c r="AO173" s="179" t="s">
        <v>1850</v>
      </c>
      <c r="AP173" s="642" t="s">
        <v>1892</v>
      </c>
      <c r="AQ173" s="642" t="s">
        <v>2264</v>
      </c>
      <c r="AR173" s="642" t="s">
        <v>2286</v>
      </c>
      <c r="AS173" s="680" t="s">
        <v>2401</v>
      </c>
      <c r="AT173" s="680" t="s">
        <v>2434</v>
      </c>
      <c r="AU173" s="680" t="s">
        <v>2487</v>
      </c>
      <c r="AV173" s="680" t="s">
        <v>1893</v>
      </c>
    </row>
    <row r="174" spans="1:48" ht="97.2" customHeight="1" thickBot="1" x14ac:dyDescent="0.4">
      <c r="A174" s="264"/>
      <c r="B174" s="1430" t="s">
        <v>298</v>
      </c>
      <c r="C174" s="1430" t="s">
        <v>299</v>
      </c>
      <c r="D174" s="402" t="s">
        <v>297</v>
      </c>
      <c r="E174" s="310">
        <v>0.3</v>
      </c>
      <c r="F174" s="428">
        <v>2200</v>
      </c>
      <c r="G174" s="429">
        <v>0</v>
      </c>
      <c r="H174" s="430">
        <v>700</v>
      </c>
      <c r="I174" s="439">
        <v>700</v>
      </c>
      <c r="J174" s="431"/>
      <c r="K174" s="447">
        <f t="shared" si="152"/>
        <v>0.31818181818181818</v>
      </c>
      <c r="L174" s="448">
        <f t="shared" ref="L174" si="159">+I174/F174</f>
        <v>0.31818181818181818</v>
      </c>
      <c r="M174" s="434"/>
      <c r="N174" s="434">
        <f t="shared" si="153"/>
        <v>9.5454545454545445E-2</v>
      </c>
      <c r="O174" s="434"/>
      <c r="P174" s="429"/>
      <c r="Q174" s="484">
        <v>9</v>
      </c>
      <c r="R174" s="484">
        <v>221</v>
      </c>
      <c r="S174" s="484">
        <v>330</v>
      </c>
      <c r="T174" s="484">
        <v>45</v>
      </c>
      <c r="U174" s="485">
        <v>149</v>
      </c>
      <c r="V174" s="430">
        <f>+Q174+R174+S174+T174+U174</f>
        <v>754</v>
      </c>
      <c r="W174" s="430">
        <f>+V174+P174+AB174</f>
        <v>825</v>
      </c>
      <c r="X174" s="484">
        <v>71</v>
      </c>
      <c r="Y174" s="430"/>
      <c r="Z174" s="430"/>
      <c r="AA174" s="430"/>
      <c r="AB174" s="430">
        <f t="shared" si="121"/>
        <v>71</v>
      </c>
      <c r="AC174" s="478"/>
      <c r="AD174" s="464">
        <v>1</v>
      </c>
      <c r="AE174" s="464">
        <f t="shared" ref="AE174:AE211" si="160">+AB174/I174</f>
        <v>0.10142857142857142</v>
      </c>
      <c r="AF174" s="478"/>
      <c r="AG174" s="502">
        <f>+AD174*E174</f>
        <v>0.3</v>
      </c>
      <c r="AH174" s="936">
        <f t="shared" si="156"/>
        <v>3.0428571428571426E-2</v>
      </c>
      <c r="AI174" s="502"/>
      <c r="AJ174" s="936">
        <v>0.34272727272727271</v>
      </c>
      <c r="AK174" s="936">
        <f t="shared" si="157"/>
        <v>0.375</v>
      </c>
      <c r="AL174" s="502"/>
      <c r="AM174" s="503">
        <f>+AJ174*E174</f>
        <v>0.10281818181818181</v>
      </c>
      <c r="AN174" s="449">
        <f t="shared" si="158"/>
        <v>0.11249999999999999</v>
      </c>
      <c r="AO174" s="179" t="s">
        <v>1850</v>
      </c>
      <c r="AP174" s="643" t="s">
        <v>1936</v>
      </c>
      <c r="AQ174" s="642" t="s">
        <v>2264</v>
      </c>
      <c r="AR174" s="642" t="s">
        <v>2286</v>
      </c>
      <c r="AS174" s="680" t="s">
        <v>2401</v>
      </c>
      <c r="AT174" s="680" t="s">
        <v>2434</v>
      </c>
      <c r="AU174" s="680" t="s">
        <v>2487</v>
      </c>
      <c r="AV174" s="680" t="s">
        <v>1893</v>
      </c>
    </row>
    <row r="175" spans="1:48" ht="87" customHeight="1" thickBot="1" x14ac:dyDescent="0.45">
      <c r="A175" s="264"/>
      <c r="B175" s="1535" t="s">
        <v>1619</v>
      </c>
      <c r="C175" s="1534"/>
      <c r="D175" s="401"/>
      <c r="E175" s="424">
        <v>0.1</v>
      </c>
      <c r="F175" s="428"/>
      <c r="G175" s="429"/>
      <c r="H175" s="444"/>
      <c r="I175" s="489"/>
      <c r="J175" s="426">
        <f>+AVERAGE(J176:J178)</f>
        <v>0.30833333333333335</v>
      </c>
      <c r="K175" s="446">
        <f>+AVERAGE(K176:K178)</f>
        <v>0.48893333333333339</v>
      </c>
      <c r="L175" s="498">
        <f>+AVERAGE(L176:L178)</f>
        <v>0.25829999999999997</v>
      </c>
      <c r="M175" s="426">
        <f>+M176+M177+M178</f>
        <v>0.20500000000000002</v>
      </c>
      <c r="N175" s="426">
        <f>+N176+N177+N178</f>
        <v>0.46671999999999997</v>
      </c>
      <c r="O175" s="426"/>
      <c r="P175" s="427"/>
      <c r="Q175" s="433"/>
      <c r="R175" s="433"/>
      <c r="S175" s="433"/>
      <c r="T175" s="433"/>
      <c r="U175" s="981"/>
      <c r="V175" s="433"/>
      <c r="W175" s="433"/>
      <c r="X175" s="430"/>
      <c r="Y175" s="430"/>
      <c r="Z175" s="430"/>
      <c r="AA175" s="430"/>
      <c r="AB175" s="430"/>
      <c r="AC175" s="486">
        <f>+AVERAGE(AC176:AC178)</f>
        <v>1</v>
      </c>
      <c r="AD175" s="486">
        <f>+AVERAGE(AD176:AD178)</f>
        <v>1</v>
      </c>
      <c r="AE175" s="486">
        <f>+AVERAGE(AE176:AE178)</f>
        <v>0.33614128532133036</v>
      </c>
      <c r="AF175" s="486">
        <f>+(AF176+AF177+AF178)*E175</f>
        <v>6.9999999999999993E-2</v>
      </c>
      <c r="AG175" s="505">
        <f>+(AG176+AG177+AG178)*E175</f>
        <v>0.1</v>
      </c>
      <c r="AH175" s="1033">
        <f>+(AH176+AH177+AH178)*E175</f>
        <v>2.4804636159039762E-2</v>
      </c>
      <c r="AI175" s="446">
        <f>+AVERAGE(AI176:AI178)</f>
        <v>0.383075</v>
      </c>
      <c r="AJ175" s="506">
        <v>0.76648888888888889</v>
      </c>
      <c r="AK175" s="506">
        <f>+AVERAGE(AK176:AK178)</f>
        <v>0.82507777777777769</v>
      </c>
      <c r="AL175" s="446">
        <f>+(AL176+AL177+AL178)*E175</f>
        <v>2.6718500000000003E-2</v>
      </c>
      <c r="AM175" s="498">
        <f>+(AM176+AM177+AM178)</f>
        <v>0.75401999999999991</v>
      </c>
      <c r="AN175" s="498">
        <f>+(AN176+AN177+AN178)</f>
        <v>0.81911</v>
      </c>
      <c r="AO175" s="172"/>
      <c r="AP175" s="400"/>
      <c r="AQ175" s="400"/>
      <c r="AR175" s="400"/>
      <c r="AS175" s="400"/>
      <c r="AT175" s="400"/>
      <c r="AU175" s="196"/>
      <c r="AV175" s="196"/>
    </row>
    <row r="176" spans="1:48" ht="135" customHeight="1" thickBot="1" x14ac:dyDescent="0.4">
      <c r="A176" s="264"/>
      <c r="B176" s="1430" t="s">
        <v>300</v>
      </c>
      <c r="C176" s="1430" t="s">
        <v>301</v>
      </c>
      <c r="D176" s="402" t="s">
        <v>297</v>
      </c>
      <c r="E176" s="310">
        <v>0.4</v>
      </c>
      <c r="F176" s="428">
        <v>5000</v>
      </c>
      <c r="G176" s="440">
        <v>1000</v>
      </c>
      <c r="H176" s="1158">
        <v>1334</v>
      </c>
      <c r="I176" s="489">
        <v>1333</v>
      </c>
      <c r="J176" s="431">
        <f>+G176/F176</f>
        <v>0.2</v>
      </c>
      <c r="K176" s="447">
        <f>+H176/F176</f>
        <v>0.26679999999999998</v>
      </c>
      <c r="L176" s="448">
        <f t="shared" ref="L176:L177" si="161">+I176/F176</f>
        <v>0.2666</v>
      </c>
      <c r="M176" s="434">
        <f>+(G176/F176)*E176</f>
        <v>8.0000000000000016E-2</v>
      </c>
      <c r="N176" s="434">
        <f t="shared" si="153"/>
        <v>0.10672</v>
      </c>
      <c r="O176" s="434"/>
      <c r="P176" s="429">
        <v>1867</v>
      </c>
      <c r="Q176" s="484">
        <v>618</v>
      </c>
      <c r="R176" s="484">
        <v>356</v>
      </c>
      <c r="S176" s="484">
        <v>49</v>
      </c>
      <c r="T176" s="484">
        <v>319</v>
      </c>
      <c r="U176" s="484">
        <v>0</v>
      </c>
      <c r="V176" s="430">
        <f>+Q176+R176+S176+T176+U176</f>
        <v>1342</v>
      </c>
      <c r="W176" s="430">
        <f>+V176+P176+AB176</f>
        <v>3827</v>
      </c>
      <c r="X176" s="484">
        <v>618</v>
      </c>
      <c r="Y176" s="430"/>
      <c r="Z176" s="430"/>
      <c r="AA176" s="430"/>
      <c r="AB176" s="430">
        <f t="shared" si="121"/>
        <v>618</v>
      </c>
      <c r="AC176" s="478">
        <v>1</v>
      </c>
      <c r="AD176" s="464">
        <v>1</v>
      </c>
      <c r="AE176" s="464">
        <f t="shared" si="160"/>
        <v>0.463615903975994</v>
      </c>
      <c r="AF176" s="478">
        <f>+AC176*E176</f>
        <v>0.4</v>
      </c>
      <c r="AG176" s="502">
        <f t="shared" ref="AG176:AG208" si="162">+AD176*E176</f>
        <v>0.4</v>
      </c>
      <c r="AH176" s="509">
        <f t="shared" si="156"/>
        <v>0.18544636159039762</v>
      </c>
      <c r="AI176" s="502">
        <f>+P176/F176</f>
        <v>0.37340000000000001</v>
      </c>
      <c r="AJ176" s="509">
        <v>0.64180000000000004</v>
      </c>
      <c r="AK176" s="509">
        <f t="shared" si="157"/>
        <v>0.76539999999999997</v>
      </c>
      <c r="AL176" s="502">
        <f>+AI176*E176</f>
        <v>0.14936000000000002</v>
      </c>
      <c r="AM176" s="503">
        <f>+AJ176*E176</f>
        <v>0.25672</v>
      </c>
      <c r="AN176" s="1426">
        <f t="shared" si="158"/>
        <v>0.30615999999999999</v>
      </c>
      <c r="AO176" s="179" t="s">
        <v>1850</v>
      </c>
      <c r="AP176" s="642" t="s">
        <v>1892</v>
      </c>
      <c r="AQ176" s="642" t="s">
        <v>2264</v>
      </c>
      <c r="AR176" s="642" t="s">
        <v>2286</v>
      </c>
      <c r="AS176" s="680" t="s">
        <v>2401</v>
      </c>
      <c r="AT176" s="602" t="s">
        <v>2461</v>
      </c>
      <c r="AU176" s="680" t="s">
        <v>2487</v>
      </c>
      <c r="AV176" s="680" t="s">
        <v>1893</v>
      </c>
    </row>
    <row r="177" spans="1:48" ht="135" customHeight="1" thickBot="1" x14ac:dyDescent="0.4">
      <c r="A177" s="264"/>
      <c r="B177" s="1430" t="s">
        <v>302</v>
      </c>
      <c r="C177" s="1430" t="s">
        <v>303</v>
      </c>
      <c r="D177" s="402" t="s">
        <v>297</v>
      </c>
      <c r="E177" s="310">
        <v>0.3</v>
      </c>
      <c r="F177" s="428">
        <v>12000</v>
      </c>
      <c r="G177" s="440">
        <v>5000</v>
      </c>
      <c r="H177" s="1158">
        <v>2400</v>
      </c>
      <c r="I177" s="489">
        <v>3000</v>
      </c>
      <c r="J177" s="431">
        <f>+G177/F177</f>
        <v>0.41666666666666669</v>
      </c>
      <c r="K177" s="447">
        <f t="shared" si="152"/>
        <v>0.2</v>
      </c>
      <c r="L177" s="448">
        <f t="shared" si="161"/>
        <v>0.25</v>
      </c>
      <c r="M177" s="434">
        <f>+(G177/F177)*E177</f>
        <v>0.125</v>
      </c>
      <c r="N177" s="434">
        <f t="shared" si="153"/>
        <v>0.06</v>
      </c>
      <c r="O177" s="434"/>
      <c r="P177" s="429">
        <v>4713</v>
      </c>
      <c r="Q177" s="484">
        <v>626</v>
      </c>
      <c r="R177" s="484">
        <v>1377</v>
      </c>
      <c r="S177" s="484">
        <v>732</v>
      </c>
      <c r="T177" s="484">
        <v>0</v>
      </c>
      <c r="U177" s="484">
        <v>444</v>
      </c>
      <c r="V177" s="430">
        <f t="shared" ref="V177:V178" si="163">+Q177+R177+S177+T177+U177</f>
        <v>3179</v>
      </c>
      <c r="W177" s="430">
        <f t="shared" ref="W177" si="164">+V177+P177+AB177</f>
        <v>8518</v>
      </c>
      <c r="X177" s="484">
        <v>626</v>
      </c>
      <c r="Y177" s="430"/>
      <c r="Z177" s="430"/>
      <c r="AA177" s="430"/>
      <c r="AB177" s="430">
        <f t="shared" si="121"/>
        <v>626</v>
      </c>
      <c r="AC177" s="478">
        <v>1</v>
      </c>
      <c r="AD177" s="464">
        <v>1</v>
      </c>
      <c r="AE177" s="464">
        <f t="shared" si="160"/>
        <v>0.20866666666666667</v>
      </c>
      <c r="AF177" s="478">
        <f>+AC177*E177</f>
        <v>0.3</v>
      </c>
      <c r="AG177" s="502">
        <f t="shared" si="162"/>
        <v>0.3</v>
      </c>
      <c r="AH177" s="503">
        <f t="shared" si="156"/>
        <v>6.2600000000000003E-2</v>
      </c>
      <c r="AI177" s="502">
        <f>+P177/F177</f>
        <v>0.39274999999999999</v>
      </c>
      <c r="AJ177" s="503">
        <v>0.65766666666666662</v>
      </c>
      <c r="AK177" s="503">
        <f t="shared" si="157"/>
        <v>0.70983333333333332</v>
      </c>
      <c r="AL177" s="502">
        <f>+AI177*E177</f>
        <v>0.11782499999999999</v>
      </c>
      <c r="AM177" s="503">
        <f>+AJ177*E177</f>
        <v>0.19729999999999998</v>
      </c>
      <c r="AN177" s="1426">
        <f t="shared" si="158"/>
        <v>0.21295</v>
      </c>
      <c r="AO177" s="179" t="s">
        <v>1850</v>
      </c>
      <c r="AP177" s="642" t="s">
        <v>1892</v>
      </c>
      <c r="AQ177" s="642" t="s">
        <v>2264</v>
      </c>
      <c r="AR177" s="642" t="s">
        <v>2286</v>
      </c>
      <c r="AS177" s="680" t="s">
        <v>2401</v>
      </c>
      <c r="AT177" s="680" t="s">
        <v>2434</v>
      </c>
      <c r="AU177" s="680" t="s">
        <v>2487</v>
      </c>
      <c r="AV177" s="680" t="s">
        <v>1893</v>
      </c>
    </row>
    <row r="178" spans="1:48" ht="135" customHeight="1" thickBot="1" x14ac:dyDescent="0.4">
      <c r="A178" s="264"/>
      <c r="B178" s="1430" t="s">
        <v>304</v>
      </c>
      <c r="C178" s="1430" t="s">
        <v>305</v>
      </c>
      <c r="D178" s="402" t="s">
        <v>297</v>
      </c>
      <c r="E178" s="310">
        <v>0.3</v>
      </c>
      <c r="F178" s="428">
        <v>1</v>
      </c>
      <c r="G178" s="440">
        <v>0</v>
      </c>
      <c r="H178" s="1159">
        <v>1</v>
      </c>
      <c r="I178" s="1160"/>
      <c r="J178" s="431"/>
      <c r="K178" s="447">
        <f>+H178/F178</f>
        <v>1</v>
      </c>
      <c r="L178" s="448"/>
      <c r="M178" s="434"/>
      <c r="N178" s="434">
        <f t="shared" si="153"/>
        <v>0.3</v>
      </c>
      <c r="O178" s="434"/>
      <c r="P178" s="429"/>
      <c r="Q178" s="484">
        <v>0</v>
      </c>
      <c r="R178" s="484">
        <v>1</v>
      </c>
      <c r="S178" s="484">
        <v>0</v>
      </c>
      <c r="T178" s="484">
        <v>0</v>
      </c>
      <c r="U178" s="484">
        <v>0</v>
      </c>
      <c r="V178" s="430">
        <f t="shared" si="163"/>
        <v>1</v>
      </c>
      <c r="W178" s="430">
        <f>+V178+P178+AB178</f>
        <v>1</v>
      </c>
      <c r="X178" s="484">
        <v>0</v>
      </c>
      <c r="Y178" s="430"/>
      <c r="Z178" s="430"/>
      <c r="AA178" s="430"/>
      <c r="AB178" s="430">
        <f t="shared" si="121"/>
        <v>0</v>
      </c>
      <c r="AC178" s="478"/>
      <c r="AD178" s="464">
        <f t="shared" si="154"/>
        <v>1</v>
      </c>
      <c r="AE178" s="464"/>
      <c r="AF178" s="478"/>
      <c r="AG178" s="502">
        <f t="shared" si="162"/>
        <v>0.3</v>
      </c>
      <c r="AH178" s="504"/>
      <c r="AI178" s="502"/>
      <c r="AJ178" s="503">
        <v>1</v>
      </c>
      <c r="AK178" s="504">
        <f t="shared" si="157"/>
        <v>1</v>
      </c>
      <c r="AL178" s="502"/>
      <c r="AM178" s="503">
        <f>+AJ178*E178</f>
        <v>0.3</v>
      </c>
      <c r="AN178" s="1426">
        <f t="shared" si="158"/>
        <v>0.3</v>
      </c>
      <c r="AO178" s="179" t="s">
        <v>1850</v>
      </c>
      <c r="AP178" s="643" t="s">
        <v>1936</v>
      </c>
      <c r="AQ178" s="642" t="s">
        <v>2264</v>
      </c>
      <c r="AR178" s="642" t="s">
        <v>2286</v>
      </c>
      <c r="AS178" s="680" t="s">
        <v>2401</v>
      </c>
      <c r="AT178" s="680" t="s">
        <v>2434</v>
      </c>
      <c r="AU178" s="680" t="s">
        <v>2487</v>
      </c>
      <c r="AV178" s="680" t="s">
        <v>1893</v>
      </c>
    </row>
    <row r="179" spans="1:48" ht="135" customHeight="1" thickBot="1" x14ac:dyDescent="0.45">
      <c r="A179" s="264"/>
      <c r="B179" s="1535" t="s">
        <v>1620</v>
      </c>
      <c r="C179" s="1534"/>
      <c r="D179" s="401"/>
      <c r="E179" s="424">
        <v>0.1</v>
      </c>
      <c r="F179" s="428"/>
      <c r="G179" s="429"/>
      <c r="H179" s="1014"/>
      <c r="I179" s="489"/>
      <c r="J179" s="426">
        <f>+AVERAGE(J180:J183)</f>
        <v>0.1752103260310604</v>
      </c>
      <c r="K179" s="446">
        <f>+AVERAGE(K180:K183)</f>
        <v>0.31178031471767975</v>
      </c>
      <c r="L179" s="498">
        <f>+AVERAGE(L180:L183)</f>
        <v>0.37729867324899724</v>
      </c>
      <c r="M179" s="426">
        <f>+M180+M181+M182+M183</f>
        <v>0.17445397511056257</v>
      </c>
      <c r="N179" s="426">
        <f>+N180+N181+N182+N183</f>
        <v>0.31513853748842946</v>
      </c>
      <c r="O179" s="426"/>
      <c r="P179" s="429"/>
      <c r="Q179" s="430"/>
      <c r="R179" s="430"/>
      <c r="S179" s="430"/>
      <c r="T179" s="430"/>
      <c r="U179" s="485"/>
      <c r="V179" s="430"/>
      <c r="W179" s="430"/>
      <c r="X179" s="430"/>
      <c r="Y179" s="430"/>
      <c r="Z179" s="430"/>
      <c r="AA179" s="430"/>
      <c r="AB179" s="430"/>
      <c r="AC179" s="486">
        <f>+AVERAGE(AC180:AC183)</f>
        <v>0.62594318181818176</v>
      </c>
      <c r="AD179" s="486">
        <f>+AVERAGE(AD180:AD183)</f>
        <v>0.94106875000000001</v>
      </c>
      <c r="AE179" s="486">
        <f>+AVERAGE(AE180:AE183)</f>
        <v>0.30189780163599178</v>
      </c>
      <c r="AF179" s="486">
        <f>+(AF180+AF181+AF182+AF183)*E179</f>
        <v>6.9720454545454544E-2</v>
      </c>
      <c r="AG179" s="505">
        <f>+(AG180+AG181+AG182+AG183)*E179</f>
        <v>9.4669500000000018E-2</v>
      </c>
      <c r="AH179" s="1033">
        <f>+(AH180+AH181+AH182+AH183)*E179</f>
        <v>3.1763824130879352E-2</v>
      </c>
      <c r="AI179" s="446">
        <f>+AVERAGE(AI180:AI183)</f>
        <v>0.1083654494497583</v>
      </c>
      <c r="AJ179" s="506">
        <v>0.41810057338270079</v>
      </c>
      <c r="AK179" s="506">
        <f>+AVERAGE(AK180:AK183)</f>
        <v>0.53296018049984573</v>
      </c>
      <c r="AL179" s="446">
        <f>+(AL180+AL181+AL182+AL183)*E179</f>
        <v>1.2047093098837808E-2</v>
      </c>
      <c r="AM179" s="498">
        <f>+(AM180+AM181+AM182+AM183)</f>
        <v>0.4377733158490178</v>
      </c>
      <c r="AN179" s="498">
        <f>+(AN180+AN181+AN182+AN183)</f>
        <v>0.55898957297130514</v>
      </c>
      <c r="AO179" s="172"/>
      <c r="AP179" s="400"/>
      <c r="AQ179" s="400"/>
      <c r="AR179" s="400"/>
      <c r="AS179" s="400"/>
      <c r="AT179" s="400"/>
      <c r="AU179" s="196"/>
      <c r="AV179" s="196"/>
    </row>
    <row r="180" spans="1:48" ht="135" customHeight="1" thickBot="1" x14ac:dyDescent="0.4">
      <c r="A180" s="264"/>
      <c r="B180" s="1430" t="s">
        <v>306</v>
      </c>
      <c r="C180" s="1430" t="s">
        <v>307</v>
      </c>
      <c r="D180" s="402" t="s">
        <v>297</v>
      </c>
      <c r="E180" s="310">
        <v>0.2</v>
      </c>
      <c r="F180" s="428">
        <v>5556</v>
      </c>
      <c r="G180" s="429">
        <v>1100</v>
      </c>
      <c r="H180" s="430">
        <v>1500</v>
      </c>
      <c r="I180" s="468">
        <v>1956</v>
      </c>
      <c r="J180" s="431">
        <f>+G180/F180</f>
        <v>0.19798416126709864</v>
      </c>
      <c r="K180" s="447">
        <f t="shared" ref="K180:K193" si="165">+H180/F180</f>
        <v>0.26997840172786175</v>
      </c>
      <c r="L180" s="448">
        <f t="shared" ref="L180:L183" si="166">+I180/F180</f>
        <v>0.35205183585313177</v>
      </c>
      <c r="M180" s="434">
        <f>+(G180/F180)*E180</f>
        <v>3.9596832253419728E-2</v>
      </c>
      <c r="N180" s="434">
        <f t="shared" si="153"/>
        <v>5.3995680345572353E-2</v>
      </c>
      <c r="O180" s="434"/>
      <c r="P180" s="429">
        <v>272</v>
      </c>
      <c r="Q180" s="484">
        <v>402</v>
      </c>
      <c r="R180" s="484">
        <v>91</v>
      </c>
      <c r="S180" s="484">
        <v>0</v>
      </c>
      <c r="T180" s="484">
        <v>81</v>
      </c>
      <c r="U180" s="484">
        <v>979</v>
      </c>
      <c r="V180" s="430">
        <f>+Q180+R180+S180+T180+U180</f>
        <v>1553</v>
      </c>
      <c r="W180" s="430">
        <f>+V180+P180+AB180</f>
        <v>2331</v>
      </c>
      <c r="X180" s="484">
        <v>506</v>
      </c>
      <c r="Y180" s="430"/>
      <c r="Z180" s="430"/>
      <c r="AA180" s="430"/>
      <c r="AB180" s="430">
        <f t="shared" si="121"/>
        <v>506</v>
      </c>
      <c r="AC180" s="478">
        <f>+(P180/G180)</f>
        <v>0.24727272727272728</v>
      </c>
      <c r="AD180" s="464">
        <v>1</v>
      </c>
      <c r="AE180" s="464">
        <f t="shared" si="160"/>
        <v>0.25869120654396727</v>
      </c>
      <c r="AF180" s="478">
        <f>+AC180*E180</f>
        <v>4.9454545454545459E-2</v>
      </c>
      <c r="AG180" s="502">
        <f t="shared" si="162"/>
        <v>0.2</v>
      </c>
      <c r="AH180" s="509">
        <f t="shared" si="156"/>
        <v>5.1738241308793453E-2</v>
      </c>
      <c r="AI180" s="502">
        <f>+P180/F180</f>
        <v>4.8956083513318933E-2</v>
      </c>
      <c r="AJ180" s="509">
        <v>0.3284737221022318</v>
      </c>
      <c r="AK180" s="509">
        <f t="shared" si="157"/>
        <v>0.41954643628509719</v>
      </c>
      <c r="AL180" s="502">
        <f>+AI180*E180</f>
        <v>9.7912167026637867E-3</v>
      </c>
      <c r="AM180" s="503">
        <f>+AJ180*E180</f>
        <v>6.5694744420446358E-2</v>
      </c>
      <c r="AN180" s="1426">
        <f>+AK180*E180</f>
        <v>8.3909287257019446E-2</v>
      </c>
      <c r="AO180" s="179" t="s">
        <v>1850</v>
      </c>
      <c r="AP180" s="642" t="s">
        <v>1892</v>
      </c>
      <c r="AQ180" s="642" t="s">
        <v>2264</v>
      </c>
      <c r="AR180" s="642" t="s">
        <v>2286</v>
      </c>
      <c r="AS180" s="680" t="s">
        <v>2401</v>
      </c>
      <c r="AT180" s="602" t="s">
        <v>2461</v>
      </c>
      <c r="AU180" s="680" t="s">
        <v>2487</v>
      </c>
      <c r="AV180" s="680" t="s">
        <v>1893</v>
      </c>
    </row>
    <row r="181" spans="1:48" ht="135" customHeight="1" thickBot="1" x14ac:dyDescent="0.4">
      <c r="A181" s="264"/>
      <c r="B181" s="1430" t="s">
        <v>308</v>
      </c>
      <c r="C181" s="1430" t="s">
        <v>309</v>
      </c>
      <c r="D181" s="402" t="s">
        <v>297</v>
      </c>
      <c r="E181" s="310">
        <v>0.3</v>
      </c>
      <c r="F181" s="428">
        <v>14000</v>
      </c>
      <c r="G181" s="429">
        <v>2000</v>
      </c>
      <c r="H181" s="430">
        <v>5000</v>
      </c>
      <c r="I181" s="430">
        <v>5000</v>
      </c>
      <c r="J181" s="431">
        <f>+G181/F181</f>
        <v>0.14285714285714285</v>
      </c>
      <c r="K181" s="447">
        <f t="shared" si="165"/>
        <v>0.35714285714285715</v>
      </c>
      <c r="L181" s="448">
        <f t="shared" si="166"/>
        <v>0.35714285714285715</v>
      </c>
      <c r="M181" s="434">
        <f>+(G181/F181)*E181</f>
        <v>4.2857142857142851E-2</v>
      </c>
      <c r="N181" s="434">
        <f t="shared" si="153"/>
        <v>0.10714285714285714</v>
      </c>
      <c r="O181" s="434"/>
      <c r="P181" s="429">
        <v>1929</v>
      </c>
      <c r="Q181" s="484">
        <v>145</v>
      </c>
      <c r="R181" s="484">
        <v>1059</v>
      </c>
      <c r="S181" s="484">
        <v>1665</v>
      </c>
      <c r="T181" s="484">
        <v>1763</v>
      </c>
      <c r="U181" s="484">
        <v>60</v>
      </c>
      <c r="V181" s="430">
        <f t="shared" ref="V181:V183" si="167">+Q181+R181+S181+T181+U181</f>
        <v>4692</v>
      </c>
      <c r="W181" s="430">
        <f t="shared" ref="W181:W182" si="168">+V181+P181+AB181</f>
        <v>7927</v>
      </c>
      <c r="X181" s="484">
        <v>1306</v>
      </c>
      <c r="Y181" s="430"/>
      <c r="Z181" s="430"/>
      <c r="AA181" s="430"/>
      <c r="AB181" s="430">
        <f t="shared" si="121"/>
        <v>1306</v>
      </c>
      <c r="AC181" s="478">
        <f>+(P181/G181)</f>
        <v>0.96450000000000002</v>
      </c>
      <c r="AD181" s="464">
        <f t="shared" si="154"/>
        <v>0.93840000000000001</v>
      </c>
      <c r="AE181" s="464">
        <f t="shared" si="160"/>
        <v>0.26119999999999999</v>
      </c>
      <c r="AF181" s="478">
        <f>+AC181*E181</f>
        <v>0.28935</v>
      </c>
      <c r="AG181" s="502">
        <f t="shared" si="162"/>
        <v>0.28151999999999999</v>
      </c>
      <c r="AH181" s="503">
        <f t="shared" si="156"/>
        <v>7.8359999999999999E-2</v>
      </c>
      <c r="AI181" s="502">
        <f>+P181/F181</f>
        <v>0.13778571428571429</v>
      </c>
      <c r="AJ181" s="503">
        <v>0.47292857142857142</v>
      </c>
      <c r="AK181" s="503">
        <f t="shared" si="157"/>
        <v>0.56621428571428567</v>
      </c>
      <c r="AL181" s="502">
        <f>+AI181*E181</f>
        <v>4.1335714285714288E-2</v>
      </c>
      <c r="AM181" s="503">
        <f>+AJ181*E181</f>
        <v>0.14187857142857141</v>
      </c>
      <c r="AN181" s="1426">
        <f t="shared" si="158"/>
        <v>0.16986428571428569</v>
      </c>
      <c r="AO181" s="179" t="s">
        <v>1850</v>
      </c>
      <c r="AP181" s="642" t="s">
        <v>1892</v>
      </c>
      <c r="AQ181" s="642" t="s">
        <v>2264</v>
      </c>
      <c r="AR181" s="642" t="s">
        <v>2286</v>
      </c>
      <c r="AS181" s="680" t="s">
        <v>2401</v>
      </c>
      <c r="AT181" s="602" t="s">
        <v>2461</v>
      </c>
      <c r="AU181" s="680" t="s">
        <v>2487</v>
      </c>
      <c r="AV181" s="680" t="s">
        <v>1893</v>
      </c>
    </row>
    <row r="182" spans="1:48" ht="135" customHeight="1" thickBot="1" x14ac:dyDescent="0.4">
      <c r="A182" s="264"/>
      <c r="B182" s="1430" t="s">
        <v>310</v>
      </c>
      <c r="C182" s="1430" t="s">
        <v>311</v>
      </c>
      <c r="D182" s="402" t="s">
        <v>297</v>
      </c>
      <c r="E182" s="310">
        <v>0.2</v>
      </c>
      <c r="F182" s="428">
        <v>25000</v>
      </c>
      <c r="G182" s="429">
        <v>4000</v>
      </c>
      <c r="H182" s="430">
        <v>8000</v>
      </c>
      <c r="I182" s="430">
        <v>10000</v>
      </c>
      <c r="J182" s="431">
        <f>+G182/F182</f>
        <v>0.16</v>
      </c>
      <c r="K182" s="447">
        <f t="shared" si="165"/>
        <v>0.32</v>
      </c>
      <c r="L182" s="448">
        <f t="shared" si="166"/>
        <v>0.4</v>
      </c>
      <c r="M182" s="434">
        <f>+(G182/F182)*E182</f>
        <v>3.2000000000000001E-2</v>
      </c>
      <c r="N182" s="434">
        <f t="shared" si="153"/>
        <v>6.4000000000000001E-2</v>
      </c>
      <c r="O182" s="434"/>
      <c r="P182" s="429">
        <v>1168</v>
      </c>
      <c r="Q182" s="484">
        <v>401</v>
      </c>
      <c r="R182" s="484">
        <v>875</v>
      </c>
      <c r="S182" s="484">
        <v>2166</v>
      </c>
      <c r="T182" s="484">
        <v>1141</v>
      </c>
      <c r="U182" s="484">
        <v>2024</v>
      </c>
      <c r="V182" s="430">
        <f t="shared" si="167"/>
        <v>6607</v>
      </c>
      <c r="W182" s="430">
        <f t="shared" si="168"/>
        <v>9652</v>
      </c>
      <c r="X182" s="484">
        <v>1877</v>
      </c>
      <c r="Y182" s="430"/>
      <c r="Z182" s="430"/>
      <c r="AA182" s="430"/>
      <c r="AB182" s="430">
        <f t="shared" si="121"/>
        <v>1877</v>
      </c>
      <c r="AC182" s="478">
        <f>+(P182/G182)</f>
        <v>0.29199999999999998</v>
      </c>
      <c r="AD182" s="464">
        <f t="shared" si="154"/>
        <v>0.82587500000000003</v>
      </c>
      <c r="AE182" s="464">
        <f t="shared" si="160"/>
        <v>0.18770000000000001</v>
      </c>
      <c r="AF182" s="478">
        <f>+AC182*E182</f>
        <v>5.8400000000000001E-2</v>
      </c>
      <c r="AG182" s="502">
        <f t="shared" si="162"/>
        <v>0.16517500000000002</v>
      </c>
      <c r="AH182" s="503">
        <f t="shared" si="156"/>
        <v>3.7540000000000004E-2</v>
      </c>
      <c r="AI182" s="502">
        <f>+P182/F182</f>
        <v>4.6719999999999998E-2</v>
      </c>
      <c r="AJ182" s="503">
        <v>0.311</v>
      </c>
      <c r="AK182" s="503">
        <f t="shared" si="157"/>
        <v>0.38607999999999998</v>
      </c>
      <c r="AL182" s="502">
        <f>+AI182*E182</f>
        <v>9.3439999999999999E-3</v>
      </c>
      <c r="AM182" s="503">
        <f>+AJ182*E182</f>
        <v>6.2200000000000005E-2</v>
      </c>
      <c r="AN182" s="1426">
        <f t="shared" si="158"/>
        <v>7.7216000000000007E-2</v>
      </c>
      <c r="AO182" s="179" t="s">
        <v>1850</v>
      </c>
      <c r="AP182" s="642" t="s">
        <v>1892</v>
      </c>
      <c r="AQ182" s="642" t="s">
        <v>2264</v>
      </c>
      <c r="AR182" s="642" t="s">
        <v>2286</v>
      </c>
      <c r="AS182" s="680" t="s">
        <v>2401</v>
      </c>
      <c r="AT182" s="602" t="s">
        <v>2461</v>
      </c>
      <c r="AU182" s="680" t="s">
        <v>2487</v>
      </c>
      <c r="AV182" s="680" t="s">
        <v>1893</v>
      </c>
    </row>
    <row r="183" spans="1:48" ht="135" customHeight="1" thickBot="1" x14ac:dyDescent="0.4">
      <c r="A183" s="264"/>
      <c r="B183" s="1430" t="s">
        <v>312</v>
      </c>
      <c r="C183" s="1430" t="s">
        <v>313</v>
      </c>
      <c r="D183" s="402" t="s">
        <v>297</v>
      </c>
      <c r="E183" s="310">
        <v>0.3</v>
      </c>
      <c r="F183" s="428">
        <v>50</v>
      </c>
      <c r="G183" s="429">
        <v>10</v>
      </c>
      <c r="H183" s="430">
        <v>15</v>
      </c>
      <c r="I183" s="430">
        <v>20</v>
      </c>
      <c r="J183" s="431">
        <f>+G183/F183</f>
        <v>0.2</v>
      </c>
      <c r="K183" s="447">
        <f t="shared" si="165"/>
        <v>0.3</v>
      </c>
      <c r="L183" s="448">
        <f t="shared" si="166"/>
        <v>0.4</v>
      </c>
      <c r="M183" s="434">
        <f>+(G183/F183)*E183</f>
        <v>0.06</v>
      </c>
      <c r="N183" s="434">
        <f t="shared" si="153"/>
        <v>0.09</v>
      </c>
      <c r="O183" s="434"/>
      <c r="P183" s="429">
        <v>10</v>
      </c>
      <c r="Q183" s="484">
        <v>0</v>
      </c>
      <c r="R183" s="484">
        <v>8</v>
      </c>
      <c r="S183" s="484">
        <v>10</v>
      </c>
      <c r="T183" s="484">
        <v>0</v>
      </c>
      <c r="U183" s="484">
        <v>0</v>
      </c>
      <c r="V183" s="430">
        <f t="shared" si="167"/>
        <v>18</v>
      </c>
      <c r="W183" s="430">
        <f>+V183+P183+AB183</f>
        <v>38</v>
      </c>
      <c r="X183" s="484">
        <v>10</v>
      </c>
      <c r="Y183" s="430"/>
      <c r="Z183" s="430"/>
      <c r="AA183" s="430"/>
      <c r="AB183" s="430">
        <f t="shared" si="121"/>
        <v>10</v>
      </c>
      <c r="AC183" s="478">
        <f>+(P183/G183)</f>
        <v>1</v>
      </c>
      <c r="AD183" s="464">
        <v>1</v>
      </c>
      <c r="AE183" s="464">
        <f t="shared" si="160"/>
        <v>0.5</v>
      </c>
      <c r="AF183" s="478">
        <f>+AC183*E183</f>
        <v>0.3</v>
      </c>
      <c r="AG183" s="782">
        <f t="shared" si="162"/>
        <v>0.3</v>
      </c>
      <c r="AH183" s="504">
        <f t="shared" si="156"/>
        <v>0.15</v>
      </c>
      <c r="AI183" s="502">
        <f>+P183/F183</f>
        <v>0.2</v>
      </c>
      <c r="AJ183" s="504">
        <v>0.56000000000000005</v>
      </c>
      <c r="AK183" s="504">
        <f t="shared" si="157"/>
        <v>0.76</v>
      </c>
      <c r="AL183" s="502">
        <f>+AI183*E183</f>
        <v>0.06</v>
      </c>
      <c r="AM183" s="503">
        <f>+AJ183*E183</f>
        <v>0.16800000000000001</v>
      </c>
      <c r="AN183" s="1426">
        <f t="shared" si="158"/>
        <v>0.22799999999999998</v>
      </c>
      <c r="AO183" s="179" t="s">
        <v>1850</v>
      </c>
      <c r="AP183" s="642" t="s">
        <v>1892</v>
      </c>
      <c r="AQ183" s="642" t="s">
        <v>2264</v>
      </c>
      <c r="AR183" s="642" t="s">
        <v>2286</v>
      </c>
      <c r="AS183" s="680" t="s">
        <v>2401</v>
      </c>
      <c r="AT183" s="602" t="s">
        <v>2461</v>
      </c>
      <c r="AU183" s="680" t="s">
        <v>2487</v>
      </c>
      <c r="AV183" s="680" t="s">
        <v>1893</v>
      </c>
    </row>
    <row r="184" spans="1:48" ht="135" customHeight="1" thickBot="1" x14ac:dyDescent="0.45">
      <c r="A184" s="264"/>
      <c r="B184" s="1535" t="s">
        <v>1621</v>
      </c>
      <c r="C184" s="1534"/>
      <c r="D184" s="401"/>
      <c r="E184" s="424">
        <v>0.1</v>
      </c>
      <c r="F184" s="428"/>
      <c r="G184" s="429"/>
      <c r="H184" s="430"/>
      <c r="I184" s="439"/>
      <c r="J184" s="426">
        <f>+AVERAGE(J185)</f>
        <v>4.2000000000000003E-2</v>
      </c>
      <c r="K184" s="446">
        <f>+AVERAGE(K185)</f>
        <v>0.33</v>
      </c>
      <c r="L184" s="498">
        <f>+AVERAGE(L185)</f>
        <v>0.33</v>
      </c>
      <c r="M184" s="426">
        <f>+M185</f>
        <v>4.2000000000000003E-2</v>
      </c>
      <c r="N184" s="426">
        <f>+N185</f>
        <v>0.33</v>
      </c>
      <c r="O184" s="426"/>
      <c r="P184" s="427"/>
      <c r="Q184" s="433"/>
      <c r="R184" s="433"/>
      <c r="S184" s="433"/>
      <c r="T184" s="433"/>
      <c r="U184" s="981"/>
      <c r="V184" s="433"/>
      <c r="W184" s="433"/>
      <c r="X184" s="430"/>
      <c r="Y184" s="430"/>
      <c r="Z184" s="430"/>
      <c r="AA184" s="430"/>
      <c r="AB184" s="430"/>
      <c r="AC184" s="486">
        <f>+AVERAGE(AC185)</f>
        <v>0</v>
      </c>
      <c r="AD184" s="486">
        <f>+AVERAGE(AD185)</f>
        <v>7.575757575757576E-2</v>
      </c>
      <c r="AE184" s="486">
        <f>+AVERAGE(AE185)</f>
        <v>0</v>
      </c>
      <c r="AF184" s="505">
        <f>+(AF185)*E184</f>
        <v>0</v>
      </c>
      <c r="AG184" s="1033">
        <f>+(AG185)*E184</f>
        <v>7.575757575757576E-3</v>
      </c>
      <c r="AH184" s="1033">
        <f>+(AH185)*E184</f>
        <v>0</v>
      </c>
      <c r="AI184" s="446">
        <f>+AVERAGE(AI185)</f>
        <v>0</v>
      </c>
      <c r="AJ184" s="506">
        <v>2.5000000000000001E-2</v>
      </c>
      <c r="AK184" s="506">
        <f>+AVERAGE(AK185)</f>
        <v>2.5000000000000001E-2</v>
      </c>
      <c r="AL184" s="446">
        <f>+(AL185)*E184</f>
        <v>0</v>
      </c>
      <c r="AM184" s="498">
        <f>+(AM185)</f>
        <v>2.5000000000000001E-2</v>
      </c>
      <c r="AN184" s="498">
        <f>+(AN185)</f>
        <v>2.5000000000000001E-2</v>
      </c>
      <c r="AO184" s="172"/>
      <c r="AP184" s="400"/>
      <c r="AQ184" s="400"/>
      <c r="AR184" s="400"/>
      <c r="AS184" s="400"/>
      <c r="AT184" s="400"/>
      <c r="AU184" s="196"/>
      <c r="AV184" s="196"/>
    </row>
    <row r="185" spans="1:48" ht="135" customHeight="1" thickBot="1" x14ac:dyDescent="0.4">
      <c r="A185" s="264"/>
      <c r="B185" s="1430" t="s">
        <v>314</v>
      </c>
      <c r="C185" s="1430" t="s">
        <v>315</v>
      </c>
      <c r="D185" s="402" t="s">
        <v>297</v>
      </c>
      <c r="E185" s="310">
        <v>1</v>
      </c>
      <c r="F185" s="428">
        <v>5000</v>
      </c>
      <c r="G185" s="429">
        <v>210</v>
      </c>
      <c r="H185" s="1161">
        <v>1650</v>
      </c>
      <c r="I185" s="1162">
        <v>1650</v>
      </c>
      <c r="J185" s="431">
        <f>+G185/F185</f>
        <v>4.2000000000000003E-2</v>
      </c>
      <c r="K185" s="447">
        <f t="shared" si="165"/>
        <v>0.33</v>
      </c>
      <c r="L185" s="448">
        <f>+I185/F185</f>
        <v>0.33</v>
      </c>
      <c r="M185" s="434">
        <f>+(G185/F185)*E185</f>
        <v>4.2000000000000003E-2</v>
      </c>
      <c r="N185" s="434">
        <f t="shared" si="153"/>
        <v>0.33</v>
      </c>
      <c r="O185" s="434"/>
      <c r="P185" s="429">
        <v>0</v>
      </c>
      <c r="Q185" s="484">
        <v>0</v>
      </c>
      <c r="R185" s="484">
        <v>92</v>
      </c>
      <c r="S185" s="484">
        <v>33</v>
      </c>
      <c r="T185" s="484">
        <v>0</v>
      </c>
      <c r="U185" s="484">
        <v>0</v>
      </c>
      <c r="V185" s="430">
        <f>+Q185+R185+S185+T185+U185</f>
        <v>125</v>
      </c>
      <c r="W185" s="430">
        <f>+V185+P185+AB185</f>
        <v>125</v>
      </c>
      <c r="X185" s="484">
        <v>0</v>
      </c>
      <c r="Y185" s="430"/>
      <c r="Z185" s="430"/>
      <c r="AA185" s="430"/>
      <c r="AB185" s="430">
        <f t="shared" si="121"/>
        <v>0</v>
      </c>
      <c r="AC185" s="478">
        <f>+(P185/G185)</f>
        <v>0</v>
      </c>
      <c r="AD185" s="464">
        <f t="shared" si="154"/>
        <v>7.575757575757576E-2</v>
      </c>
      <c r="AE185" s="464">
        <f t="shared" si="160"/>
        <v>0</v>
      </c>
      <c r="AF185" s="478">
        <f>+AC185*E185</f>
        <v>0</v>
      </c>
      <c r="AG185" s="855">
        <f t="shared" si="162"/>
        <v>7.575757575757576E-2</v>
      </c>
      <c r="AH185" s="936">
        <f>+AE185*E185</f>
        <v>0</v>
      </c>
      <c r="AI185" s="502">
        <f>+P185/F185</f>
        <v>0</v>
      </c>
      <c r="AJ185" s="936">
        <v>2.5000000000000001E-2</v>
      </c>
      <c r="AK185" s="936">
        <f t="shared" si="157"/>
        <v>2.5000000000000001E-2</v>
      </c>
      <c r="AL185" s="502">
        <f>+AI185*E185</f>
        <v>0</v>
      </c>
      <c r="AM185" s="503">
        <f>+AJ185*E185</f>
        <v>2.5000000000000001E-2</v>
      </c>
      <c r="AN185" s="1426">
        <f t="shared" si="158"/>
        <v>2.5000000000000001E-2</v>
      </c>
      <c r="AO185" s="179" t="s">
        <v>1850</v>
      </c>
      <c r="AP185" s="642" t="s">
        <v>1892</v>
      </c>
      <c r="AQ185" s="642" t="s">
        <v>2264</v>
      </c>
      <c r="AR185" s="642" t="s">
        <v>2286</v>
      </c>
      <c r="AS185" s="680" t="s">
        <v>2401</v>
      </c>
      <c r="AT185" s="602" t="s">
        <v>2461</v>
      </c>
      <c r="AU185" s="680" t="s">
        <v>2487</v>
      </c>
      <c r="AV185" s="680" t="s">
        <v>1893</v>
      </c>
    </row>
    <row r="186" spans="1:48" ht="135" customHeight="1" thickBot="1" x14ac:dyDescent="0.45">
      <c r="A186" s="264"/>
      <c r="B186" s="1535" t="s">
        <v>1622</v>
      </c>
      <c r="C186" s="1534"/>
      <c r="D186" s="401"/>
      <c r="E186" s="424">
        <v>0.1</v>
      </c>
      <c r="F186" s="428"/>
      <c r="G186" s="429"/>
      <c r="H186" s="430"/>
      <c r="I186" s="468"/>
      <c r="J186" s="426">
        <f>+AVERAGE(J187:J191)</f>
        <v>0.13873355263157894</v>
      </c>
      <c r="K186" s="446">
        <f>+AVERAGE(K187:K191)</f>
        <v>0.30382894736842103</v>
      </c>
      <c r="L186" s="498">
        <f>+AVERAGE(L187:L191)</f>
        <v>0.26398026315789475</v>
      </c>
      <c r="M186" s="426">
        <f>+M187+M188+M189+M190+M191</f>
        <v>0.11001315789473685</v>
      </c>
      <c r="N186" s="426">
        <f>+N187+N188+N189+N190+N191</f>
        <v>0.30417105263157895</v>
      </c>
      <c r="O186" s="426"/>
      <c r="P186" s="427"/>
      <c r="Q186" s="433"/>
      <c r="R186" s="433"/>
      <c r="S186" s="433"/>
      <c r="T186" s="433"/>
      <c r="U186" s="981"/>
      <c r="V186" s="433"/>
      <c r="W186" s="433"/>
      <c r="X186" s="430"/>
      <c r="Y186" s="430"/>
      <c r="Z186" s="430"/>
      <c r="AA186" s="430"/>
      <c r="AB186" s="430"/>
      <c r="AC186" s="486">
        <f>+AVERAGE(AC187:AC191)</f>
        <v>1</v>
      </c>
      <c r="AD186" s="486">
        <f>+AVERAGE(AD187:AD191)</f>
        <v>0.98120000000000007</v>
      </c>
      <c r="AE186" s="486">
        <f>+AVERAGE(AE187:AE191)</f>
        <v>8.4964285714285714E-2</v>
      </c>
      <c r="AF186" s="486">
        <f>+(AF187+AF188+AF189+AF190+AF191)*E186</f>
        <v>8.0000000000000016E-2</v>
      </c>
      <c r="AG186" s="505">
        <f>+(AG187+AG188+AG189+AG190+AG191)*E186</f>
        <v>9.8208000000000018E-2</v>
      </c>
      <c r="AH186" s="1033">
        <f>+(AH187+AH188+AH189+AH190+AH191)*E186</f>
        <v>6.5814285714285714E-3</v>
      </c>
      <c r="AI186" s="446">
        <f>+AVERAGE(AI187:AI191)</f>
        <v>0.18213075657894739</v>
      </c>
      <c r="AJ186" s="506">
        <v>0.58277039473684211</v>
      </c>
      <c r="AK186" s="506">
        <f>+AVERAGE(AK187:AK191)</f>
        <v>0.60002302631578952</v>
      </c>
      <c r="AL186" s="446">
        <f>+(AL187+AL188+AL189+AL190+AL191)*E186</f>
        <v>1.4271164473684213E-2</v>
      </c>
      <c r="AM186" s="498">
        <f>+(AM187+AM188+AM189+AM190+AM191)</f>
        <v>0.58047085526315789</v>
      </c>
      <c r="AN186" s="498">
        <f>+(AN187+AN188+AN189+AN190+AN191)</f>
        <v>0.59690822368421048</v>
      </c>
      <c r="AO186" s="172"/>
      <c r="AP186" s="400"/>
      <c r="AQ186" s="400"/>
      <c r="AR186" s="400"/>
      <c r="AS186" s="400"/>
      <c r="AT186" s="400"/>
      <c r="AU186" s="196"/>
      <c r="AV186" s="196"/>
    </row>
    <row r="187" spans="1:48" ht="135" customHeight="1" thickBot="1" x14ac:dyDescent="0.4">
      <c r="A187" s="264"/>
      <c r="B187" s="1430" t="s">
        <v>316</v>
      </c>
      <c r="C187" s="1430" t="s">
        <v>317</v>
      </c>
      <c r="D187" s="402" t="s">
        <v>297</v>
      </c>
      <c r="E187" s="310">
        <v>0.24</v>
      </c>
      <c r="F187" s="428">
        <v>8000</v>
      </c>
      <c r="G187" s="429">
        <v>350</v>
      </c>
      <c r="H187" s="429">
        <v>2550</v>
      </c>
      <c r="I187" s="430">
        <v>2000</v>
      </c>
      <c r="J187" s="431">
        <f>+G187/F187</f>
        <v>4.3749999999999997E-2</v>
      </c>
      <c r="K187" s="447">
        <f t="shared" si="165"/>
        <v>0.31874999999999998</v>
      </c>
      <c r="L187" s="448">
        <f t="shared" ref="L187:L191" si="169">+I187/F187</f>
        <v>0.25</v>
      </c>
      <c r="M187" s="434">
        <f>+(G187/F187)*E187</f>
        <v>1.0499999999999999E-2</v>
      </c>
      <c r="N187" s="434">
        <f t="shared" si="153"/>
        <v>7.6499999999999999E-2</v>
      </c>
      <c r="O187" s="434"/>
      <c r="P187" s="429">
        <v>477</v>
      </c>
      <c r="Q187" s="484">
        <v>32</v>
      </c>
      <c r="R187" s="484">
        <v>500</v>
      </c>
      <c r="S187" s="484">
        <v>1013</v>
      </c>
      <c r="T187" s="484">
        <v>137</v>
      </c>
      <c r="U187" s="484">
        <v>938</v>
      </c>
      <c r="V187" s="430">
        <f>+Q187+R187+S187+T187+U187</f>
        <v>2620</v>
      </c>
      <c r="W187" s="430">
        <f>+V187+P187+AB187</f>
        <v>3185</v>
      </c>
      <c r="X187" s="484">
        <v>88</v>
      </c>
      <c r="Y187" s="430"/>
      <c r="Z187" s="430"/>
      <c r="AA187" s="430"/>
      <c r="AB187" s="430">
        <f t="shared" si="121"/>
        <v>88</v>
      </c>
      <c r="AC187" s="431">
        <v>1</v>
      </c>
      <c r="AD187" s="464">
        <v>1</v>
      </c>
      <c r="AE187" s="464">
        <f t="shared" si="160"/>
        <v>4.3999999999999997E-2</v>
      </c>
      <c r="AF187" s="478">
        <f>+AC187*E187</f>
        <v>0.24</v>
      </c>
      <c r="AG187" s="502">
        <f t="shared" si="162"/>
        <v>0.24</v>
      </c>
      <c r="AH187" s="509">
        <f t="shared" ref="AH187:AH211" si="170">+AE187*E187</f>
        <v>1.0559999999999998E-2</v>
      </c>
      <c r="AI187" s="502">
        <f>+P187/F187</f>
        <v>5.9624999999999997E-2</v>
      </c>
      <c r="AJ187" s="509">
        <v>0.387125</v>
      </c>
      <c r="AK187" s="509">
        <f t="shared" si="157"/>
        <v>0.39812500000000001</v>
      </c>
      <c r="AL187" s="502">
        <f>+AI187*E187</f>
        <v>1.4309999999999998E-2</v>
      </c>
      <c r="AM187" s="503">
        <f>+AJ187*E187</f>
        <v>9.2909999999999993E-2</v>
      </c>
      <c r="AN187" s="1426">
        <f t="shared" si="158"/>
        <v>9.5549999999999996E-2</v>
      </c>
      <c r="AO187" s="179" t="s">
        <v>1850</v>
      </c>
      <c r="AP187" s="642" t="s">
        <v>1892</v>
      </c>
      <c r="AQ187" s="642" t="s">
        <v>2264</v>
      </c>
      <c r="AR187" s="642" t="s">
        <v>2286</v>
      </c>
      <c r="AS187" s="680" t="s">
        <v>2401</v>
      </c>
      <c r="AT187" s="680" t="s">
        <v>2434</v>
      </c>
      <c r="AU187" s="680" t="s">
        <v>2487</v>
      </c>
      <c r="AV187" s="680" t="s">
        <v>1893</v>
      </c>
    </row>
    <row r="188" spans="1:48" ht="135" customHeight="1" thickBot="1" x14ac:dyDescent="0.4">
      <c r="A188" s="264"/>
      <c r="B188" s="1430" t="s">
        <v>318</v>
      </c>
      <c r="C188" s="1430" t="s">
        <v>319</v>
      </c>
      <c r="D188" s="402" t="s">
        <v>297</v>
      </c>
      <c r="E188" s="310">
        <v>0.2</v>
      </c>
      <c r="F188" s="428">
        <v>1</v>
      </c>
      <c r="G188" s="429">
        <v>0</v>
      </c>
      <c r="H188" s="429">
        <v>0.33</v>
      </c>
      <c r="I188" s="430">
        <v>0</v>
      </c>
      <c r="J188" s="431"/>
      <c r="K188" s="447">
        <f t="shared" si="165"/>
        <v>0.33</v>
      </c>
      <c r="L188" s="448"/>
      <c r="M188" s="434"/>
      <c r="N188" s="434">
        <f t="shared" si="153"/>
        <v>6.6000000000000003E-2</v>
      </c>
      <c r="O188" s="434"/>
      <c r="P188" s="429"/>
      <c r="Q188" s="484">
        <v>0</v>
      </c>
      <c r="R188" s="484">
        <v>0</v>
      </c>
      <c r="S188" s="484">
        <v>0</v>
      </c>
      <c r="T188" s="484">
        <v>1</v>
      </c>
      <c r="U188" s="484">
        <v>0</v>
      </c>
      <c r="V188" s="430">
        <f t="shared" ref="V188:V191" si="171">+Q188+R188+S188+T188+U188</f>
        <v>1</v>
      </c>
      <c r="W188" s="430">
        <f t="shared" ref="W188:W189" si="172">+V188+P188+AB188</f>
        <v>1</v>
      </c>
      <c r="X188" s="484"/>
      <c r="Y188" s="430"/>
      <c r="Z188" s="430"/>
      <c r="AA188" s="430"/>
      <c r="AB188" s="430">
        <f t="shared" si="121"/>
        <v>0</v>
      </c>
      <c r="AC188" s="431"/>
      <c r="AD188" s="464">
        <v>1</v>
      </c>
      <c r="AE188" s="464"/>
      <c r="AF188" s="478"/>
      <c r="AG188" s="502">
        <f t="shared" si="162"/>
        <v>0.2</v>
      </c>
      <c r="AH188" s="503">
        <f t="shared" si="170"/>
        <v>0</v>
      </c>
      <c r="AI188" s="502"/>
      <c r="AJ188" s="509">
        <v>1</v>
      </c>
      <c r="AK188" s="509">
        <f t="shared" si="157"/>
        <v>1</v>
      </c>
      <c r="AL188" s="502"/>
      <c r="AM188" s="503">
        <f>+AJ188*E188</f>
        <v>0.2</v>
      </c>
      <c r="AN188" s="1426">
        <f t="shared" si="158"/>
        <v>0.2</v>
      </c>
      <c r="AO188" s="179" t="s">
        <v>1850</v>
      </c>
      <c r="AP188" s="643" t="s">
        <v>1937</v>
      </c>
      <c r="AQ188" s="642" t="s">
        <v>2264</v>
      </c>
      <c r="AR188" s="642" t="s">
        <v>2286</v>
      </c>
      <c r="AS188" s="680" t="s">
        <v>2401</v>
      </c>
      <c r="AT188" s="680" t="s">
        <v>2435</v>
      </c>
      <c r="AU188" s="680" t="s">
        <v>2487</v>
      </c>
      <c r="AV188" s="680" t="s">
        <v>1893</v>
      </c>
    </row>
    <row r="189" spans="1:48" ht="135" customHeight="1" thickBot="1" x14ac:dyDescent="0.4">
      <c r="A189" s="264"/>
      <c r="B189" s="1430" t="s">
        <v>320</v>
      </c>
      <c r="C189" s="1430" t="s">
        <v>321</v>
      </c>
      <c r="D189" s="402" t="s">
        <v>297</v>
      </c>
      <c r="E189" s="310">
        <v>0.18</v>
      </c>
      <c r="F189" s="428">
        <v>3800</v>
      </c>
      <c r="G189" s="429">
        <v>280</v>
      </c>
      <c r="H189" s="429">
        <v>1170</v>
      </c>
      <c r="I189" s="430">
        <v>1400</v>
      </c>
      <c r="J189" s="431">
        <f>+G189/F189</f>
        <v>7.3684210526315783E-2</v>
      </c>
      <c r="K189" s="447">
        <f t="shared" si="165"/>
        <v>0.30789473684210528</v>
      </c>
      <c r="L189" s="448">
        <f t="shared" si="169"/>
        <v>0.36842105263157893</v>
      </c>
      <c r="M189" s="434">
        <f>+(G189/F189)*E189</f>
        <v>1.326315789473684E-2</v>
      </c>
      <c r="N189" s="434">
        <f>+(H189/F189)*E189</f>
        <v>5.5421052631578947E-2</v>
      </c>
      <c r="O189" s="434"/>
      <c r="P189" s="429">
        <v>529</v>
      </c>
      <c r="Q189" s="484">
        <v>0</v>
      </c>
      <c r="R189" s="484">
        <v>180</v>
      </c>
      <c r="S189" s="484">
        <v>226</v>
      </c>
      <c r="T189" s="484">
        <v>373</v>
      </c>
      <c r="U189" s="484">
        <v>443</v>
      </c>
      <c r="V189" s="430">
        <f t="shared" si="171"/>
        <v>1222</v>
      </c>
      <c r="W189" s="430">
        <f t="shared" si="172"/>
        <v>1790</v>
      </c>
      <c r="X189" s="484">
        <v>39</v>
      </c>
      <c r="Y189" s="430"/>
      <c r="Z189" s="430"/>
      <c r="AA189" s="430"/>
      <c r="AB189" s="430">
        <f t="shared" si="121"/>
        <v>39</v>
      </c>
      <c r="AC189" s="431">
        <v>1</v>
      </c>
      <c r="AD189" s="464">
        <v>1</v>
      </c>
      <c r="AE189" s="464">
        <f t="shared" si="160"/>
        <v>2.7857142857142858E-2</v>
      </c>
      <c r="AF189" s="478">
        <f>+AC189*E189</f>
        <v>0.18</v>
      </c>
      <c r="AG189" s="502">
        <f t="shared" si="162"/>
        <v>0.18</v>
      </c>
      <c r="AH189" s="503">
        <f t="shared" si="170"/>
        <v>5.0142857142857142E-3</v>
      </c>
      <c r="AI189" s="502">
        <f>+P189/F189</f>
        <v>0.13921052631578948</v>
      </c>
      <c r="AJ189" s="503">
        <v>0.46078947368421053</v>
      </c>
      <c r="AK189" s="503">
        <f t="shared" si="157"/>
        <v>0.47105263157894739</v>
      </c>
      <c r="AL189" s="502">
        <f>+AI189*E189</f>
        <v>2.5057894736842105E-2</v>
      </c>
      <c r="AM189" s="503">
        <f>+AJ189*E189</f>
        <v>8.2942105263157886E-2</v>
      </c>
      <c r="AN189" s="1426">
        <f t="shared" si="158"/>
        <v>8.4789473684210526E-2</v>
      </c>
      <c r="AO189" s="179" t="s">
        <v>1850</v>
      </c>
      <c r="AP189" s="642" t="s">
        <v>1892</v>
      </c>
      <c r="AQ189" s="642" t="s">
        <v>2264</v>
      </c>
      <c r="AR189" s="642" t="s">
        <v>2286</v>
      </c>
      <c r="AS189" s="680" t="s">
        <v>2401</v>
      </c>
      <c r="AT189" s="602" t="s">
        <v>2461</v>
      </c>
      <c r="AU189" s="680" t="s">
        <v>2487</v>
      </c>
      <c r="AV189" s="680" t="s">
        <v>1893</v>
      </c>
    </row>
    <row r="190" spans="1:48" ht="135" customHeight="1" thickBot="1" x14ac:dyDescent="0.4">
      <c r="A190" s="264"/>
      <c r="B190" s="1430" t="s">
        <v>322</v>
      </c>
      <c r="C190" s="1430" t="s">
        <v>323</v>
      </c>
      <c r="D190" s="402" t="s">
        <v>297</v>
      </c>
      <c r="E190" s="310">
        <v>0.2</v>
      </c>
      <c r="F190" s="428">
        <v>80</v>
      </c>
      <c r="G190" s="429">
        <v>30</v>
      </c>
      <c r="H190" s="429">
        <v>20</v>
      </c>
      <c r="I190" s="430">
        <v>10</v>
      </c>
      <c r="J190" s="431">
        <f>+G190/F190</f>
        <v>0.375</v>
      </c>
      <c r="K190" s="447">
        <f t="shared" si="165"/>
        <v>0.25</v>
      </c>
      <c r="L190" s="448">
        <f t="shared" si="169"/>
        <v>0.125</v>
      </c>
      <c r="M190" s="434">
        <f>+(G190/F190)*E190</f>
        <v>7.5000000000000011E-2</v>
      </c>
      <c r="N190" s="434">
        <f t="shared" si="153"/>
        <v>0.05</v>
      </c>
      <c r="O190" s="434"/>
      <c r="P190" s="429">
        <v>32</v>
      </c>
      <c r="Q190" s="484">
        <v>3</v>
      </c>
      <c r="R190" s="484">
        <v>3</v>
      </c>
      <c r="S190" s="484">
        <v>4</v>
      </c>
      <c r="T190" s="484">
        <v>2</v>
      </c>
      <c r="U190" s="484">
        <v>7</v>
      </c>
      <c r="V190" s="430">
        <f t="shared" si="171"/>
        <v>19</v>
      </c>
      <c r="W190" s="430">
        <f>+V190+P190+AB190</f>
        <v>52</v>
      </c>
      <c r="X190" s="484">
        <v>1</v>
      </c>
      <c r="Y190" s="430"/>
      <c r="Z190" s="430"/>
      <c r="AA190" s="430"/>
      <c r="AB190" s="430">
        <f t="shared" si="121"/>
        <v>1</v>
      </c>
      <c r="AC190" s="431">
        <v>1</v>
      </c>
      <c r="AD190" s="464">
        <f t="shared" si="154"/>
        <v>0.95</v>
      </c>
      <c r="AE190" s="464">
        <f t="shared" si="160"/>
        <v>0.1</v>
      </c>
      <c r="AF190" s="478">
        <f>+AC190*E190</f>
        <v>0.2</v>
      </c>
      <c r="AG190" s="502">
        <f t="shared" si="162"/>
        <v>0.19</v>
      </c>
      <c r="AH190" s="503">
        <f t="shared" si="170"/>
        <v>2.0000000000000004E-2</v>
      </c>
      <c r="AI190" s="502">
        <f>+P190/F190</f>
        <v>0.4</v>
      </c>
      <c r="AJ190" s="503">
        <v>0.63749999999999996</v>
      </c>
      <c r="AK190" s="503">
        <f t="shared" si="157"/>
        <v>0.65</v>
      </c>
      <c r="AL190" s="502">
        <f>+AI190*E190</f>
        <v>8.0000000000000016E-2</v>
      </c>
      <c r="AM190" s="503">
        <f>+AJ190*E190</f>
        <v>0.1275</v>
      </c>
      <c r="AN190" s="1426">
        <f t="shared" si="158"/>
        <v>0.13</v>
      </c>
      <c r="AO190" s="179" t="s">
        <v>1850</v>
      </c>
      <c r="AP190" s="642" t="s">
        <v>1892</v>
      </c>
      <c r="AQ190" s="642" t="s">
        <v>2264</v>
      </c>
      <c r="AR190" s="642" t="s">
        <v>2286</v>
      </c>
      <c r="AS190" s="680" t="s">
        <v>2401</v>
      </c>
      <c r="AT190" s="680" t="s">
        <v>2434</v>
      </c>
      <c r="AU190" s="680" t="s">
        <v>2487</v>
      </c>
      <c r="AV190" s="680" t="s">
        <v>1893</v>
      </c>
    </row>
    <row r="191" spans="1:48" ht="135" customHeight="1" thickBot="1" x14ac:dyDescent="0.4">
      <c r="A191" s="264"/>
      <c r="B191" s="1430" t="s">
        <v>324</v>
      </c>
      <c r="C191" s="1430" t="s">
        <v>325</v>
      </c>
      <c r="D191" s="402" t="s">
        <v>297</v>
      </c>
      <c r="E191" s="310">
        <v>0.18</v>
      </c>
      <c r="F191" s="428">
        <v>3200</v>
      </c>
      <c r="G191" s="429">
        <v>200</v>
      </c>
      <c r="H191" s="429">
        <v>1000</v>
      </c>
      <c r="I191" s="430">
        <v>1000</v>
      </c>
      <c r="J191" s="431">
        <f>+G191/F191</f>
        <v>6.25E-2</v>
      </c>
      <c r="K191" s="447">
        <f t="shared" si="165"/>
        <v>0.3125</v>
      </c>
      <c r="L191" s="448">
        <f t="shared" si="169"/>
        <v>0.3125</v>
      </c>
      <c r="M191" s="434">
        <f>+(G191/F191)*E191</f>
        <v>1.125E-2</v>
      </c>
      <c r="N191" s="434">
        <f t="shared" si="153"/>
        <v>5.6249999999999994E-2</v>
      </c>
      <c r="O191" s="434"/>
      <c r="P191" s="429">
        <v>415</v>
      </c>
      <c r="Q191" s="484">
        <v>98</v>
      </c>
      <c r="R191" s="484">
        <v>104</v>
      </c>
      <c r="S191" s="484">
        <v>129</v>
      </c>
      <c r="T191" s="484">
        <v>110</v>
      </c>
      <c r="U191" s="484">
        <v>515</v>
      </c>
      <c r="V191" s="430">
        <f t="shared" si="171"/>
        <v>956</v>
      </c>
      <c r="W191" s="430">
        <f>+V191+P191+AB191</f>
        <v>1539</v>
      </c>
      <c r="X191" s="484">
        <v>168</v>
      </c>
      <c r="Y191" s="430"/>
      <c r="Z191" s="430"/>
      <c r="AA191" s="430"/>
      <c r="AB191" s="430">
        <f t="shared" si="121"/>
        <v>168</v>
      </c>
      <c r="AC191" s="431">
        <v>1</v>
      </c>
      <c r="AD191" s="464">
        <f t="shared" si="154"/>
        <v>0.95599999999999996</v>
      </c>
      <c r="AE191" s="464">
        <f t="shared" si="160"/>
        <v>0.16800000000000001</v>
      </c>
      <c r="AF191" s="478">
        <f>+AC191*E191</f>
        <v>0.18</v>
      </c>
      <c r="AG191" s="502">
        <f t="shared" si="162"/>
        <v>0.17207999999999998</v>
      </c>
      <c r="AH191" s="504">
        <f t="shared" si="170"/>
        <v>3.024E-2</v>
      </c>
      <c r="AI191" s="502">
        <f>+P191/F191</f>
        <v>0.12968750000000001</v>
      </c>
      <c r="AJ191" s="504">
        <v>0.42843750000000003</v>
      </c>
      <c r="AK191" s="504">
        <f t="shared" si="157"/>
        <v>0.48093750000000002</v>
      </c>
      <c r="AL191" s="502">
        <f>+AI191*E191</f>
        <v>2.334375E-2</v>
      </c>
      <c r="AM191" s="503">
        <f>+AJ191*E191</f>
        <v>7.711875E-2</v>
      </c>
      <c r="AN191" s="1426">
        <f t="shared" si="158"/>
        <v>8.656875E-2</v>
      </c>
      <c r="AO191" s="179" t="s">
        <v>1850</v>
      </c>
      <c r="AP191" s="642" t="s">
        <v>1892</v>
      </c>
      <c r="AQ191" s="642" t="s">
        <v>2264</v>
      </c>
      <c r="AR191" s="642" t="s">
        <v>2286</v>
      </c>
      <c r="AS191" s="680" t="s">
        <v>2401</v>
      </c>
      <c r="AT191" s="680" t="s">
        <v>2434</v>
      </c>
      <c r="AU191" s="680" t="s">
        <v>2487</v>
      </c>
      <c r="AV191" s="680" t="s">
        <v>1893</v>
      </c>
    </row>
    <row r="192" spans="1:48" ht="135" customHeight="1" thickBot="1" x14ac:dyDescent="0.45">
      <c r="A192" s="264"/>
      <c r="B192" s="1535" t="s">
        <v>1623</v>
      </c>
      <c r="C192" s="1534"/>
      <c r="D192" s="401"/>
      <c r="E192" s="424">
        <v>0.1</v>
      </c>
      <c r="F192" s="428"/>
      <c r="G192" s="429"/>
      <c r="H192" s="430"/>
      <c r="I192" s="430"/>
      <c r="J192" s="426">
        <f>+AVERAGE(J193:J194)</f>
        <v>1.2500000000000001E-2</v>
      </c>
      <c r="K192" s="446">
        <f>+AVERAGE(K193:K194)</f>
        <v>0.31666666666666665</v>
      </c>
      <c r="L192" s="498">
        <f>+AVERAGE(L193:L194)</f>
        <v>0.42500000000000004</v>
      </c>
      <c r="M192" s="426">
        <f>+M193+M194</f>
        <v>3.7499999999999999E-3</v>
      </c>
      <c r="N192" s="426">
        <f>+N193+N194</f>
        <v>0.32333333333333331</v>
      </c>
      <c r="O192" s="426"/>
      <c r="P192" s="427"/>
      <c r="Q192" s="433"/>
      <c r="R192" s="433"/>
      <c r="S192" s="433"/>
      <c r="T192" s="433"/>
      <c r="U192" s="981"/>
      <c r="V192" s="433"/>
      <c r="W192" s="433"/>
      <c r="X192" s="430"/>
      <c r="Y192" s="430"/>
      <c r="Z192" s="430"/>
      <c r="AA192" s="430"/>
      <c r="AB192" s="430"/>
      <c r="AC192" s="486">
        <f>+AVERAGE(AC193:AC194)</f>
        <v>1</v>
      </c>
      <c r="AD192" s="486">
        <f>+AVERAGE(AD193:AD194)</f>
        <v>0.24791666666666667</v>
      </c>
      <c r="AE192" s="486">
        <f>+AVERAGE(AE193:AE194)</f>
        <v>8.8749999999999996E-2</v>
      </c>
      <c r="AF192" s="486">
        <f>+(AF193+AF194)*E192</f>
        <v>0.03</v>
      </c>
      <c r="AG192" s="505">
        <f>+(AG193+AG194)*E192</f>
        <v>2.5514999999999999E-2</v>
      </c>
      <c r="AH192" s="1033">
        <f>+(AH193+AH194)*E192</f>
        <v>1.2225E-2</v>
      </c>
      <c r="AI192" s="446">
        <f>+AVERAGE(AI193:AI194)</f>
        <v>1.2500000000000001E-2</v>
      </c>
      <c r="AJ192" s="506">
        <v>8.5058333333333333E-2</v>
      </c>
      <c r="AK192" s="506">
        <f>+AVERAGE(AK193:AK194)</f>
        <v>0.12068333333333334</v>
      </c>
      <c r="AL192" s="446">
        <f>+(AL193+AL194)*E192</f>
        <v>3.7500000000000001E-4</v>
      </c>
      <c r="AM192" s="1064">
        <f>+(AM193+AM194)</f>
        <v>8.6501666666666671E-2</v>
      </c>
      <c r="AN192" s="1064">
        <f>+(AN193+AN194)</f>
        <v>0.13547666666666666</v>
      </c>
      <c r="AO192" s="172"/>
      <c r="AP192" s="400"/>
      <c r="AQ192" s="400"/>
      <c r="AR192" s="400"/>
      <c r="AS192" s="400"/>
      <c r="AT192" s="400"/>
      <c r="AU192" s="196"/>
      <c r="AV192" s="196"/>
    </row>
    <row r="193" spans="1:48" ht="135" customHeight="1" thickBot="1" x14ac:dyDescent="0.4">
      <c r="A193" s="264"/>
      <c r="B193" s="1430" t="s">
        <v>326</v>
      </c>
      <c r="C193" s="1430" t="s">
        <v>327</v>
      </c>
      <c r="D193" s="402" t="s">
        <v>297</v>
      </c>
      <c r="E193" s="310">
        <v>0.3</v>
      </c>
      <c r="F193" s="428">
        <v>20000</v>
      </c>
      <c r="G193" s="429">
        <v>250</v>
      </c>
      <c r="H193" s="429">
        <v>6000</v>
      </c>
      <c r="I193" s="430">
        <v>9000</v>
      </c>
      <c r="J193" s="431">
        <f>+G193/F193</f>
        <v>1.2500000000000001E-2</v>
      </c>
      <c r="K193" s="447">
        <f t="shared" si="165"/>
        <v>0.3</v>
      </c>
      <c r="L193" s="448">
        <f t="shared" ref="L193:L194" si="173">+I193/F193</f>
        <v>0.45</v>
      </c>
      <c r="M193" s="434">
        <f>+(G193/F193)*E193</f>
        <v>3.7499999999999999E-3</v>
      </c>
      <c r="N193" s="434">
        <f t="shared" si="153"/>
        <v>0.09</v>
      </c>
      <c r="O193" s="434"/>
      <c r="P193" s="429">
        <v>250</v>
      </c>
      <c r="Q193" s="484">
        <v>219</v>
      </c>
      <c r="R193" s="484">
        <v>331</v>
      </c>
      <c r="S193" s="484">
        <v>397</v>
      </c>
      <c r="T193" s="484">
        <v>211</v>
      </c>
      <c r="U193" s="484">
        <v>221</v>
      </c>
      <c r="V193" s="430">
        <f>+Q193+R193+S193+T193+U193</f>
        <v>1379</v>
      </c>
      <c r="W193" s="430">
        <f>+V193+P193+AB193</f>
        <v>1674</v>
      </c>
      <c r="X193" s="484">
        <v>45</v>
      </c>
      <c r="Y193" s="430"/>
      <c r="Z193" s="430"/>
      <c r="AA193" s="430"/>
      <c r="AB193" s="430">
        <f t="shared" si="121"/>
        <v>45</v>
      </c>
      <c r="AC193" s="478">
        <f>+(P193/G193)</f>
        <v>1</v>
      </c>
      <c r="AD193" s="464">
        <f t="shared" si="154"/>
        <v>0.22983333333333333</v>
      </c>
      <c r="AE193" s="464">
        <f t="shared" si="160"/>
        <v>5.0000000000000001E-3</v>
      </c>
      <c r="AF193" s="478">
        <f>+AC193*E193</f>
        <v>0.3</v>
      </c>
      <c r="AG193" s="502">
        <f t="shared" si="162"/>
        <v>6.8949999999999997E-2</v>
      </c>
      <c r="AH193" s="509">
        <f t="shared" si="170"/>
        <v>1.5E-3</v>
      </c>
      <c r="AI193" s="502">
        <f>+P193/F193</f>
        <v>1.2500000000000001E-2</v>
      </c>
      <c r="AJ193" s="509">
        <v>8.1449999999999995E-2</v>
      </c>
      <c r="AK193" s="509">
        <f>+W193/F193</f>
        <v>8.3699999999999997E-2</v>
      </c>
      <c r="AL193" s="502">
        <f>+AI193*E193</f>
        <v>3.7499999999999999E-3</v>
      </c>
      <c r="AM193" s="503">
        <f>+AJ193*E193</f>
        <v>2.4434999999999998E-2</v>
      </c>
      <c r="AN193" s="1426">
        <f t="shared" si="158"/>
        <v>2.5109999999999997E-2</v>
      </c>
      <c r="AO193" s="179" t="s">
        <v>1850</v>
      </c>
      <c r="AP193" s="642" t="s">
        <v>1892</v>
      </c>
      <c r="AQ193" s="642" t="s">
        <v>2264</v>
      </c>
      <c r="AR193" s="642" t="s">
        <v>2286</v>
      </c>
      <c r="AS193" s="680" t="s">
        <v>2401</v>
      </c>
      <c r="AT193" s="602" t="s">
        <v>2461</v>
      </c>
      <c r="AU193" s="680" t="s">
        <v>2487</v>
      </c>
      <c r="AV193" s="680" t="s">
        <v>1893</v>
      </c>
    </row>
    <row r="194" spans="1:48" ht="135" customHeight="1" thickBot="1" x14ac:dyDescent="0.4">
      <c r="A194" s="264"/>
      <c r="B194" s="1430" t="s">
        <v>328</v>
      </c>
      <c r="C194" s="1430" t="s">
        <v>329</v>
      </c>
      <c r="D194" s="402" t="s">
        <v>297</v>
      </c>
      <c r="E194" s="310">
        <v>0.7</v>
      </c>
      <c r="F194" s="428">
        <v>3000</v>
      </c>
      <c r="G194" s="429">
        <v>0</v>
      </c>
      <c r="H194" s="429">
        <v>1000</v>
      </c>
      <c r="I194" s="430">
        <v>1200</v>
      </c>
      <c r="J194" s="431"/>
      <c r="K194" s="447">
        <f>+H194/F194</f>
        <v>0.33333333333333331</v>
      </c>
      <c r="L194" s="448">
        <f t="shared" si="173"/>
        <v>0.4</v>
      </c>
      <c r="M194" s="434"/>
      <c r="N194" s="434">
        <f>+(H194/F194)*E194</f>
        <v>0.23333333333333331</v>
      </c>
      <c r="O194" s="434"/>
      <c r="P194" s="429"/>
      <c r="Q194" s="484">
        <v>0</v>
      </c>
      <c r="R194" s="484">
        <v>0</v>
      </c>
      <c r="S194" s="484">
        <v>199</v>
      </c>
      <c r="T194" s="484">
        <v>67</v>
      </c>
      <c r="U194" s="484">
        <v>0</v>
      </c>
      <c r="V194" s="430">
        <f>+Q194+R194+S194+T194+U194</f>
        <v>266</v>
      </c>
      <c r="W194" s="430">
        <f>+V194+P194+AB194</f>
        <v>473</v>
      </c>
      <c r="X194" s="484">
        <v>207</v>
      </c>
      <c r="Y194" s="430"/>
      <c r="Z194" s="430"/>
      <c r="AA194" s="430"/>
      <c r="AB194" s="430">
        <f t="shared" si="121"/>
        <v>207</v>
      </c>
      <c r="AC194" s="478"/>
      <c r="AD194" s="464">
        <f t="shared" si="154"/>
        <v>0.26600000000000001</v>
      </c>
      <c r="AE194" s="464">
        <f t="shared" si="160"/>
        <v>0.17249999999999999</v>
      </c>
      <c r="AF194" s="478"/>
      <c r="AG194" s="502">
        <f t="shared" si="162"/>
        <v>0.1862</v>
      </c>
      <c r="AH194" s="504">
        <f t="shared" si="170"/>
        <v>0.12074999999999998</v>
      </c>
      <c r="AI194" s="502"/>
      <c r="AJ194" s="509">
        <v>8.8666666666666671E-2</v>
      </c>
      <c r="AK194" s="936">
        <f>+W194/F194</f>
        <v>0.15766666666666668</v>
      </c>
      <c r="AL194" s="502"/>
      <c r="AM194" s="1062">
        <f>+AJ194*E194</f>
        <v>6.2066666666666666E-2</v>
      </c>
      <c r="AN194" s="1449">
        <f t="shared" si="158"/>
        <v>0.11036666666666667</v>
      </c>
      <c r="AO194" s="179" t="s">
        <v>1850</v>
      </c>
      <c r="AP194" s="643" t="s">
        <v>1937</v>
      </c>
      <c r="AQ194" s="642" t="s">
        <v>2264</v>
      </c>
      <c r="AR194" s="642" t="s">
        <v>2286</v>
      </c>
      <c r="AS194" s="680" t="s">
        <v>2401</v>
      </c>
      <c r="AT194" s="680" t="s">
        <v>2434</v>
      </c>
      <c r="AU194" s="680" t="s">
        <v>2487</v>
      </c>
      <c r="AV194" s="680" t="s">
        <v>1893</v>
      </c>
    </row>
    <row r="195" spans="1:48" ht="135" customHeight="1" thickBot="1" x14ac:dyDescent="0.45">
      <c r="A195" s="264"/>
      <c r="B195" s="1535" t="s">
        <v>1624</v>
      </c>
      <c r="C195" s="1534"/>
      <c r="D195" s="401"/>
      <c r="E195" s="424">
        <v>0.1</v>
      </c>
      <c r="F195" s="428"/>
      <c r="G195" s="429"/>
      <c r="H195" s="430"/>
      <c r="I195" s="430"/>
      <c r="J195" s="426">
        <f>+AVERAGE(J196:J198)</f>
        <v>0.19771672771672774</v>
      </c>
      <c r="K195" s="446">
        <f>+AVERAGE(K196:K198)</f>
        <v>0.28894993894993898</v>
      </c>
      <c r="L195" s="498">
        <f>+AVERAGE(L196:L198)</f>
        <v>0.23064713064713063</v>
      </c>
      <c r="M195" s="426">
        <f>+M196+M197+M198</f>
        <v>0.19857509157509157</v>
      </c>
      <c r="N195" s="426">
        <f>+N196+N197+N198</f>
        <v>0.29342490842490843</v>
      </c>
      <c r="O195" s="426"/>
      <c r="P195" s="427"/>
      <c r="Q195" s="433"/>
      <c r="R195" s="433"/>
      <c r="S195" s="433"/>
      <c r="T195" s="433"/>
      <c r="U195" s="981"/>
      <c r="V195" s="433"/>
      <c r="W195" s="433"/>
      <c r="X195" s="430"/>
      <c r="Y195" s="430"/>
      <c r="Z195" s="430"/>
      <c r="AA195" s="430"/>
      <c r="AB195" s="430"/>
      <c r="AC195" s="486">
        <f>+AVERAGE(AC196:AC198)</f>
        <v>0.68</v>
      </c>
      <c r="AD195" s="486">
        <f>+AVERAGE(AD196:AD198)</f>
        <v>0.99259259259259258</v>
      </c>
      <c r="AE195" s="486">
        <f>+AVERAGE(AE196:AE198)</f>
        <v>0.47455197132616483</v>
      </c>
      <c r="AF195" s="486">
        <f>+(AF196+AF197+AF198)*E195</f>
        <v>7.9000000000000015E-2</v>
      </c>
      <c r="AG195" s="505">
        <f>+(AG196+AG197+AG198)*E195</f>
        <v>9.9555555555555564E-2</v>
      </c>
      <c r="AH195" s="1033">
        <f>+(AH196+AH197+AH198)*E195</f>
        <v>4.7182795698924737E-2</v>
      </c>
      <c r="AI195" s="446">
        <f>+AVERAGE(AI196:AI198)</f>
        <v>0.20072039072039072</v>
      </c>
      <c r="AJ195" s="506">
        <v>0.58818070818070811</v>
      </c>
      <c r="AK195" s="506">
        <f>+AVERAGE(AK196:AK198)</f>
        <v>0.69858363858363859</v>
      </c>
      <c r="AL195" s="446">
        <f>+(AL196+AL197+AL198)*E195</f>
        <v>1.9708058608058607E-2</v>
      </c>
      <c r="AM195" s="498">
        <f>+(AM196+AM197+AM198)</f>
        <v>0.64027106227106223</v>
      </c>
      <c r="AN195" s="498">
        <f>+(AN196+AN197+AN198)</f>
        <v>0.74387545787545784</v>
      </c>
      <c r="AO195" s="172"/>
      <c r="AP195" s="400"/>
      <c r="AQ195" s="400"/>
      <c r="AR195" s="400"/>
      <c r="AS195" s="400"/>
      <c r="AT195" s="400"/>
      <c r="AU195" s="196"/>
      <c r="AV195" s="196"/>
    </row>
    <row r="196" spans="1:48" ht="135" customHeight="1" thickBot="1" x14ac:dyDescent="0.4">
      <c r="A196" s="264"/>
      <c r="B196" s="1430" t="s">
        <v>330</v>
      </c>
      <c r="C196" s="1430" t="s">
        <v>331</v>
      </c>
      <c r="D196" s="402" t="s">
        <v>297</v>
      </c>
      <c r="E196" s="310">
        <v>0.5</v>
      </c>
      <c r="F196" s="428">
        <v>1092</v>
      </c>
      <c r="G196" s="429">
        <v>200</v>
      </c>
      <c r="H196" s="430">
        <v>346</v>
      </c>
      <c r="I196" s="430">
        <v>155</v>
      </c>
      <c r="J196" s="431">
        <f>+G196/F196</f>
        <v>0.18315018315018314</v>
      </c>
      <c r="K196" s="447">
        <f t="shared" ref="K196:K211" si="174">+H196/F196</f>
        <v>0.31684981684981683</v>
      </c>
      <c r="L196" s="448">
        <f t="shared" ref="L196:L198" si="175">+I196/F196</f>
        <v>0.14194139194139194</v>
      </c>
      <c r="M196" s="434">
        <f>+(G196/F196)*E196</f>
        <v>9.1575091575091569E-2</v>
      </c>
      <c r="N196" s="434">
        <f t="shared" ref="N196:N197" si="176">+(H196/F196)*E196</f>
        <v>0.15842490842490842</v>
      </c>
      <c r="O196" s="434"/>
      <c r="P196" s="429">
        <v>188</v>
      </c>
      <c r="Q196" s="484">
        <v>125</v>
      </c>
      <c r="R196" s="484">
        <v>45</v>
      </c>
      <c r="S196" s="484">
        <v>371</v>
      </c>
      <c r="T196" s="484">
        <v>29</v>
      </c>
      <c r="U196" s="484">
        <v>106</v>
      </c>
      <c r="V196" s="430">
        <f>+Q196+R196+S196+T196+U196</f>
        <v>676</v>
      </c>
      <c r="W196" s="430">
        <f>+V196+P196+AB196</f>
        <v>909</v>
      </c>
      <c r="X196" s="484">
        <v>45</v>
      </c>
      <c r="Y196" s="430"/>
      <c r="Z196" s="430"/>
      <c r="AA196" s="430"/>
      <c r="AB196" s="430">
        <f t="shared" ref="AB196:AB211" si="177">+X196+Y196+Z196+AA196</f>
        <v>45</v>
      </c>
      <c r="AC196" s="478">
        <f>+(P196/G196)</f>
        <v>0.94</v>
      </c>
      <c r="AD196" s="464">
        <v>1</v>
      </c>
      <c r="AE196" s="464">
        <f t="shared" si="160"/>
        <v>0.29032258064516131</v>
      </c>
      <c r="AF196" s="478">
        <f>+AC196*E196</f>
        <v>0.47</v>
      </c>
      <c r="AG196" s="502">
        <f t="shared" si="162"/>
        <v>0.5</v>
      </c>
      <c r="AH196" s="509">
        <f t="shared" si="170"/>
        <v>0.14516129032258066</v>
      </c>
      <c r="AI196" s="502">
        <f>+P196/F196</f>
        <v>0.17216117216117216</v>
      </c>
      <c r="AJ196" s="509">
        <v>0.79120879120879117</v>
      </c>
      <c r="AK196" s="509">
        <f t="shared" ref="AK196:AK211" si="178">+W196/F196</f>
        <v>0.83241758241758246</v>
      </c>
      <c r="AL196" s="502">
        <f>+AI196*E196</f>
        <v>8.608058608058608E-2</v>
      </c>
      <c r="AM196" s="503">
        <f>+AJ196*E196</f>
        <v>0.39560439560439559</v>
      </c>
      <c r="AN196" s="1426">
        <f t="shared" si="158"/>
        <v>0.41620879120879123</v>
      </c>
      <c r="AO196" s="179" t="s">
        <v>1850</v>
      </c>
      <c r="AP196" s="642" t="s">
        <v>1892</v>
      </c>
      <c r="AQ196" s="642" t="s">
        <v>2264</v>
      </c>
      <c r="AR196" s="642" t="s">
        <v>2286</v>
      </c>
      <c r="AS196" s="680" t="s">
        <v>2401</v>
      </c>
      <c r="AT196" s="680" t="s">
        <v>2434</v>
      </c>
      <c r="AU196" s="680" t="s">
        <v>2487</v>
      </c>
      <c r="AV196" s="680" t="s">
        <v>1893</v>
      </c>
    </row>
    <row r="197" spans="1:48" ht="135" customHeight="1" thickBot="1" x14ac:dyDescent="0.4">
      <c r="A197" s="264"/>
      <c r="B197" s="1430" t="s">
        <v>332</v>
      </c>
      <c r="C197" s="1430" t="s">
        <v>333</v>
      </c>
      <c r="D197" s="402" t="s">
        <v>297</v>
      </c>
      <c r="E197" s="310">
        <v>0.3</v>
      </c>
      <c r="F197" s="428">
        <v>4</v>
      </c>
      <c r="G197" s="429">
        <v>1</v>
      </c>
      <c r="H197" s="430">
        <v>1</v>
      </c>
      <c r="I197" s="430">
        <v>1</v>
      </c>
      <c r="J197" s="431">
        <f>+G197/F197</f>
        <v>0.25</v>
      </c>
      <c r="K197" s="447">
        <f t="shared" si="174"/>
        <v>0.25</v>
      </c>
      <c r="L197" s="448">
        <f t="shared" si="175"/>
        <v>0.25</v>
      </c>
      <c r="M197" s="434">
        <f>+(G197/F197)*E197</f>
        <v>7.4999999999999997E-2</v>
      </c>
      <c r="N197" s="434">
        <f t="shared" si="176"/>
        <v>7.4999999999999997E-2</v>
      </c>
      <c r="O197" s="434"/>
      <c r="P197" s="429">
        <v>1</v>
      </c>
      <c r="Q197" s="484">
        <v>1</v>
      </c>
      <c r="R197" s="484">
        <v>0</v>
      </c>
      <c r="S197" s="484">
        <v>0</v>
      </c>
      <c r="T197" s="484">
        <v>0</v>
      </c>
      <c r="U197" s="484">
        <v>0</v>
      </c>
      <c r="V197" s="430">
        <f t="shared" ref="V197:V198" si="179">+Q197+R197+S197+T197+U197</f>
        <v>1</v>
      </c>
      <c r="W197" s="430">
        <f t="shared" ref="W197:W198" si="180">+V197+P197+AB197</f>
        <v>3</v>
      </c>
      <c r="X197" s="484">
        <v>1</v>
      </c>
      <c r="Y197" s="430"/>
      <c r="Z197" s="430"/>
      <c r="AA197" s="430"/>
      <c r="AB197" s="430">
        <f t="shared" si="177"/>
        <v>1</v>
      </c>
      <c r="AC197" s="478">
        <f>+(P197/G197)</f>
        <v>1</v>
      </c>
      <c r="AD197" s="464">
        <f t="shared" si="154"/>
        <v>1</v>
      </c>
      <c r="AE197" s="464">
        <f t="shared" si="160"/>
        <v>1</v>
      </c>
      <c r="AF197" s="478">
        <f>+AC197*E197</f>
        <v>0.3</v>
      </c>
      <c r="AG197" s="502">
        <f>+AD197*E197</f>
        <v>0.3</v>
      </c>
      <c r="AH197" s="503">
        <f t="shared" si="170"/>
        <v>0.3</v>
      </c>
      <c r="AI197" s="502">
        <f>+P197/F197</f>
        <v>0.25</v>
      </c>
      <c r="AJ197" s="503">
        <v>0.5</v>
      </c>
      <c r="AK197" s="503">
        <f t="shared" si="178"/>
        <v>0.75</v>
      </c>
      <c r="AL197" s="502">
        <f>+AI197*E197</f>
        <v>7.4999999999999997E-2</v>
      </c>
      <c r="AM197" s="503">
        <f>+AJ197*E197</f>
        <v>0.15</v>
      </c>
      <c r="AN197" s="1431">
        <f t="shared" si="158"/>
        <v>0.22499999999999998</v>
      </c>
      <c r="AO197" s="179" t="s">
        <v>1850</v>
      </c>
      <c r="AP197" s="642" t="s">
        <v>1892</v>
      </c>
      <c r="AQ197" s="642" t="s">
        <v>2264</v>
      </c>
      <c r="AR197" s="642" t="s">
        <v>2286</v>
      </c>
      <c r="AS197" s="680" t="s">
        <v>2401</v>
      </c>
      <c r="AT197" s="680" t="s">
        <v>2434</v>
      </c>
      <c r="AU197" s="680" t="s">
        <v>2487</v>
      </c>
      <c r="AV197" s="680" t="s">
        <v>1893</v>
      </c>
    </row>
    <row r="198" spans="1:48" ht="135" customHeight="1" thickBot="1" x14ac:dyDescent="0.4">
      <c r="A198" s="264"/>
      <c r="B198" s="1430" t="s">
        <v>334</v>
      </c>
      <c r="C198" s="1430" t="s">
        <v>335</v>
      </c>
      <c r="D198" s="402" t="s">
        <v>297</v>
      </c>
      <c r="E198" s="310">
        <v>0.2</v>
      </c>
      <c r="F198" s="428">
        <v>150</v>
      </c>
      <c r="G198" s="429">
        <v>24</v>
      </c>
      <c r="H198" s="430">
        <v>45</v>
      </c>
      <c r="I198" s="430">
        <v>45</v>
      </c>
      <c r="J198" s="431">
        <f>+G198/F198</f>
        <v>0.16</v>
      </c>
      <c r="K198" s="447">
        <f t="shared" si="174"/>
        <v>0.3</v>
      </c>
      <c r="L198" s="448">
        <f t="shared" si="175"/>
        <v>0.3</v>
      </c>
      <c r="M198" s="434">
        <f>+(G198/F198)*E198</f>
        <v>3.2000000000000001E-2</v>
      </c>
      <c r="N198" s="434">
        <f>+(H198/F198)*E198</f>
        <v>0.06</v>
      </c>
      <c r="O198" s="434"/>
      <c r="P198" s="429">
        <v>27</v>
      </c>
      <c r="Q198" s="484">
        <v>0</v>
      </c>
      <c r="R198" s="484">
        <v>6</v>
      </c>
      <c r="S198" s="484">
        <v>25</v>
      </c>
      <c r="T198" s="484">
        <v>7</v>
      </c>
      <c r="U198" s="484">
        <v>6</v>
      </c>
      <c r="V198" s="430">
        <f t="shared" si="179"/>
        <v>44</v>
      </c>
      <c r="W198" s="430">
        <f t="shared" si="180"/>
        <v>77</v>
      </c>
      <c r="X198" s="484">
        <v>6</v>
      </c>
      <c r="Y198" s="430"/>
      <c r="Z198" s="430"/>
      <c r="AA198" s="430"/>
      <c r="AB198" s="430">
        <f t="shared" si="177"/>
        <v>6</v>
      </c>
      <c r="AC198" s="478">
        <v>0.1</v>
      </c>
      <c r="AD198" s="464">
        <f t="shared" si="154"/>
        <v>0.97777777777777775</v>
      </c>
      <c r="AE198" s="464">
        <f t="shared" si="160"/>
        <v>0.13333333333333333</v>
      </c>
      <c r="AF198" s="478">
        <f>+AC198*E198</f>
        <v>2.0000000000000004E-2</v>
      </c>
      <c r="AG198" s="502">
        <f t="shared" si="162"/>
        <v>0.19555555555555557</v>
      </c>
      <c r="AH198" s="504">
        <f t="shared" si="170"/>
        <v>2.6666666666666668E-2</v>
      </c>
      <c r="AI198" s="502">
        <f>+P198/F198</f>
        <v>0.18</v>
      </c>
      <c r="AJ198" s="504">
        <v>0.47333333333333333</v>
      </c>
      <c r="AK198" s="504">
        <f t="shared" si="178"/>
        <v>0.51333333333333331</v>
      </c>
      <c r="AL198" s="502">
        <f>+AI198*E198</f>
        <v>3.5999999999999997E-2</v>
      </c>
      <c r="AM198" s="503">
        <f>+AJ198*E198</f>
        <v>9.4666666666666677E-2</v>
      </c>
      <c r="AN198" s="1426">
        <f t="shared" si="158"/>
        <v>0.10266666666666667</v>
      </c>
      <c r="AO198" s="179" t="s">
        <v>1850</v>
      </c>
      <c r="AP198" s="642" t="s">
        <v>1892</v>
      </c>
      <c r="AQ198" s="642" t="s">
        <v>2264</v>
      </c>
      <c r="AR198" s="642" t="s">
        <v>2286</v>
      </c>
      <c r="AS198" s="680" t="s">
        <v>2401</v>
      </c>
      <c r="AT198" s="680" t="s">
        <v>2434</v>
      </c>
      <c r="AU198" s="680" t="s">
        <v>2487</v>
      </c>
      <c r="AV198" s="680" t="s">
        <v>1893</v>
      </c>
    </row>
    <row r="199" spans="1:48" ht="135" customHeight="1" thickBot="1" x14ac:dyDescent="0.45">
      <c r="A199" s="264"/>
      <c r="B199" s="1535" t="s">
        <v>1625</v>
      </c>
      <c r="C199" s="1534"/>
      <c r="D199" s="401"/>
      <c r="E199" s="424">
        <v>0.1</v>
      </c>
      <c r="F199" s="428"/>
      <c r="G199" s="429"/>
      <c r="H199" s="430"/>
      <c r="I199" s="439"/>
      <c r="J199" s="426">
        <f>+AVERAGE(J200:J202)</f>
        <v>0.14374999999999999</v>
      </c>
      <c r="K199" s="446">
        <f>+AVERAGE(K200:K202)</f>
        <v>0.36074640522875817</v>
      </c>
      <c r="L199" s="498">
        <f>+AVERAGE(L200:L202)</f>
        <v>0.30612745098039212</v>
      </c>
      <c r="M199" s="426">
        <f>+M200+M201+M202</f>
        <v>6.7500000000000004E-2</v>
      </c>
      <c r="N199" s="426">
        <f>+N200+N201+N202</f>
        <v>0.36927960784313729</v>
      </c>
      <c r="O199" s="426"/>
      <c r="P199" s="427"/>
      <c r="Q199" s="433"/>
      <c r="R199" s="433"/>
      <c r="S199" s="433"/>
      <c r="T199" s="433"/>
      <c r="U199" s="981"/>
      <c r="V199" s="433"/>
      <c r="W199" s="433"/>
      <c r="X199" s="430"/>
      <c r="Y199" s="430"/>
      <c r="Z199" s="430"/>
      <c r="AA199" s="430"/>
      <c r="AB199" s="430"/>
      <c r="AC199" s="486">
        <f>+AVERAGE(AC200:AC202)</f>
        <v>0.72222222222222221</v>
      </c>
      <c r="AD199" s="486">
        <f>+AVERAGE(AD200:AD202)</f>
        <v>0.70303030303030312</v>
      </c>
      <c r="AE199" s="486">
        <f>+AVERAGE(AE200:AE202)</f>
        <v>4.6175438596491224E-2</v>
      </c>
      <c r="AF199" s="486">
        <f>+(AF200+AF201+AF202)*E199</f>
        <v>3.888888888888889E-2</v>
      </c>
      <c r="AG199" s="505">
        <f>+(AG200+AG201+AG202)*E199</f>
        <v>7.0454545454545464E-2</v>
      </c>
      <c r="AH199" s="1033">
        <f>+(AH200+AH201+AH202)*E199</f>
        <v>2.9789473684210528E-3</v>
      </c>
      <c r="AI199" s="446">
        <f>+AVERAGE(AI200:AI202)</f>
        <v>0.25741666666666668</v>
      </c>
      <c r="AJ199" s="506">
        <v>0.4186372549019608</v>
      </c>
      <c r="AK199" s="506">
        <f>+AVERAGE(AK200:AK202)</f>
        <v>0.43686111111111109</v>
      </c>
      <c r="AL199" s="446">
        <f>+(AL200+AL201+AL202)*E199</f>
        <v>1.4611666666666665E-2</v>
      </c>
      <c r="AM199" s="498">
        <f>+(AM200+AM201+AM202)</f>
        <v>0.40015588235294119</v>
      </c>
      <c r="AN199" s="498">
        <f>+(AN200+AN201+AN202)</f>
        <v>0.41186666666666666</v>
      </c>
      <c r="AO199" s="172"/>
      <c r="AP199" s="400"/>
      <c r="AQ199" s="400"/>
      <c r="AR199" s="400"/>
      <c r="AS199" s="400"/>
      <c r="AT199" s="400"/>
      <c r="AU199" s="196"/>
      <c r="AV199" s="196"/>
    </row>
    <row r="200" spans="1:48" ht="135" customHeight="1" thickBot="1" x14ac:dyDescent="0.4">
      <c r="A200" s="264"/>
      <c r="B200" s="1430" t="s">
        <v>336</v>
      </c>
      <c r="C200" s="1430" t="s">
        <v>337</v>
      </c>
      <c r="D200" s="402" t="s">
        <v>297</v>
      </c>
      <c r="E200" s="310">
        <v>0.3</v>
      </c>
      <c r="F200" s="428">
        <v>10000</v>
      </c>
      <c r="G200" s="429">
        <v>1000</v>
      </c>
      <c r="H200" s="1161">
        <f>4000-1658</f>
        <v>2342</v>
      </c>
      <c r="I200" s="1162">
        <v>1500</v>
      </c>
      <c r="J200" s="431">
        <f>+G200/F200</f>
        <v>0.1</v>
      </c>
      <c r="K200" s="447">
        <f t="shared" si="174"/>
        <v>0.23419999999999999</v>
      </c>
      <c r="L200" s="448">
        <f t="shared" ref="L200:L202" si="181">+I200/F200</f>
        <v>0.15</v>
      </c>
      <c r="M200" s="434">
        <f>+(G200/F200)*E200</f>
        <v>0.03</v>
      </c>
      <c r="N200" s="434">
        <f t="shared" ref="N200:N208" si="182">+(H200/F200)*E200</f>
        <v>7.0259999999999989E-2</v>
      </c>
      <c r="O200" s="434"/>
      <c r="P200" s="429">
        <v>4315</v>
      </c>
      <c r="Q200" s="484">
        <v>0</v>
      </c>
      <c r="R200" s="484">
        <v>0</v>
      </c>
      <c r="S200" s="484">
        <v>2700</v>
      </c>
      <c r="T200" s="484">
        <v>0</v>
      </c>
      <c r="U200" s="484">
        <v>0</v>
      </c>
      <c r="V200" s="430">
        <f>+Q200+R200+S200+T200+U200</f>
        <v>2700</v>
      </c>
      <c r="W200" s="430">
        <f>+V200+P200+AB200</f>
        <v>7015</v>
      </c>
      <c r="X200" s="484">
        <v>0</v>
      </c>
      <c r="Y200" s="430"/>
      <c r="Z200" s="430"/>
      <c r="AA200" s="430"/>
      <c r="AB200" s="430">
        <f t="shared" si="177"/>
        <v>0</v>
      </c>
      <c r="AC200" s="478">
        <v>1</v>
      </c>
      <c r="AD200" s="464">
        <v>1</v>
      </c>
      <c r="AE200" s="464">
        <f t="shared" si="160"/>
        <v>0</v>
      </c>
      <c r="AF200" s="478">
        <f>+AC200*E200</f>
        <v>0.3</v>
      </c>
      <c r="AG200" s="502">
        <f t="shared" si="162"/>
        <v>0.3</v>
      </c>
      <c r="AH200" s="509">
        <f t="shared" si="170"/>
        <v>0</v>
      </c>
      <c r="AI200" s="502">
        <f>+P200/F200</f>
        <v>0.43149999999999999</v>
      </c>
      <c r="AJ200" s="509">
        <v>0.70150000000000001</v>
      </c>
      <c r="AK200" s="509">
        <f t="shared" si="178"/>
        <v>0.70150000000000001</v>
      </c>
      <c r="AL200" s="502">
        <f>+AI200*E200</f>
        <v>0.12944999999999998</v>
      </c>
      <c r="AM200" s="503">
        <f>+AJ200*E200</f>
        <v>0.21045</v>
      </c>
      <c r="AN200" s="1426">
        <f t="shared" si="158"/>
        <v>0.21045</v>
      </c>
      <c r="AO200" s="179" t="s">
        <v>1850</v>
      </c>
      <c r="AP200" s="642" t="s">
        <v>1892</v>
      </c>
      <c r="AQ200" s="642" t="s">
        <v>2264</v>
      </c>
      <c r="AR200" s="642" t="s">
        <v>2286</v>
      </c>
      <c r="AS200" s="680" t="s">
        <v>2401</v>
      </c>
      <c r="AT200" s="680" t="s">
        <v>2434</v>
      </c>
      <c r="AU200" s="680" t="s">
        <v>2487</v>
      </c>
      <c r="AV200" s="680" t="s">
        <v>1893</v>
      </c>
    </row>
    <row r="201" spans="1:48" ht="135" customHeight="1" thickBot="1" x14ac:dyDescent="0.4">
      <c r="A201" s="264"/>
      <c r="B201" s="1430" t="s">
        <v>338</v>
      </c>
      <c r="C201" s="1430" t="s">
        <v>339</v>
      </c>
      <c r="D201" s="402" t="s">
        <v>297</v>
      </c>
      <c r="E201" s="310">
        <v>0.2</v>
      </c>
      <c r="F201" s="428">
        <v>96</v>
      </c>
      <c r="G201" s="429">
        <v>18</v>
      </c>
      <c r="H201" s="430">
        <v>40</v>
      </c>
      <c r="I201" s="468">
        <v>38</v>
      </c>
      <c r="J201" s="431">
        <f>+G201/F201</f>
        <v>0.1875</v>
      </c>
      <c r="K201" s="447">
        <f t="shared" si="174"/>
        <v>0.41666666666666669</v>
      </c>
      <c r="L201" s="448">
        <f t="shared" si="181"/>
        <v>0.39583333333333331</v>
      </c>
      <c r="M201" s="434">
        <f>+(G201/F201)*E201</f>
        <v>3.7500000000000006E-2</v>
      </c>
      <c r="N201" s="434">
        <f t="shared" si="182"/>
        <v>8.3333333333333343E-2</v>
      </c>
      <c r="O201" s="434"/>
      <c r="P201" s="429">
        <v>8</v>
      </c>
      <c r="Q201" s="484">
        <v>0</v>
      </c>
      <c r="R201" s="484">
        <v>6</v>
      </c>
      <c r="S201" s="484">
        <v>8</v>
      </c>
      <c r="T201" s="484">
        <v>3</v>
      </c>
      <c r="U201" s="484">
        <v>3</v>
      </c>
      <c r="V201" s="430">
        <f t="shared" ref="V201:V202" si="183">+Q201+R201+S201+T201+U201</f>
        <v>20</v>
      </c>
      <c r="W201" s="430">
        <f t="shared" ref="W201:W202" si="184">+V201+P201+AB201</f>
        <v>33</v>
      </c>
      <c r="X201" s="484">
        <v>5</v>
      </c>
      <c r="Y201" s="430"/>
      <c r="Z201" s="430"/>
      <c r="AA201" s="430"/>
      <c r="AB201" s="430">
        <f t="shared" si="177"/>
        <v>5</v>
      </c>
      <c r="AC201" s="478">
        <f>+(P201/G201)</f>
        <v>0.44444444444444442</v>
      </c>
      <c r="AD201" s="464">
        <f t="shared" si="154"/>
        <v>0.5</v>
      </c>
      <c r="AE201" s="464">
        <f t="shared" si="160"/>
        <v>0.13157894736842105</v>
      </c>
      <c r="AF201" s="478">
        <f>+AC201*E201</f>
        <v>8.8888888888888892E-2</v>
      </c>
      <c r="AG201" s="502">
        <f t="shared" si="162"/>
        <v>0.1</v>
      </c>
      <c r="AH201" s="503">
        <f t="shared" si="170"/>
        <v>2.6315789473684209E-2</v>
      </c>
      <c r="AI201" s="502">
        <f>+P201/F201</f>
        <v>8.3333333333333329E-2</v>
      </c>
      <c r="AJ201" s="503">
        <v>0.29166666666666669</v>
      </c>
      <c r="AK201" s="503">
        <f t="shared" si="178"/>
        <v>0.34375</v>
      </c>
      <c r="AL201" s="502">
        <f>+AI201*E201</f>
        <v>1.6666666666666666E-2</v>
      </c>
      <c r="AM201" s="503">
        <f>+AJ201*E201</f>
        <v>5.8333333333333341E-2</v>
      </c>
      <c r="AN201" s="1426">
        <f t="shared" si="158"/>
        <v>6.8750000000000006E-2</v>
      </c>
      <c r="AO201" s="179" t="s">
        <v>1850</v>
      </c>
      <c r="AP201" s="642" t="s">
        <v>1892</v>
      </c>
      <c r="AQ201" s="642" t="s">
        <v>2264</v>
      </c>
      <c r="AR201" s="642" t="s">
        <v>2286</v>
      </c>
      <c r="AS201" s="680" t="s">
        <v>2401</v>
      </c>
      <c r="AT201" s="680" t="s">
        <v>2434</v>
      </c>
      <c r="AU201" s="680" t="s">
        <v>2487</v>
      </c>
      <c r="AV201" s="680" t="s">
        <v>1893</v>
      </c>
    </row>
    <row r="202" spans="1:48" ht="135" customHeight="1" thickBot="1" x14ac:dyDescent="0.4">
      <c r="A202" s="264"/>
      <c r="B202" s="1430" t="s">
        <v>340</v>
      </c>
      <c r="C202" s="1430" t="s">
        <v>341</v>
      </c>
      <c r="D202" s="402" t="s">
        <v>297</v>
      </c>
      <c r="E202" s="310">
        <v>0.5</v>
      </c>
      <c r="F202" s="428">
        <v>51000</v>
      </c>
      <c r="G202" s="429">
        <v>0</v>
      </c>
      <c r="H202" s="430">
        <v>22000</v>
      </c>
      <c r="I202" s="430">
        <v>19000</v>
      </c>
      <c r="J202" s="431"/>
      <c r="K202" s="447">
        <f t="shared" si="174"/>
        <v>0.43137254901960786</v>
      </c>
      <c r="L202" s="448">
        <f t="shared" si="181"/>
        <v>0.37254901960784315</v>
      </c>
      <c r="M202" s="434"/>
      <c r="N202" s="434">
        <f t="shared" si="182"/>
        <v>0.21568627450980393</v>
      </c>
      <c r="O202" s="434"/>
      <c r="P202" s="429"/>
      <c r="Q202" s="484">
        <v>0</v>
      </c>
      <c r="R202" s="484">
        <v>0</v>
      </c>
      <c r="S202" s="484">
        <v>2800</v>
      </c>
      <c r="T202" s="484">
        <v>0</v>
      </c>
      <c r="U202" s="484">
        <v>10600</v>
      </c>
      <c r="V202" s="430">
        <f t="shared" si="183"/>
        <v>13400</v>
      </c>
      <c r="W202" s="430">
        <f t="shared" si="184"/>
        <v>13532</v>
      </c>
      <c r="X202" s="484">
        <v>132</v>
      </c>
      <c r="Y202" s="430"/>
      <c r="Z202" s="430"/>
      <c r="AA202" s="430"/>
      <c r="AB202" s="430">
        <f t="shared" si="177"/>
        <v>132</v>
      </c>
      <c r="AC202" s="478"/>
      <c r="AD202" s="464">
        <f t="shared" si="154"/>
        <v>0.60909090909090913</v>
      </c>
      <c r="AE202" s="464">
        <f t="shared" si="160"/>
        <v>6.9473684210526318E-3</v>
      </c>
      <c r="AF202" s="478"/>
      <c r="AG202" s="502">
        <f t="shared" si="162"/>
        <v>0.30454545454545456</v>
      </c>
      <c r="AH202" s="504">
        <f t="shared" si="170"/>
        <v>3.4736842105263159E-3</v>
      </c>
      <c r="AI202" s="502"/>
      <c r="AJ202" s="503">
        <v>0.2627450980392157</v>
      </c>
      <c r="AK202" s="504">
        <f t="shared" si="178"/>
        <v>0.26533333333333331</v>
      </c>
      <c r="AL202" s="502"/>
      <c r="AM202" s="503">
        <f>+AJ202*E202</f>
        <v>0.13137254901960785</v>
      </c>
      <c r="AN202" s="1426">
        <f t="shared" si="158"/>
        <v>0.13266666666666665</v>
      </c>
      <c r="AO202" s="179" t="s">
        <v>1850</v>
      </c>
      <c r="AP202" s="643" t="s">
        <v>1937</v>
      </c>
      <c r="AQ202" s="642" t="s">
        <v>2264</v>
      </c>
      <c r="AR202" s="642" t="s">
        <v>2286</v>
      </c>
      <c r="AS202" s="680" t="s">
        <v>2401</v>
      </c>
      <c r="AT202" s="680" t="s">
        <v>2434</v>
      </c>
      <c r="AU202" s="680" t="s">
        <v>2487</v>
      </c>
      <c r="AV202" s="680" t="s">
        <v>1893</v>
      </c>
    </row>
    <row r="203" spans="1:48" ht="135" customHeight="1" thickBot="1" x14ac:dyDescent="0.45">
      <c r="A203" s="264"/>
      <c r="B203" s="1535" t="s">
        <v>1626</v>
      </c>
      <c r="C203" s="1534"/>
      <c r="D203" s="401"/>
      <c r="E203" s="424">
        <v>0.1</v>
      </c>
      <c r="F203" s="428"/>
      <c r="G203" s="429"/>
      <c r="H203" s="430"/>
      <c r="I203" s="430"/>
      <c r="J203" s="426">
        <f>+AVERAGE(J204:J205)</f>
        <v>0.24264705882352941</v>
      </c>
      <c r="K203" s="446">
        <f>+AVERAGE(K204:K205)</f>
        <v>0.30147058823529416</v>
      </c>
      <c r="L203" s="498">
        <f>+AVERAGE(L204:L205)</f>
        <v>0.24264705882352941</v>
      </c>
      <c r="M203" s="426">
        <f>+M204+M205</f>
        <v>0.24044117647058824</v>
      </c>
      <c r="N203" s="426">
        <f>+N204+N205</f>
        <v>0.31691176470588234</v>
      </c>
      <c r="O203" s="426"/>
      <c r="P203" s="427"/>
      <c r="Q203" s="433"/>
      <c r="R203" s="433"/>
      <c r="S203" s="433"/>
      <c r="T203" s="433"/>
      <c r="U203" s="981"/>
      <c r="V203" s="433"/>
      <c r="W203" s="433"/>
      <c r="X203" s="430"/>
      <c r="Y203" s="430"/>
      <c r="Z203" s="430"/>
      <c r="AA203" s="430"/>
      <c r="AB203" s="430"/>
      <c r="AC203" s="486">
        <f>+AVERAGE(AC204:AC205)</f>
        <v>1</v>
      </c>
      <c r="AD203" s="486">
        <f>+AVERAGE(AD204:AD205)</f>
        <v>1</v>
      </c>
      <c r="AE203" s="486">
        <f>+AVERAGE(AE204:AE205)</f>
        <v>0</v>
      </c>
      <c r="AF203" s="486">
        <f>+(AF204+AF205)*E203</f>
        <v>0.1</v>
      </c>
      <c r="AG203" s="505">
        <f>+(AG204+AG205)*E203</f>
        <v>0.1</v>
      </c>
      <c r="AH203" s="1033">
        <f>+(AH204+AH205)*E203</f>
        <v>0</v>
      </c>
      <c r="AI203" s="446">
        <f>+AVERAGE(AI204:AI205)</f>
        <v>0.24264705882352941</v>
      </c>
      <c r="AJ203" s="506">
        <v>0.57352941176470584</v>
      </c>
      <c r="AK203" s="506">
        <f>+AVERAGE(AK204:AK205)</f>
        <v>0.57352941176470584</v>
      </c>
      <c r="AL203" s="446">
        <f>+(AL204+AL205)*E203</f>
        <v>2.4044117647058827E-2</v>
      </c>
      <c r="AM203" s="498">
        <f>+(AM204+AM205)</f>
        <v>0.59558823529411775</v>
      </c>
      <c r="AN203" s="498">
        <f>+(AN204+AN205)</f>
        <v>0.59558823529411775</v>
      </c>
      <c r="AO203" s="172"/>
      <c r="AP203" s="400"/>
      <c r="AQ203" s="400"/>
      <c r="AR203" s="400"/>
      <c r="AS203" s="400"/>
      <c r="AT203" s="400"/>
      <c r="AU203" s="196"/>
      <c r="AV203" s="196"/>
    </row>
    <row r="204" spans="1:48" ht="135" customHeight="1" thickBot="1" x14ac:dyDescent="0.4">
      <c r="A204" s="264"/>
      <c r="B204" s="1430" t="s">
        <v>342</v>
      </c>
      <c r="C204" s="1430" t="s">
        <v>343</v>
      </c>
      <c r="D204" s="402" t="s">
        <v>297</v>
      </c>
      <c r="E204" s="431">
        <v>0.65</v>
      </c>
      <c r="F204" s="428">
        <v>17</v>
      </c>
      <c r="G204" s="429">
        <v>4</v>
      </c>
      <c r="H204" s="430">
        <v>6</v>
      </c>
      <c r="I204" s="430">
        <v>4</v>
      </c>
      <c r="J204" s="478">
        <f>+G204/F204</f>
        <v>0.23529411764705882</v>
      </c>
      <c r="K204" s="502">
        <f t="shared" si="174"/>
        <v>0.35294117647058826</v>
      </c>
      <c r="L204" s="503">
        <f t="shared" ref="L204:L205" si="185">+I204/F204</f>
        <v>0.23529411764705882</v>
      </c>
      <c r="M204" s="434">
        <f>+(G204/F204)*E204</f>
        <v>0.15294117647058825</v>
      </c>
      <c r="N204" s="434">
        <f>+(H204/F204)*E204</f>
        <v>0.22941176470588237</v>
      </c>
      <c r="O204" s="434"/>
      <c r="P204" s="429">
        <v>4</v>
      </c>
      <c r="Q204" s="484">
        <v>3</v>
      </c>
      <c r="R204" s="484">
        <v>4</v>
      </c>
      <c r="S204" s="484">
        <v>0</v>
      </c>
      <c r="T204" s="484">
        <v>0</v>
      </c>
      <c r="U204" s="484">
        <v>0</v>
      </c>
      <c r="V204" s="430">
        <f>+Q204+R204+S204+T204+U204</f>
        <v>7</v>
      </c>
      <c r="W204" s="430">
        <f>+V204+P204+AB204</f>
        <v>11</v>
      </c>
      <c r="X204" s="484">
        <v>0</v>
      </c>
      <c r="Y204" s="430"/>
      <c r="Z204" s="430"/>
      <c r="AA204" s="430"/>
      <c r="AB204" s="430">
        <f t="shared" si="177"/>
        <v>0</v>
      </c>
      <c r="AC204" s="478">
        <f>+(P204/G204)</f>
        <v>1</v>
      </c>
      <c r="AD204" s="464">
        <v>1</v>
      </c>
      <c r="AE204" s="464">
        <f t="shared" si="160"/>
        <v>0</v>
      </c>
      <c r="AF204" s="478">
        <f>+AC204*E204</f>
        <v>0.65</v>
      </c>
      <c r="AG204" s="502">
        <f t="shared" si="162"/>
        <v>0.65</v>
      </c>
      <c r="AH204" s="509">
        <f t="shared" si="170"/>
        <v>0</v>
      </c>
      <c r="AI204" s="502">
        <f>+P204/F204</f>
        <v>0.23529411764705882</v>
      </c>
      <c r="AJ204" s="509">
        <v>0.6470588235294118</v>
      </c>
      <c r="AK204" s="509">
        <f t="shared" si="178"/>
        <v>0.6470588235294118</v>
      </c>
      <c r="AL204" s="502">
        <f>+AI204*E204</f>
        <v>0.15294117647058825</v>
      </c>
      <c r="AM204" s="503">
        <f>+AJ204*E204</f>
        <v>0.42058823529411771</v>
      </c>
      <c r="AN204" s="1426">
        <f t="shared" si="158"/>
        <v>0.42058823529411771</v>
      </c>
      <c r="AO204" s="179" t="s">
        <v>1850</v>
      </c>
      <c r="AP204" s="642" t="s">
        <v>1892</v>
      </c>
      <c r="AQ204" s="642" t="s">
        <v>2264</v>
      </c>
      <c r="AR204" s="642" t="s">
        <v>2286</v>
      </c>
      <c r="AS204" s="680" t="s">
        <v>2401</v>
      </c>
      <c r="AT204" s="680" t="s">
        <v>2434</v>
      </c>
      <c r="AU204" s="680" t="s">
        <v>2487</v>
      </c>
      <c r="AV204" s="680" t="s">
        <v>1893</v>
      </c>
    </row>
    <row r="205" spans="1:48" ht="135" customHeight="1" thickBot="1" x14ac:dyDescent="0.4">
      <c r="A205" s="264"/>
      <c r="B205" s="1430" t="s">
        <v>344</v>
      </c>
      <c r="C205" s="1430" t="s">
        <v>345</v>
      </c>
      <c r="D205" s="402" t="s">
        <v>297</v>
      </c>
      <c r="E205" s="431">
        <v>0.35</v>
      </c>
      <c r="F205" s="428">
        <v>4</v>
      </c>
      <c r="G205" s="429">
        <v>1</v>
      </c>
      <c r="H205" s="430">
        <v>1</v>
      </c>
      <c r="I205" s="430">
        <v>1</v>
      </c>
      <c r="J205" s="431">
        <f>+G205/F205</f>
        <v>0.25</v>
      </c>
      <c r="K205" s="447">
        <f t="shared" si="174"/>
        <v>0.25</v>
      </c>
      <c r="L205" s="448">
        <f t="shared" si="185"/>
        <v>0.25</v>
      </c>
      <c r="M205" s="434">
        <f>+(G205/F205)*E205</f>
        <v>8.7499999999999994E-2</v>
      </c>
      <c r="N205" s="434">
        <f t="shared" si="182"/>
        <v>8.7499999999999994E-2</v>
      </c>
      <c r="O205" s="434"/>
      <c r="P205" s="429">
        <v>1</v>
      </c>
      <c r="Q205" s="484">
        <v>0</v>
      </c>
      <c r="R205" s="484">
        <v>1</v>
      </c>
      <c r="S205" s="484">
        <v>0</v>
      </c>
      <c r="T205" s="484">
        <v>0</v>
      </c>
      <c r="U205" s="484">
        <v>0</v>
      </c>
      <c r="V205" s="430">
        <f>+Q205+R205+S205+T205+U205</f>
        <v>1</v>
      </c>
      <c r="W205" s="430">
        <f>+V205+P205+AB205</f>
        <v>2</v>
      </c>
      <c r="X205" s="484">
        <v>0</v>
      </c>
      <c r="Y205" s="430"/>
      <c r="Z205" s="430"/>
      <c r="AA205" s="430"/>
      <c r="AB205" s="430">
        <f t="shared" si="177"/>
        <v>0</v>
      </c>
      <c r="AC205" s="478">
        <f>+(P205/G205)</f>
        <v>1</v>
      </c>
      <c r="AD205" s="464">
        <f t="shared" si="154"/>
        <v>1</v>
      </c>
      <c r="AE205" s="464">
        <f t="shared" si="160"/>
        <v>0</v>
      </c>
      <c r="AF205" s="478">
        <f>+AC205*E205</f>
        <v>0.35</v>
      </c>
      <c r="AG205" s="502">
        <f t="shared" si="162"/>
        <v>0.35</v>
      </c>
      <c r="AH205" s="504">
        <f t="shared" si="170"/>
        <v>0</v>
      </c>
      <c r="AI205" s="782">
        <f>+P205/F205</f>
        <v>0.25</v>
      </c>
      <c r="AJ205" s="504">
        <v>0.5</v>
      </c>
      <c r="AK205" s="504">
        <f t="shared" si="178"/>
        <v>0.5</v>
      </c>
      <c r="AL205" s="502">
        <f>+AI205*E205</f>
        <v>8.7499999999999994E-2</v>
      </c>
      <c r="AM205" s="503">
        <f>+AJ205*E205</f>
        <v>0.17499999999999999</v>
      </c>
      <c r="AN205" s="1426">
        <f t="shared" si="158"/>
        <v>0.17499999999999999</v>
      </c>
      <c r="AO205" s="179" t="s">
        <v>1850</v>
      </c>
      <c r="AP205" s="642" t="s">
        <v>1892</v>
      </c>
      <c r="AQ205" s="642" t="s">
        <v>2264</v>
      </c>
      <c r="AR205" s="642" t="s">
        <v>2286</v>
      </c>
      <c r="AS205" s="680" t="s">
        <v>2401</v>
      </c>
      <c r="AT205" s="680" t="s">
        <v>2434</v>
      </c>
      <c r="AU205" s="680" t="s">
        <v>2487</v>
      </c>
      <c r="AV205" s="680" t="s">
        <v>1893</v>
      </c>
    </row>
    <row r="206" spans="1:48" ht="135" customHeight="1" thickBot="1" x14ac:dyDescent="0.45">
      <c r="A206" s="264"/>
      <c r="B206" s="1535" t="s">
        <v>1628</v>
      </c>
      <c r="C206" s="1534"/>
      <c r="D206" s="401"/>
      <c r="E206" s="424">
        <v>0.05</v>
      </c>
      <c r="F206" s="428"/>
      <c r="G206" s="429"/>
      <c r="H206" s="430"/>
      <c r="I206" s="430"/>
      <c r="J206" s="426">
        <f>+AVERAGE(J207:J208)</f>
        <v>0.20833333333333331</v>
      </c>
      <c r="K206" s="446">
        <f>+AVERAGE(K207:K208)</f>
        <v>0.2361111111111111</v>
      </c>
      <c r="L206" s="498">
        <f>+AVERAGE(L207:L208)</f>
        <v>0.21666666666666667</v>
      </c>
      <c r="M206" s="426">
        <f>+M207+M208</f>
        <v>0.2</v>
      </c>
      <c r="N206" s="426">
        <f>+N207+N208</f>
        <v>0.23888888888888887</v>
      </c>
      <c r="O206" s="426"/>
      <c r="P206" s="427"/>
      <c r="Q206" s="433"/>
      <c r="R206" s="433"/>
      <c r="S206" s="433"/>
      <c r="T206" s="433"/>
      <c r="U206" s="981"/>
      <c r="V206" s="433"/>
      <c r="W206" s="433"/>
      <c r="X206" s="430"/>
      <c r="Y206" s="430"/>
      <c r="Z206" s="430"/>
      <c r="AA206" s="430"/>
      <c r="AB206" s="430"/>
      <c r="AC206" s="486">
        <f>+AVERAGE(AC207:AC208)</f>
        <v>0.58611111111111103</v>
      </c>
      <c r="AD206" s="486">
        <f>+AVERAGE(AD207:AD208)</f>
        <v>1</v>
      </c>
      <c r="AE206" s="486">
        <f>+AVERAGE(AE207:AE208)</f>
        <v>8.2582582582582581E-2</v>
      </c>
      <c r="AF206" s="486">
        <f>+(AF207+AF208)*E206</f>
        <v>3.2944444444444443E-2</v>
      </c>
      <c r="AG206" s="505">
        <f>+(AG207+AG208)*E206</f>
        <v>0.05</v>
      </c>
      <c r="AH206" s="1033">
        <f>+(AH207+AH208)*E206</f>
        <v>3.8438438438438446E-3</v>
      </c>
      <c r="AI206" s="1028">
        <f>+AVERAGE(AI207:AI208)</f>
        <v>0.10694444444444444</v>
      </c>
      <c r="AJ206" s="506">
        <v>0.58472222222222225</v>
      </c>
      <c r="AK206" s="506">
        <f>+AVERAGE(AK207:AK208)</f>
        <v>0.6</v>
      </c>
      <c r="AL206" s="446">
        <f>+(AL207+AL208)*E206</f>
        <v>5.8611111111111112E-3</v>
      </c>
      <c r="AM206" s="498">
        <f>+(AM207+AM208)</f>
        <v>0.55444444444444452</v>
      </c>
      <c r="AN206" s="498">
        <f>+(AN207+AN208)</f>
        <v>0.57000000000000006</v>
      </c>
      <c r="AO206" s="172"/>
      <c r="AP206" s="400"/>
      <c r="AQ206" s="400"/>
      <c r="AR206" s="400"/>
      <c r="AS206" s="400"/>
      <c r="AT206" s="400"/>
      <c r="AU206" s="196"/>
      <c r="AV206" s="196"/>
    </row>
    <row r="207" spans="1:48" ht="135" customHeight="1" thickBot="1" x14ac:dyDescent="0.4">
      <c r="A207" s="264"/>
      <c r="B207" s="1430" t="s">
        <v>346</v>
      </c>
      <c r="C207" s="1430" t="s">
        <v>347</v>
      </c>
      <c r="D207" s="402" t="s">
        <v>297</v>
      </c>
      <c r="E207" s="310">
        <v>0.6</v>
      </c>
      <c r="F207" s="428">
        <v>120</v>
      </c>
      <c r="G207" s="429">
        <v>20</v>
      </c>
      <c r="H207" s="430">
        <v>30</v>
      </c>
      <c r="I207" s="430">
        <v>37</v>
      </c>
      <c r="J207" s="431">
        <f>+G207/F207</f>
        <v>0.16666666666666666</v>
      </c>
      <c r="K207" s="447">
        <f t="shared" si="174"/>
        <v>0.25</v>
      </c>
      <c r="L207" s="448">
        <f t="shared" ref="L207:L208" si="186">+I207/F207</f>
        <v>0.30833333333333335</v>
      </c>
      <c r="M207" s="434">
        <f>+(G207/F207)*E207</f>
        <v>9.9999999999999992E-2</v>
      </c>
      <c r="N207" s="434">
        <f t="shared" si="182"/>
        <v>0.15</v>
      </c>
      <c r="O207" s="434"/>
      <c r="P207" s="937">
        <v>19</v>
      </c>
      <c r="Q207" s="484">
        <v>8</v>
      </c>
      <c r="R207" s="484">
        <v>10</v>
      </c>
      <c r="S207" s="484">
        <v>11</v>
      </c>
      <c r="T207" s="484">
        <v>1</v>
      </c>
      <c r="U207" s="484">
        <v>3</v>
      </c>
      <c r="V207" s="430">
        <f>+Q207+R207+S207+T207+U207</f>
        <v>33</v>
      </c>
      <c r="W207" s="430">
        <f>+V207+P207+AB207</f>
        <v>54</v>
      </c>
      <c r="X207" s="484">
        <v>2</v>
      </c>
      <c r="Y207" s="430"/>
      <c r="Z207" s="430"/>
      <c r="AA207" s="430"/>
      <c r="AB207" s="430">
        <f t="shared" si="177"/>
        <v>2</v>
      </c>
      <c r="AC207" s="478">
        <f>+(P207/G207)</f>
        <v>0.95</v>
      </c>
      <c r="AD207" s="464">
        <v>1</v>
      </c>
      <c r="AE207" s="464">
        <f t="shared" si="160"/>
        <v>5.4054054054054057E-2</v>
      </c>
      <c r="AF207" s="478">
        <f>+AC207*E207</f>
        <v>0.56999999999999995</v>
      </c>
      <c r="AG207" s="502">
        <f>+AD207*E207</f>
        <v>0.6</v>
      </c>
      <c r="AH207" s="509">
        <f t="shared" si="170"/>
        <v>3.2432432432432434E-2</v>
      </c>
      <c r="AI207" s="855">
        <f>+P207/F207</f>
        <v>0.15833333333333333</v>
      </c>
      <c r="AJ207" s="509">
        <v>0.43333333333333335</v>
      </c>
      <c r="AK207" s="509">
        <f t="shared" si="178"/>
        <v>0.45</v>
      </c>
      <c r="AL207" s="502">
        <f>+AI207*E207</f>
        <v>9.4999999999999987E-2</v>
      </c>
      <c r="AM207" s="503">
        <f>+AJ207*E207</f>
        <v>0.26</v>
      </c>
      <c r="AN207" s="1426">
        <f t="shared" si="158"/>
        <v>0.27</v>
      </c>
      <c r="AO207" s="179" t="s">
        <v>1850</v>
      </c>
      <c r="AP207" s="642" t="s">
        <v>1892</v>
      </c>
      <c r="AQ207" s="642" t="s">
        <v>2264</v>
      </c>
      <c r="AR207" s="642" t="s">
        <v>2286</v>
      </c>
      <c r="AS207" s="680" t="s">
        <v>2401</v>
      </c>
      <c r="AT207" s="602" t="s">
        <v>2461</v>
      </c>
      <c r="AU207" s="680" t="s">
        <v>2487</v>
      </c>
      <c r="AV207" s="680" t="s">
        <v>1893</v>
      </c>
    </row>
    <row r="208" spans="1:48" ht="135" customHeight="1" thickBot="1" x14ac:dyDescent="0.4">
      <c r="A208" s="264"/>
      <c r="B208" s="1430" t="s">
        <v>348</v>
      </c>
      <c r="C208" s="1430" t="s">
        <v>349</v>
      </c>
      <c r="D208" s="402" t="s">
        <v>297</v>
      </c>
      <c r="E208" s="310">
        <v>0.4</v>
      </c>
      <c r="F208" s="428">
        <v>72</v>
      </c>
      <c r="G208" s="429">
        <v>18</v>
      </c>
      <c r="H208" s="430">
        <v>16</v>
      </c>
      <c r="I208" s="430">
        <v>9</v>
      </c>
      <c r="J208" s="431">
        <f>+G208/F208</f>
        <v>0.25</v>
      </c>
      <c r="K208" s="447">
        <f t="shared" si="174"/>
        <v>0.22222222222222221</v>
      </c>
      <c r="L208" s="448">
        <f t="shared" si="186"/>
        <v>0.125</v>
      </c>
      <c r="M208" s="434">
        <f>+(G208/F208)*E208</f>
        <v>0.1</v>
      </c>
      <c r="N208" s="434">
        <f t="shared" si="182"/>
        <v>8.8888888888888892E-2</v>
      </c>
      <c r="O208" s="434"/>
      <c r="P208" s="937">
        <v>4</v>
      </c>
      <c r="Q208" s="484">
        <v>4</v>
      </c>
      <c r="R208" s="484">
        <v>9</v>
      </c>
      <c r="S208" s="484">
        <v>4</v>
      </c>
      <c r="T208" s="484">
        <v>16</v>
      </c>
      <c r="U208" s="484"/>
      <c r="V208" s="430">
        <f>+Q208+R208+S208+T208+U208</f>
        <v>33</v>
      </c>
      <c r="W208" s="430">
        <f>+V208+P208+16+AB208</f>
        <v>54</v>
      </c>
      <c r="X208" s="484">
        <v>1</v>
      </c>
      <c r="Y208" s="430"/>
      <c r="Z208" s="430"/>
      <c r="AA208" s="430"/>
      <c r="AB208" s="430">
        <f t="shared" si="177"/>
        <v>1</v>
      </c>
      <c r="AC208" s="478">
        <f>+(P208/G208)</f>
        <v>0.22222222222222221</v>
      </c>
      <c r="AD208" s="464">
        <v>1</v>
      </c>
      <c r="AE208" s="464">
        <f t="shared" si="160"/>
        <v>0.1111111111111111</v>
      </c>
      <c r="AF208" s="478">
        <f>+AC208*E208</f>
        <v>8.8888888888888892E-2</v>
      </c>
      <c r="AG208" s="502">
        <f t="shared" si="162"/>
        <v>0.4</v>
      </c>
      <c r="AH208" s="504">
        <f t="shared" si="170"/>
        <v>4.4444444444444446E-2</v>
      </c>
      <c r="AI208" s="502">
        <f>+P208/F208</f>
        <v>5.5555555555555552E-2</v>
      </c>
      <c r="AJ208" s="504">
        <v>0.73611111111111116</v>
      </c>
      <c r="AK208" s="504">
        <f t="shared" si="178"/>
        <v>0.75</v>
      </c>
      <c r="AL208" s="502">
        <f>+AI208*E208</f>
        <v>2.2222222222222223E-2</v>
      </c>
      <c r="AM208" s="503">
        <f>+AJ208*E208</f>
        <v>0.29444444444444445</v>
      </c>
      <c r="AN208" s="1426">
        <f t="shared" si="158"/>
        <v>0.30000000000000004</v>
      </c>
      <c r="AO208" s="179" t="s">
        <v>1850</v>
      </c>
      <c r="AP208" s="642" t="s">
        <v>1892</v>
      </c>
      <c r="AQ208" s="642" t="s">
        <v>2264</v>
      </c>
      <c r="AR208" s="642" t="s">
        <v>2286</v>
      </c>
      <c r="AS208" s="680" t="s">
        <v>2401</v>
      </c>
      <c r="AT208" s="680" t="s">
        <v>2434</v>
      </c>
      <c r="AU208" s="680" t="s">
        <v>2487</v>
      </c>
      <c r="AV208" s="680" t="s">
        <v>1893</v>
      </c>
    </row>
    <row r="209" spans="1:48" ht="135" customHeight="1" thickBot="1" x14ac:dyDescent="0.45">
      <c r="A209" s="264"/>
      <c r="B209" s="1535" t="s">
        <v>1627</v>
      </c>
      <c r="C209" s="1534"/>
      <c r="D209" s="401"/>
      <c r="E209" s="424">
        <v>0.1</v>
      </c>
      <c r="F209" s="428"/>
      <c r="G209" s="429"/>
      <c r="H209" s="430"/>
      <c r="I209" s="430"/>
      <c r="J209" s="426">
        <f>+AVERAGE(J210:J211)</f>
        <v>0.14262820512820512</v>
      </c>
      <c r="K209" s="446">
        <f>+AVERAGE(K210:K211)</f>
        <v>0.22275641025641027</v>
      </c>
      <c r="L209" s="498">
        <f>+AVERAGE(L210:L211)</f>
        <v>0.625</v>
      </c>
      <c r="M209" s="426">
        <f>+M210+M211</f>
        <v>0.15576923076923077</v>
      </c>
      <c r="N209" s="426"/>
      <c r="O209" s="426"/>
      <c r="P209" s="427"/>
      <c r="Q209" s="433"/>
      <c r="R209" s="433"/>
      <c r="S209" s="433"/>
      <c r="T209" s="433"/>
      <c r="U209" s="981"/>
      <c r="V209" s="433"/>
      <c r="W209" s="433"/>
      <c r="X209" s="430"/>
      <c r="Y209" s="430"/>
      <c r="Z209" s="430"/>
      <c r="AA209" s="430"/>
      <c r="AB209" s="430"/>
      <c r="AC209" s="486">
        <f>+AVERAGE(AC210:AC211)</f>
        <v>1</v>
      </c>
      <c r="AD209" s="486">
        <f>+AVERAGE(AD210:AD211)</f>
        <v>0.9642857142857143</v>
      </c>
      <c r="AE209" s="486">
        <f>+AVERAGE(AE210:AE211)</f>
        <v>0.5</v>
      </c>
      <c r="AF209" s="486">
        <f>+(AF210+AF211)*E209</f>
        <v>0.1</v>
      </c>
      <c r="AG209" s="505">
        <f>+(AG210+AG211)*E209</f>
        <v>0</v>
      </c>
      <c r="AH209" s="1033">
        <f>+(AH210+AH211)*E209</f>
        <v>4.0000000000000008E-2</v>
      </c>
      <c r="AI209" s="446">
        <f>+AVERAGE(AI210:AI211)</f>
        <v>0.24038461538461539</v>
      </c>
      <c r="AJ209" s="506">
        <v>0.76041666666666674</v>
      </c>
      <c r="AK209" s="506">
        <f>+AVERAGE(AK210:AK211)</f>
        <v>0.76041666666666674</v>
      </c>
      <c r="AL209" s="446">
        <f>+(AL210+AL211)*E209</f>
        <v>2.4230769230769233E-2</v>
      </c>
      <c r="AM209" s="498">
        <f>+(AM210+AM211)</f>
        <v>0.71250000000000002</v>
      </c>
      <c r="AN209" s="498">
        <f>+(AN210+AN211)</f>
        <v>0.71250000000000002</v>
      </c>
      <c r="AO209" s="172"/>
      <c r="AP209" s="400"/>
      <c r="AQ209" s="400"/>
      <c r="AR209" s="777"/>
      <c r="AS209" s="400"/>
      <c r="AT209" s="400"/>
      <c r="AU209" s="196"/>
      <c r="AV209" s="196"/>
    </row>
    <row r="210" spans="1:48" ht="135" customHeight="1" thickBot="1" x14ac:dyDescent="0.4">
      <c r="A210" s="264"/>
      <c r="B210" s="409" t="s">
        <v>350</v>
      </c>
      <c r="C210" s="409" t="s">
        <v>351</v>
      </c>
      <c r="D210" s="406" t="s">
        <v>352</v>
      </c>
      <c r="E210" s="336">
        <v>0.4</v>
      </c>
      <c r="F210" s="428">
        <v>13</v>
      </c>
      <c r="G210" s="429">
        <v>1</v>
      </c>
      <c r="H210" s="430">
        <v>2</v>
      </c>
      <c r="I210" s="430">
        <v>13</v>
      </c>
      <c r="J210" s="431">
        <f>+G210/F210</f>
        <v>7.6923076923076927E-2</v>
      </c>
      <c r="K210" s="447">
        <f t="shared" si="174"/>
        <v>0.15384615384615385</v>
      </c>
      <c r="L210" s="448">
        <f t="shared" ref="L210:L211" si="187">+I210/F210</f>
        <v>1</v>
      </c>
      <c r="M210" s="434">
        <f>+(G210/F210)*E210</f>
        <v>3.0769230769230771E-2</v>
      </c>
      <c r="N210" s="434"/>
      <c r="O210" s="434"/>
      <c r="P210" s="429">
        <v>3</v>
      </c>
      <c r="Q210" s="484">
        <v>0</v>
      </c>
      <c r="R210" s="484">
        <v>13</v>
      </c>
      <c r="S210" s="484">
        <v>0</v>
      </c>
      <c r="T210" s="484">
        <v>0</v>
      </c>
      <c r="U210" s="484">
        <v>0</v>
      </c>
      <c r="V210" s="430">
        <f>+Q210+R210+S210+T210+U210</f>
        <v>13</v>
      </c>
      <c r="W210" s="430">
        <f>+V210+P210+AB210</f>
        <v>29</v>
      </c>
      <c r="X210" s="484">
        <v>13</v>
      </c>
      <c r="Y210" s="430"/>
      <c r="Z210" s="430"/>
      <c r="AA210" s="430"/>
      <c r="AB210" s="430">
        <f t="shared" si="177"/>
        <v>13</v>
      </c>
      <c r="AC210" s="478">
        <v>1</v>
      </c>
      <c r="AD210" s="464">
        <v>1</v>
      </c>
      <c r="AE210" s="464">
        <f t="shared" si="160"/>
        <v>1</v>
      </c>
      <c r="AF210" s="478">
        <f>+AC210*E210</f>
        <v>0.4</v>
      </c>
      <c r="AG210" s="502"/>
      <c r="AH210" s="509">
        <f t="shared" si="170"/>
        <v>0.4</v>
      </c>
      <c r="AI210" s="502">
        <f>+P210/F210</f>
        <v>0.23076923076923078</v>
      </c>
      <c r="AJ210" s="509">
        <v>1</v>
      </c>
      <c r="AK210" s="509">
        <v>1</v>
      </c>
      <c r="AL210" s="502">
        <f>+AI210*E210</f>
        <v>9.2307692307692313E-2</v>
      </c>
      <c r="AM210" s="503">
        <f>+AJ210*E210</f>
        <v>0.4</v>
      </c>
      <c r="AN210" s="1426">
        <f t="shared" si="158"/>
        <v>0.4</v>
      </c>
      <c r="AO210" s="179" t="s">
        <v>1850</v>
      </c>
      <c r="AP210" s="643" t="s">
        <v>1964</v>
      </c>
      <c r="AQ210" s="835" t="s">
        <v>2264</v>
      </c>
      <c r="AR210" s="602" t="s">
        <v>2317</v>
      </c>
      <c r="AS210" s="602" t="s">
        <v>2389</v>
      </c>
      <c r="AT210" s="602" t="s">
        <v>1865</v>
      </c>
      <c r="AU210" s="680" t="s">
        <v>2487</v>
      </c>
      <c r="AV210" s="602" t="s">
        <v>1865</v>
      </c>
    </row>
    <row r="211" spans="1:48" ht="135" customHeight="1" thickBot="1" x14ac:dyDescent="0.4">
      <c r="A211" s="264"/>
      <c r="B211" s="1427" t="s">
        <v>353</v>
      </c>
      <c r="C211" s="1427" t="s">
        <v>354</v>
      </c>
      <c r="D211" s="406" t="s">
        <v>352</v>
      </c>
      <c r="E211" s="336">
        <v>0.6</v>
      </c>
      <c r="F211" s="428">
        <v>48</v>
      </c>
      <c r="G211" s="429">
        <v>10</v>
      </c>
      <c r="H211" s="430">
        <v>14</v>
      </c>
      <c r="I211" s="430">
        <v>12</v>
      </c>
      <c r="J211" s="431">
        <f>+G211/F211</f>
        <v>0.20833333333333334</v>
      </c>
      <c r="K211" s="447">
        <f t="shared" si="174"/>
        <v>0.29166666666666669</v>
      </c>
      <c r="L211" s="453">
        <f t="shared" si="187"/>
        <v>0.25</v>
      </c>
      <c r="M211" s="434">
        <f>+(G211/F211)*E211</f>
        <v>0.125</v>
      </c>
      <c r="N211" s="434"/>
      <c r="O211" s="434"/>
      <c r="P211" s="429">
        <v>12</v>
      </c>
      <c r="Q211" s="484">
        <v>0</v>
      </c>
      <c r="R211" s="484">
        <v>0</v>
      </c>
      <c r="S211" s="484">
        <v>9</v>
      </c>
      <c r="T211" s="484">
        <v>0</v>
      </c>
      <c r="U211" s="484">
        <v>4</v>
      </c>
      <c r="V211" s="430">
        <f>+Q211+R211+S211+T211+U211</f>
        <v>13</v>
      </c>
      <c r="W211" s="430">
        <f>+V211+P211+AB211</f>
        <v>25</v>
      </c>
      <c r="X211" s="484">
        <v>0</v>
      </c>
      <c r="Y211" s="430"/>
      <c r="Z211" s="430"/>
      <c r="AA211" s="430"/>
      <c r="AB211" s="430">
        <f t="shared" si="177"/>
        <v>0</v>
      </c>
      <c r="AC211" s="478">
        <v>1</v>
      </c>
      <c r="AD211" s="464">
        <f t="shared" si="154"/>
        <v>0.9285714285714286</v>
      </c>
      <c r="AE211" s="464">
        <f t="shared" si="160"/>
        <v>0</v>
      </c>
      <c r="AF211" s="478">
        <f>+AC211*E211</f>
        <v>0.6</v>
      </c>
      <c r="AG211" s="502"/>
      <c r="AH211" s="1004">
        <f t="shared" si="170"/>
        <v>0</v>
      </c>
      <c r="AI211" s="502">
        <f>+P211/F211</f>
        <v>0.25</v>
      </c>
      <c r="AJ211" s="1004">
        <v>0.52083333333333337</v>
      </c>
      <c r="AK211" s="1004">
        <f t="shared" si="178"/>
        <v>0.52083333333333337</v>
      </c>
      <c r="AL211" s="502">
        <f>+AI211*E211</f>
        <v>0.15</v>
      </c>
      <c r="AM211" s="1004">
        <f>+AJ211*E211</f>
        <v>0.3125</v>
      </c>
      <c r="AN211" s="1437">
        <f t="shared" si="158"/>
        <v>0.3125</v>
      </c>
      <c r="AO211" s="179" t="s">
        <v>1850</v>
      </c>
      <c r="AP211" s="643" t="s">
        <v>1964</v>
      </c>
      <c r="AQ211" s="642" t="s">
        <v>2264</v>
      </c>
      <c r="AR211" s="602" t="s">
        <v>2317</v>
      </c>
      <c r="AS211" s="680" t="s">
        <v>2390</v>
      </c>
      <c r="AT211" s="680" t="s">
        <v>2434</v>
      </c>
      <c r="AU211" s="680" t="s">
        <v>2487</v>
      </c>
      <c r="AV211" s="680" t="s">
        <v>1893</v>
      </c>
    </row>
    <row r="212" spans="1:48" ht="21" customHeight="1" thickBot="1" x14ac:dyDescent="0.45">
      <c r="A212" s="151"/>
      <c r="B212" s="299"/>
      <c r="C212" s="299"/>
      <c r="D212" s="151"/>
      <c r="E212" s="479"/>
      <c r="F212" s="479"/>
      <c r="G212" s="299"/>
      <c r="H212" s="299"/>
      <c r="I212" s="299"/>
      <c r="J212" s="299"/>
      <c r="K212" s="299"/>
      <c r="L212" s="301"/>
      <c r="M212" s="299"/>
      <c r="N212" s="299"/>
      <c r="O212" s="299"/>
      <c r="P212" s="299"/>
      <c r="Q212" s="299"/>
      <c r="R212" s="299"/>
      <c r="S212" s="299"/>
      <c r="T212" s="299"/>
      <c r="U212" s="299"/>
      <c r="V212" s="299"/>
      <c r="W212" s="299"/>
      <c r="X212" s="299"/>
      <c r="Y212" s="299"/>
      <c r="Z212" s="299"/>
      <c r="AA212" s="299"/>
      <c r="AB212" s="299"/>
      <c r="AC212" s="299"/>
      <c r="AD212" s="299"/>
      <c r="AE212" s="299"/>
      <c r="AF212" s="299"/>
      <c r="AG212" s="299"/>
      <c r="AH212" s="301"/>
      <c r="AI212" s="299"/>
      <c r="AJ212" s="301"/>
      <c r="AK212" s="301"/>
      <c r="AL212" s="299"/>
      <c r="AM212" s="301"/>
      <c r="AN212" s="301"/>
      <c r="AO212" s="151"/>
      <c r="AP212" s="151"/>
      <c r="AQ212" s="151"/>
      <c r="AR212" s="151"/>
      <c r="AS212" s="151"/>
      <c r="AT212" s="151"/>
      <c r="AU212" s="151"/>
      <c r="AV212" s="151"/>
    </row>
    <row r="213" spans="1:48" ht="21" customHeight="1" thickBot="1" x14ac:dyDescent="0.45">
      <c r="A213" s="151"/>
      <c r="B213" s="299"/>
      <c r="C213" s="299"/>
      <c r="D213" s="151"/>
      <c r="E213" s="479"/>
      <c r="F213" s="47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299"/>
      <c r="AE213" s="299"/>
      <c r="AF213" s="299"/>
      <c r="AG213" s="299"/>
      <c r="AH213" s="299"/>
      <c r="AI213" s="299"/>
      <c r="AJ213" s="299"/>
      <c r="AK213" s="299"/>
      <c r="AL213" s="299"/>
      <c r="AM213" s="299"/>
      <c r="AN213" s="299"/>
      <c r="AO213" s="151"/>
      <c r="AP213" s="151"/>
      <c r="AQ213" s="151"/>
      <c r="AR213" s="151"/>
      <c r="AS213" s="151"/>
      <c r="AT213" s="151"/>
      <c r="AU213" s="151"/>
      <c r="AV213" s="151"/>
    </row>
    <row r="214" spans="1:48" ht="21" customHeight="1" thickBot="1" x14ac:dyDescent="0.45">
      <c r="A214" s="151"/>
      <c r="B214" s="410"/>
      <c r="C214" s="299"/>
      <c r="D214" s="151"/>
      <c r="E214" s="479"/>
      <c r="F214" s="479"/>
      <c r="G214" s="299"/>
      <c r="H214" s="299"/>
      <c r="I214" s="299"/>
      <c r="J214" s="299"/>
      <c r="K214" s="299"/>
      <c r="L214" s="299"/>
      <c r="M214" s="299"/>
      <c r="N214" s="299"/>
      <c r="O214" s="299"/>
      <c r="P214" s="299"/>
      <c r="Q214" s="299"/>
      <c r="R214" s="299"/>
      <c r="S214" s="299"/>
      <c r="T214" s="299"/>
      <c r="U214" s="299"/>
      <c r="V214" s="299"/>
      <c r="W214" s="299"/>
      <c r="X214" s="299"/>
      <c r="Y214" s="299"/>
      <c r="Z214" s="299"/>
      <c r="AA214" s="299"/>
      <c r="AB214" s="299"/>
      <c r="AC214" s="299"/>
      <c r="AD214" s="299"/>
      <c r="AE214" s="299"/>
      <c r="AF214" s="299"/>
      <c r="AG214" s="299"/>
      <c r="AH214" s="299"/>
      <c r="AI214" s="299"/>
      <c r="AJ214" s="299"/>
      <c r="AK214" s="299"/>
      <c r="AL214" s="299"/>
      <c r="AM214" s="299"/>
      <c r="AN214" s="299"/>
      <c r="AO214" s="151"/>
      <c r="AP214" s="151"/>
      <c r="AQ214" s="151"/>
      <c r="AR214" s="151"/>
      <c r="AS214" s="151"/>
      <c r="AT214" s="151"/>
      <c r="AU214" s="151"/>
      <c r="AV214" s="151"/>
    </row>
    <row r="215" spans="1:48" ht="21" customHeight="1" thickBot="1" x14ac:dyDescent="0.45">
      <c r="A215" s="151"/>
      <c r="B215" s="299"/>
      <c r="C215" s="299"/>
      <c r="D215" s="151"/>
      <c r="E215" s="479"/>
      <c r="F215" s="479"/>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299"/>
      <c r="AE215" s="299"/>
      <c r="AF215" s="299"/>
      <c r="AG215" s="299"/>
      <c r="AH215" s="299"/>
      <c r="AI215" s="299"/>
      <c r="AJ215" s="299"/>
      <c r="AK215" s="299"/>
      <c r="AL215" s="299"/>
      <c r="AM215" s="299"/>
      <c r="AN215" s="299"/>
      <c r="AO215" s="151"/>
      <c r="AP215" s="151"/>
      <c r="AQ215" s="151"/>
      <c r="AR215" s="151"/>
      <c r="AS215" s="151"/>
      <c r="AT215" s="151"/>
      <c r="AU215" s="151"/>
      <c r="AV215" s="151"/>
    </row>
    <row r="216" spans="1:48" ht="21" customHeight="1" thickBot="1" x14ac:dyDescent="0.45">
      <c r="A216" s="151"/>
      <c r="B216" s="299"/>
      <c r="C216" s="299"/>
      <c r="D216" s="151"/>
      <c r="E216" s="479"/>
      <c r="F216" s="47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299"/>
      <c r="AF216" s="299"/>
      <c r="AG216" s="299"/>
      <c r="AH216" s="299"/>
      <c r="AI216" s="299"/>
      <c r="AJ216" s="299"/>
      <c r="AK216" s="299"/>
      <c r="AL216" s="299"/>
      <c r="AM216" s="299"/>
      <c r="AN216" s="299"/>
      <c r="AO216" s="151"/>
      <c r="AP216" s="151"/>
      <c r="AQ216" s="151"/>
      <c r="AR216" s="151"/>
      <c r="AS216" s="151"/>
      <c r="AT216" s="151"/>
      <c r="AU216" s="151"/>
      <c r="AV216" s="151"/>
    </row>
    <row r="217" spans="1:48" ht="21" customHeight="1" thickBot="1" x14ac:dyDescent="0.45">
      <c r="A217" s="151"/>
      <c r="B217" s="299"/>
      <c r="C217" s="299"/>
      <c r="D217" s="151"/>
      <c r="E217" s="479"/>
      <c r="F217" s="479"/>
      <c r="G217" s="299"/>
      <c r="H217" s="299"/>
      <c r="I217" s="299"/>
      <c r="J217" s="299"/>
      <c r="K217" s="299"/>
      <c r="L217" s="299"/>
      <c r="M217" s="299"/>
      <c r="N217" s="299"/>
      <c r="O217" s="299"/>
      <c r="P217" s="299"/>
      <c r="Q217" s="299"/>
      <c r="R217" s="299"/>
      <c r="S217" s="299"/>
      <c r="T217" s="299"/>
      <c r="U217" s="299"/>
      <c r="V217" s="299"/>
      <c r="W217" s="299"/>
      <c r="X217" s="299"/>
      <c r="Y217" s="299"/>
      <c r="Z217" s="299"/>
      <c r="AA217" s="299"/>
      <c r="AB217" s="299"/>
      <c r="AC217" s="299"/>
      <c r="AD217" s="299"/>
      <c r="AE217" s="299"/>
      <c r="AF217" s="299"/>
      <c r="AG217" s="299"/>
      <c r="AH217" s="299"/>
      <c r="AI217" s="299"/>
      <c r="AJ217" s="299"/>
      <c r="AK217" s="299"/>
      <c r="AL217" s="299"/>
      <c r="AM217" s="299"/>
      <c r="AN217" s="299"/>
      <c r="AO217" s="151"/>
      <c r="AP217" s="151"/>
      <c r="AQ217" s="151"/>
      <c r="AR217" s="151"/>
      <c r="AS217" s="151"/>
      <c r="AT217" s="151"/>
      <c r="AU217" s="151"/>
      <c r="AV217" s="151"/>
    </row>
    <row r="218" spans="1:48" ht="21" customHeight="1" thickBot="1" x14ac:dyDescent="0.45">
      <c r="A218" s="151"/>
      <c r="B218" s="299"/>
      <c r="C218" s="299"/>
      <c r="D218" s="151"/>
      <c r="E218" s="479"/>
      <c r="F218" s="47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299"/>
      <c r="AE218" s="299"/>
      <c r="AF218" s="299"/>
      <c r="AG218" s="299"/>
      <c r="AH218" s="299"/>
      <c r="AI218" s="299"/>
      <c r="AJ218" s="299"/>
      <c r="AK218" s="299"/>
      <c r="AL218" s="299"/>
      <c r="AM218" s="299"/>
      <c r="AN218" s="299"/>
      <c r="AO218" s="151"/>
      <c r="AP218" s="151"/>
      <c r="AQ218" s="151"/>
      <c r="AR218" s="151"/>
      <c r="AS218" s="151"/>
      <c r="AT218" s="151"/>
      <c r="AU218" s="151"/>
      <c r="AV218" s="151"/>
    </row>
    <row r="219" spans="1:48" ht="21" customHeight="1" thickBot="1" x14ac:dyDescent="0.45">
      <c r="A219" s="151"/>
      <c r="B219" s="299"/>
      <c r="C219" s="299"/>
      <c r="D219" s="151"/>
      <c r="E219" s="479"/>
      <c r="F219" s="47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299"/>
      <c r="AE219" s="299"/>
      <c r="AF219" s="299"/>
      <c r="AG219" s="299"/>
      <c r="AH219" s="299"/>
      <c r="AI219" s="299"/>
      <c r="AJ219" s="299"/>
      <c r="AK219" s="299"/>
      <c r="AL219" s="299"/>
      <c r="AM219" s="299"/>
      <c r="AN219" s="299"/>
      <c r="AO219" s="151"/>
      <c r="AP219" s="151"/>
      <c r="AQ219" s="151"/>
      <c r="AR219" s="151"/>
      <c r="AS219" s="151"/>
      <c r="AT219" s="151"/>
      <c r="AU219" s="151"/>
      <c r="AV219" s="151"/>
    </row>
    <row r="220" spans="1:48" ht="21" customHeight="1" thickBot="1" x14ac:dyDescent="0.45">
      <c r="A220" s="151"/>
      <c r="B220" s="299"/>
      <c r="C220" s="299"/>
      <c r="D220" s="151"/>
      <c r="E220" s="479"/>
      <c r="F220" s="47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299"/>
      <c r="AE220" s="299"/>
      <c r="AF220" s="299"/>
      <c r="AG220" s="299"/>
      <c r="AH220" s="299"/>
      <c r="AI220" s="299"/>
      <c r="AJ220" s="299"/>
      <c r="AK220" s="299"/>
      <c r="AL220" s="299"/>
      <c r="AM220" s="299"/>
      <c r="AN220" s="299"/>
      <c r="AO220" s="151"/>
      <c r="AP220" s="151"/>
      <c r="AQ220" s="151"/>
      <c r="AR220" s="151"/>
      <c r="AS220" s="151"/>
      <c r="AT220" s="151"/>
      <c r="AU220" s="151"/>
      <c r="AV220" s="151"/>
    </row>
    <row r="221" spans="1:48" ht="21" customHeight="1" thickBot="1" x14ac:dyDescent="0.45">
      <c r="A221" s="151"/>
      <c r="B221" s="299"/>
      <c r="C221" s="299"/>
      <c r="D221" s="151"/>
      <c r="E221" s="479"/>
      <c r="F221" s="47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299"/>
      <c r="AE221" s="299"/>
      <c r="AF221" s="299"/>
      <c r="AG221" s="299"/>
      <c r="AH221" s="299"/>
      <c r="AI221" s="299"/>
      <c r="AJ221" s="299"/>
      <c r="AK221" s="299"/>
      <c r="AL221" s="299"/>
      <c r="AM221" s="299"/>
      <c r="AN221" s="299"/>
      <c r="AO221" s="151"/>
      <c r="AP221" s="151"/>
      <c r="AQ221" s="151"/>
      <c r="AR221" s="151"/>
      <c r="AS221" s="151"/>
      <c r="AT221" s="151"/>
      <c r="AU221" s="151"/>
      <c r="AV221" s="151"/>
    </row>
    <row r="222" spans="1:48" ht="21" customHeight="1" thickBot="1" x14ac:dyDescent="0.45">
      <c r="A222" s="151"/>
      <c r="B222" s="299"/>
      <c r="C222" s="299"/>
      <c r="D222" s="151"/>
      <c r="E222" s="479"/>
      <c r="F222" s="47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151"/>
      <c r="AP222" s="151"/>
      <c r="AQ222" s="151"/>
      <c r="AR222" s="151"/>
      <c r="AS222" s="151"/>
      <c r="AT222" s="151"/>
      <c r="AU222" s="151"/>
      <c r="AV222" s="151"/>
    </row>
    <row r="223" spans="1:48" ht="21" customHeight="1" thickBot="1" x14ac:dyDescent="0.45">
      <c r="A223" s="151"/>
      <c r="B223" s="299"/>
      <c r="C223" s="299"/>
      <c r="D223" s="151"/>
      <c r="E223" s="479"/>
      <c r="F223" s="479"/>
      <c r="G223" s="299"/>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c r="AL223" s="299"/>
      <c r="AM223" s="299"/>
      <c r="AN223" s="299"/>
      <c r="AO223" s="151"/>
      <c r="AP223" s="151"/>
      <c r="AQ223" s="151"/>
      <c r="AR223" s="151"/>
      <c r="AS223" s="151"/>
      <c r="AT223" s="151"/>
      <c r="AU223" s="151"/>
      <c r="AV223" s="151"/>
    </row>
    <row r="224" spans="1:48" ht="21" customHeight="1" thickBot="1" x14ac:dyDescent="0.45">
      <c r="A224" s="151"/>
      <c r="B224" s="299"/>
      <c r="C224" s="299"/>
      <c r="D224" s="151"/>
      <c r="E224" s="479"/>
      <c r="F224" s="47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151"/>
      <c r="AP224" s="151"/>
      <c r="AQ224" s="151"/>
      <c r="AR224" s="151"/>
      <c r="AS224" s="151"/>
      <c r="AT224" s="151"/>
      <c r="AU224" s="151"/>
      <c r="AV224" s="151"/>
    </row>
    <row r="225" spans="1:48" ht="21" customHeight="1" thickBot="1" x14ac:dyDescent="0.45">
      <c r="A225" s="151"/>
      <c r="B225" s="299"/>
      <c r="C225" s="299"/>
      <c r="D225" s="151"/>
      <c r="E225" s="479"/>
      <c r="F225" s="47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151"/>
      <c r="AP225" s="151"/>
      <c r="AQ225" s="151"/>
      <c r="AR225" s="151"/>
      <c r="AS225" s="151"/>
      <c r="AT225" s="151"/>
      <c r="AU225" s="151"/>
      <c r="AV225" s="151"/>
    </row>
    <row r="226" spans="1:48" ht="21" customHeight="1" thickBot="1" x14ac:dyDescent="0.45">
      <c r="A226" s="151"/>
      <c r="B226" s="299"/>
      <c r="C226" s="299"/>
      <c r="D226" s="151"/>
      <c r="E226" s="479"/>
      <c r="F226" s="479"/>
      <c r="G226" s="299"/>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c r="AL226" s="299"/>
      <c r="AM226" s="299"/>
      <c r="AN226" s="299"/>
      <c r="AO226" s="151"/>
      <c r="AP226" s="151"/>
      <c r="AQ226" s="151"/>
      <c r="AR226" s="151"/>
      <c r="AS226" s="151"/>
      <c r="AT226" s="151"/>
      <c r="AU226" s="151"/>
      <c r="AV226" s="151"/>
    </row>
    <row r="227" spans="1:48" ht="21" customHeight="1" thickBot="1" x14ac:dyDescent="0.45">
      <c r="A227" s="151"/>
      <c r="B227" s="299"/>
      <c r="C227" s="299"/>
      <c r="D227" s="151"/>
      <c r="E227" s="479"/>
      <c r="F227" s="47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151"/>
      <c r="AP227" s="151"/>
      <c r="AQ227" s="151"/>
      <c r="AR227" s="151"/>
      <c r="AS227" s="151"/>
      <c r="AT227" s="151"/>
      <c r="AU227" s="151"/>
      <c r="AV227" s="151"/>
    </row>
    <row r="228" spans="1:48" ht="21" customHeight="1" thickBot="1" x14ac:dyDescent="0.45">
      <c r="A228" s="151"/>
      <c r="B228" s="299"/>
      <c r="C228" s="299"/>
      <c r="D228" s="151"/>
      <c r="E228" s="479"/>
      <c r="F228" s="47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c r="AF228" s="299"/>
      <c r="AG228" s="299"/>
      <c r="AH228" s="299"/>
      <c r="AI228" s="299"/>
      <c r="AJ228" s="299"/>
      <c r="AK228" s="299"/>
      <c r="AL228" s="299"/>
      <c r="AM228" s="299"/>
      <c r="AN228" s="299"/>
      <c r="AO228" s="151"/>
      <c r="AP228" s="151"/>
      <c r="AQ228" s="151"/>
      <c r="AR228" s="151"/>
      <c r="AS228" s="151"/>
      <c r="AT228" s="151"/>
      <c r="AU228" s="151"/>
      <c r="AV228" s="151"/>
    </row>
    <row r="229" spans="1:48" ht="21" customHeight="1" thickBot="1" x14ac:dyDescent="0.45">
      <c r="A229" s="151"/>
      <c r="B229" s="299"/>
      <c r="C229" s="299"/>
      <c r="D229" s="151"/>
      <c r="E229" s="479"/>
      <c r="F229" s="47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151"/>
      <c r="AP229" s="151"/>
      <c r="AQ229" s="151"/>
      <c r="AR229" s="151"/>
      <c r="AS229" s="151"/>
      <c r="AT229" s="151"/>
      <c r="AU229" s="151"/>
      <c r="AV229" s="151"/>
    </row>
    <row r="230" spans="1:48" ht="21" customHeight="1" thickBot="1" x14ac:dyDescent="0.45">
      <c r="A230" s="151"/>
      <c r="B230" s="299"/>
      <c r="C230" s="299"/>
      <c r="D230" s="151"/>
      <c r="E230" s="479"/>
      <c r="F230" s="47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151"/>
      <c r="AP230" s="151"/>
      <c r="AQ230" s="151"/>
      <c r="AR230" s="151"/>
      <c r="AS230" s="151"/>
      <c r="AT230" s="151"/>
      <c r="AU230" s="151"/>
      <c r="AV230" s="151"/>
    </row>
    <row r="231" spans="1:48" ht="21" customHeight="1" thickBot="1" x14ac:dyDescent="0.45">
      <c r="A231" s="151"/>
      <c r="B231" s="299"/>
      <c r="C231" s="299"/>
      <c r="D231" s="151"/>
      <c r="E231" s="479"/>
      <c r="F231" s="47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151"/>
      <c r="AP231" s="151"/>
      <c r="AQ231" s="151"/>
      <c r="AR231" s="151"/>
      <c r="AS231" s="151"/>
      <c r="AT231" s="151"/>
      <c r="AU231" s="151"/>
      <c r="AV231" s="151"/>
    </row>
    <row r="232" spans="1:48" ht="21" customHeight="1" thickBot="1" x14ac:dyDescent="0.45">
      <c r="A232" s="151"/>
      <c r="B232" s="299"/>
      <c r="C232" s="299"/>
      <c r="D232" s="151"/>
      <c r="E232" s="479"/>
      <c r="F232" s="47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151"/>
      <c r="AP232" s="151"/>
      <c r="AQ232" s="151"/>
      <c r="AR232" s="151"/>
      <c r="AS232" s="151"/>
      <c r="AT232" s="151"/>
      <c r="AU232" s="151"/>
      <c r="AV232" s="151"/>
    </row>
    <row r="233" spans="1:48" ht="21" customHeight="1" thickBot="1" x14ac:dyDescent="0.45">
      <c r="A233" s="151"/>
      <c r="B233" s="299"/>
      <c r="C233" s="299"/>
      <c r="D233" s="151"/>
      <c r="E233" s="479"/>
      <c r="F233" s="47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151"/>
      <c r="AP233" s="151"/>
      <c r="AQ233" s="151"/>
      <c r="AR233" s="151"/>
      <c r="AS233" s="151"/>
      <c r="AT233" s="151"/>
      <c r="AU233" s="151"/>
      <c r="AV233" s="151"/>
    </row>
    <row r="234" spans="1:48" ht="21" customHeight="1" thickBot="1" x14ac:dyDescent="0.45">
      <c r="A234" s="151"/>
      <c r="B234" s="299"/>
      <c r="C234" s="299"/>
      <c r="D234" s="151"/>
      <c r="E234" s="479"/>
      <c r="F234" s="479"/>
      <c r="G234" s="299"/>
      <c r="H234" s="299"/>
      <c r="I234" s="299"/>
      <c r="J234" s="299"/>
      <c r="K234" s="299"/>
      <c r="L234" s="299"/>
      <c r="M234" s="299"/>
      <c r="N234" s="299"/>
      <c r="O234" s="299"/>
      <c r="P234" s="299"/>
      <c r="Q234" s="299"/>
      <c r="R234" s="299"/>
      <c r="S234" s="299"/>
      <c r="T234" s="299"/>
      <c r="U234" s="299"/>
      <c r="V234" s="299"/>
      <c r="W234" s="299"/>
      <c r="X234" s="299"/>
      <c r="Y234" s="299"/>
      <c r="Z234" s="299"/>
      <c r="AA234" s="299"/>
      <c r="AB234" s="299"/>
      <c r="AC234" s="299"/>
      <c r="AD234" s="299"/>
      <c r="AE234" s="299"/>
      <c r="AF234" s="299"/>
      <c r="AG234" s="299"/>
      <c r="AH234" s="299"/>
      <c r="AI234" s="299"/>
      <c r="AJ234" s="299"/>
      <c r="AK234" s="299"/>
      <c r="AL234" s="299"/>
      <c r="AM234" s="299"/>
      <c r="AN234" s="299"/>
      <c r="AO234" s="151"/>
      <c r="AP234" s="151"/>
      <c r="AQ234" s="151"/>
      <c r="AR234" s="151"/>
      <c r="AS234" s="151"/>
      <c r="AT234" s="151"/>
      <c r="AU234" s="151"/>
      <c r="AV234" s="151"/>
    </row>
    <row r="235" spans="1:48" ht="21" customHeight="1" thickBot="1" x14ac:dyDescent="0.45">
      <c r="A235" s="151"/>
      <c r="B235" s="299"/>
      <c r="C235" s="299"/>
      <c r="D235" s="151"/>
      <c r="E235" s="479"/>
      <c r="F235" s="47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151"/>
      <c r="AP235" s="151"/>
      <c r="AQ235" s="151"/>
      <c r="AR235" s="151"/>
      <c r="AS235" s="151"/>
      <c r="AT235" s="151"/>
      <c r="AU235" s="151"/>
      <c r="AV235" s="151"/>
    </row>
    <row r="236" spans="1:48" ht="21" customHeight="1" thickBot="1" x14ac:dyDescent="0.45">
      <c r="A236" s="151"/>
      <c r="B236" s="299"/>
      <c r="C236" s="299"/>
      <c r="D236" s="151"/>
      <c r="E236" s="479"/>
      <c r="F236" s="47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151"/>
      <c r="AP236" s="151"/>
      <c r="AQ236" s="151"/>
      <c r="AR236" s="151"/>
      <c r="AS236" s="151"/>
      <c r="AT236" s="151"/>
      <c r="AU236" s="151"/>
      <c r="AV236" s="151"/>
    </row>
    <row r="237" spans="1:48" ht="21" customHeight="1" thickBot="1" x14ac:dyDescent="0.45">
      <c r="A237" s="151"/>
      <c r="B237" s="299"/>
      <c r="C237" s="299"/>
      <c r="D237" s="151"/>
      <c r="E237" s="479"/>
      <c r="F237" s="479"/>
      <c r="G237" s="299"/>
      <c r="H237" s="299"/>
      <c r="I237" s="299"/>
      <c r="J237" s="299"/>
      <c r="K237" s="299"/>
      <c r="L237" s="299"/>
      <c r="M237" s="299"/>
      <c r="N237" s="299"/>
      <c r="O237" s="299"/>
      <c r="P237" s="299"/>
      <c r="Q237" s="299"/>
      <c r="R237" s="299"/>
      <c r="S237" s="299"/>
      <c r="T237" s="299"/>
      <c r="U237" s="299"/>
      <c r="V237" s="299"/>
      <c r="W237" s="299"/>
      <c r="X237" s="299"/>
      <c r="Y237" s="299"/>
      <c r="Z237" s="299"/>
      <c r="AA237" s="299"/>
      <c r="AB237" s="299"/>
      <c r="AC237" s="299"/>
      <c r="AD237" s="299"/>
      <c r="AE237" s="299"/>
      <c r="AF237" s="299"/>
      <c r="AG237" s="299"/>
      <c r="AH237" s="299"/>
      <c r="AI237" s="299"/>
      <c r="AJ237" s="299"/>
      <c r="AK237" s="299"/>
      <c r="AL237" s="299"/>
      <c r="AM237" s="299"/>
      <c r="AN237" s="299"/>
      <c r="AO237" s="151"/>
      <c r="AP237" s="151"/>
      <c r="AQ237" s="151"/>
      <c r="AR237" s="151"/>
      <c r="AS237" s="151"/>
      <c r="AT237" s="151"/>
      <c r="AU237" s="151"/>
      <c r="AV237" s="151"/>
    </row>
    <row r="238" spans="1:48" ht="21" customHeight="1" thickBot="1" x14ac:dyDescent="0.45">
      <c r="A238" s="151"/>
      <c r="B238" s="299"/>
      <c r="C238" s="299"/>
      <c r="D238" s="151"/>
      <c r="E238" s="479"/>
      <c r="F238" s="479"/>
      <c r="G238" s="299"/>
      <c r="H238" s="299"/>
      <c r="I238" s="299"/>
      <c r="J238" s="299"/>
      <c r="K238" s="299"/>
      <c r="L238" s="299"/>
      <c r="M238" s="299"/>
      <c r="N238" s="299"/>
      <c r="O238" s="299"/>
      <c r="P238" s="299"/>
      <c r="Q238" s="299"/>
      <c r="R238" s="299"/>
      <c r="S238" s="299"/>
      <c r="T238" s="299"/>
      <c r="U238" s="299"/>
      <c r="V238" s="299"/>
      <c r="W238" s="299"/>
      <c r="X238" s="299"/>
      <c r="Y238" s="299"/>
      <c r="Z238" s="299"/>
      <c r="AA238" s="299"/>
      <c r="AB238" s="299"/>
      <c r="AC238" s="299"/>
      <c r="AD238" s="299"/>
      <c r="AE238" s="299"/>
      <c r="AF238" s="299"/>
      <c r="AG238" s="299"/>
      <c r="AH238" s="299"/>
      <c r="AI238" s="299"/>
      <c r="AJ238" s="299"/>
      <c r="AK238" s="299"/>
      <c r="AL238" s="299"/>
      <c r="AM238" s="299"/>
      <c r="AN238" s="299"/>
      <c r="AO238" s="151"/>
      <c r="AP238" s="151"/>
      <c r="AQ238" s="151"/>
      <c r="AR238" s="151"/>
      <c r="AS238" s="151"/>
      <c r="AT238" s="151"/>
      <c r="AU238" s="151"/>
      <c r="AV238" s="151"/>
    </row>
    <row r="239" spans="1:48" ht="21" customHeight="1" thickBot="1" x14ac:dyDescent="0.45">
      <c r="A239" s="151"/>
      <c r="B239" s="299"/>
      <c r="C239" s="299"/>
      <c r="D239" s="151"/>
      <c r="E239" s="479"/>
      <c r="F239" s="479"/>
      <c r="G239" s="299"/>
      <c r="H239" s="299"/>
      <c r="I239" s="299"/>
      <c r="J239" s="299"/>
      <c r="K239" s="299"/>
      <c r="L239" s="299"/>
      <c r="M239" s="299"/>
      <c r="N239" s="299"/>
      <c r="O239" s="299"/>
      <c r="P239" s="299"/>
      <c r="Q239" s="299"/>
      <c r="R239" s="299"/>
      <c r="S239" s="299"/>
      <c r="T239" s="299"/>
      <c r="U239" s="299"/>
      <c r="V239" s="299"/>
      <c r="W239" s="299"/>
      <c r="X239" s="299"/>
      <c r="Y239" s="299"/>
      <c r="Z239" s="299"/>
      <c r="AA239" s="299"/>
      <c r="AB239" s="299"/>
      <c r="AC239" s="299"/>
      <c r="AD239" s="299"/>
      <c r="AE239" s="299"/>
      <c r="AF239" s="299"/>
      <c r="AG239" s="299"/>
      <c r="AH239" s="299"/>
      <c r="AI239" s="299"/>
      <c r="AJ239" s="299"/>
      <c r="AK239" s="299"/>
      <c r="AL239" s="299"/>
      <c r="AM239" s="299"/>
      <c r="AN239" s="299"/>
      <c r="AO239" s="151"/>
      <c r="AP239" s="151"/>
      <c r="AQ239" s="151"/>
      <c r="AR239" s="151"/>
      <c r="AS239" s="151"/>
      <c r="AT239" s="151"/>
      <c r="AU239" s="151"/>
      <c r="AV239" s="151"/>
    </row>
    <row r="240" spans="1:48" ht="21" customHeight="1" thickBot="1" x14ac:dyDescent="0.45">
      <c r="A240" s="151"/>
      <c r="B240" s="299"/>
      <c r="C240" s="299"/>
      <c r="D240" s="151"/>
      <c r="E240" s="479"/>
      <c r="F240" s="479"/>
      <c r="G240" s="299"/>
      <c r="H240" s="299"/>
      <c r="I240" s="299"/>
      <c r="J240" s="299"/>
      <c r="K240" s="299"/>
      <c r="L240" s="299"/>
      <c r="M240" s="299"/>
      <c r="N240" s="299"/>
      <c r="O240" s="299"/>
      <c r="P240" s="299"/>
      <c r="Q240" s="299"/>
      <c r="R240" s="299"/>
      <c r="S240" s="299"/>
      <c r="T240" s="299"/>
      <c r="U240" s="299"/>
      <c r="V240" s="299"/>
      <c r="W240" s="299"/>
      <c r="X240" s="299"/>
      <c r="Y240" s="299"/>
      <c r="Z240" s="299"/>
      <c r="AA240" s="299"/>
      <c r="AB240" s="299"/>
      <c r="AC240" s="299"/>
      <c r="AD240" s="299"/>
      <c r="AE240" s="299"/>
      <c r="AF240" s="299"/>
      <c r="AG240" s="299"/>
      <c r="AH240" s="299"/>
      <c r="AI240" s="299"/>
      <c r="AJ240" s="299"/>
      <c r="AK240" s="299"/>
      <c r="AL240" s="299"/>
      <c r="AM240" s="299"/>
      <c r="AN240" s="299"/>
      <c r="AO240" s="151"/>
      <c r="AP240" s="151"/>
      <c r="AQ240" s="151"/>
      <c r="AR240" s="151"/>
      <c r="AS240" s="151"/>
      <c r="AT240" s="151"/>
      <c r="AU240" s="151"/>
      <c r="AV240" s="151"/>
    </row>
    <row r="241" spans="1:48" ht="21" customHeight="1" thickBot="1" x14ac:dyDescent="0.45">
      <c r="A241" s="151"/>
      <c r="B241" s="299"/>
      <c r="C241" s="299"/>
      <c r="D241" s="151"/>
      <c r="E241" s="479"/>
      <c r="F241" s="479"/>
      <c r="G241" s="299"/>
      <c r="H241" s="299"/>
      <c r="I241" s="299"/>
      <c r="J241" s="299"/>
      <c r="K241" s="299"/>
      <c r="L241" s="299"/>
      <c r="M241" s="299"/>
      <c r="N241" s="299"/>
      <c r="O241" s="299"/>
      <c r="P241" s="299"/>
      <c r="Q241" s="299"/>
      <c r="R241" s="299"/>
      <c r="S241" s="299"/>
      <c r="T241" s="299"/>
      <c r="U241" s="299"/>
      <c r="V241" s="299"/>
      <c r="W241" s="299"/>
      <c r="X241" s="299"/>
      <c r="Y241" s="299"/>
      <c r="Z241" s="299"/>
      <c r="AA241" s="299"/>
      <c r="AB241" s="299"/>
      <c r="AC241" s="299"/>
      <c r="AD241" s="299"/>
      <c r="AE241" s="299"/>
      <c r="AF241" s="299"/>
      <c r="AG241" s="299"/>
      <c r="AH241" s="299"/>
      <c r="AI241" s="299"/>
      <c r="AJ241" s="299"/>
      <c r="AK241" s="299"/>
      <c r="AL241" s="299"/>
      <c r="AM241" s="299"/>
      <c r="AN241" s="299"/>
      <c r="AO241" s="151"/>
      <c r="AP241" s="151"/>
      <c r="AQ241" s="151"/>
      <c r="AR241" s="151"/>
      <c r="AS241" s="151"/>
      <c r="AT241" s="151"/>
      <c r="AU241" s="151"/>
      <c r="AV241" s="151"/>
    </row>
    <row r="242" spans="1:48" ht="21" customHeight="1" thickBot="1" x14ac:dyDescent="0.45">
      <c r="A242" s="151"/>
      <c r="B242" s="299"/>
      <c r="C242" s="299"/>
      <c r="D242" s="151"/>
      <c r="E242" s="479"/>
      <c r="F242" s="47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151"/>
      <c r="AP242" s="151"/>
      <c r="AQ242" s="151"/>
      <c r="AR242" s="151"/>
      <c r="AS242" s="151"/>
      <c r="AT242" s="151"/>
      <c r="AU242" s="151"/>
      <c r="AV242" s="151"/>
    </row>
    <row r="243" spans="1:48" ht="21" customHeight="1" thickBot="1" x14ac:dyDescent="0.45">
      <c r="A243" s="151"/>
      <c r="B243" s="299"/>
      <c r="C243" s="299"/>
      <c r="D243" s="151"/>
      <c r="E243" s="479"/>
      <c r="F243" s="47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151"/>
      <c r="AP243" s="151"/>
      <c r="AQ243" s="151"/>
      <c r="AR243" s="151"/>
      <c r="AS243" s="151"/>
      <c r="AT243" s="151"/>
      <c r="AU243" s="151"/>
      <c r="AV243" s="151"/>
    </row>
    <row r="244" spans="1:48" ht="21" customHeight="1" thickBot="1" x14ac:dyDescent="0.45">
      <c r="A244" s="151"/>
      <c r="B244" s="299"/>
      <c r="C244" s="299"/>
      <c r="D244" s="151"/>
      <c r="E244" s="479"/>
      <c r="F244" s="47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151"/>
      <c r="AP244" s="151"/>
      <c r="AQ244" s="151"/>
      <c r="AR244" s="151"/>
      <c r="AS244" s="151"/>
      <c r="AT244" s="151"/>
      <c r="AU244" s="151"/>
      <c r="AV244" s="151"/>
    </row>
    <row r="245" spans="1:48" ht="21" customHeight="1" thickBot="1" x14ac:dyDescent="0.45">
      <c r="A245" s="151"/>
      <c r="B245" s="299"/>
      <c r="C245" s="299"/>
      <c r="D245" s="151"/>
      <c r="E245" s="479"/>
      <c r="F245" s="47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299"/>
      <c r="AD245" s="299"/>
      <c r="AE245" s="299"/>
      <c r="AF245" s="299"/>
      <c r="AG245" s="299"/>
      <c r="AH245" s="299"/>
      <c r="AI245" s="299"/>
      <c r="AJ245" s="299"/>
      <c r="AK245" s="299"/>
      <c r="AL245" s="299"/>
      <c r="AM245" s="299"/>
      <c r="AN245" s="299"/>
      <c r="AO245" s="151"/>
      <c r="AP245" s="151"/>
      <c r="AQ245" s="151"/>
      <c r="AR245" s="151"/>
      <c r="AS245" s="151"/>
      <c r="AT245" s="151"/>
      <c r="AU245" s="151"/>
      <c r="AV245" s="151"/>
    </row>
    <row r="246" spans="1:48" ht="21" customHeight="1" thickBot="1" x14ac:dyDescent="0.45">
      <c r="A246" s="151"/>
      <c r="B246" s="299"/>
      <c r="C246" s="299"/>
      <c r="D246" s="151"/>
      <c r="E246" s="479"/>
      <c r="F246" s="47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299"/>
      <c r="AE246" s="299"/>
      <c r="AF246" s="299"/>
      <c r="AG246" s="299"/>
      <c r="AH246" s="299"/>
      <c r="AI246" s="299"/>
      <c r="AJ246" s="299"/>
      <c r="AK246" s="299"/>
      <c r="AL246" s="299"/>
      <c r="AM246" s="299"/>
      <c r="AN246" s="299"/>
      <c r="AO246" s="151"/>
      <c r="AP246" s="151"/>
      <c r="AQ246" s="151"/>
      <c r="AR246" s="151"/>
      <c r="AS246" s="151"/>
      <c r="AT246" s="151"/>
      <c r="AU246" s="151"/>
      <c r="AV246" s="151"/>
    </row>
    <row r="247" spans="1:48" ht="21" customHeight="1" thickBot="1" x14ac:dyDescent="0.45">
      <c r="A247" s="151"/>
      <c r="B247" s="299"/>
      <c r="C247" s="299"/>
      <c r="D247" s="151"/>
      <c r="E247" s="479"/>
      <c r="F247" s="47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299"/>
      <c r="AE247" s="299"/>
      <c r="AF247" s="299"/>
      <c r="AG247" s="299"/>
      <c r="AH247" s="299"/>
      <c r="AI247" s="299"/>
      <c r="AJ247" s="299"/>
      <c r="AK247" s="299"/>
      <c r="AL247" s="299"/>
      <c r="AM247" s="299"/>
      <c r="AN247" s="299"/>
      <c r="AO247" s="151"/>
      <c r="AP247" s="151"/>
      <c r="AQ247" s="151"/>
      <c r="AR247" s="151"/>
      <c r="AS247" s="151"/>
      <c r="AT247" s="151"/>
      <c r="AU247" s="151"/>
      <c r="AV247" s="151"/>
    </row>
    <row r="248" spans="1:48" ht="21" customHeight="1" thickBot="1" x14ac:dyDescent="0.45">
      <c r="A248" s="151"/>
      <c r="B248" s="299"/>
      <c r="C248" s="299"/>
      <c r="D248" s="151"/>
      <c r="E248" s="479"/>
      <c r="F248" s="479"/>
      <c r="G248" s="299"/>
      <c r="H248" s="299"/>
      <c r="I248" s="299"/>
      <c r="J248" s="299"/>
      <c r="K248" s="299"/>
      <c r="L248" s="299"/>
      <c r="M248" s="299"/>
      <c r="N248" s="299"/>
      <c r="O248" s="299"/>
      <c r="P248" s="299"/>
      <c r="Q248" s="299"/>
      <c r="R248" s="299"/>
      <c r="S248" s="299"/>
      <c r="T248" s="299"/>
      <c r="U248" s="299"/>
      <c r="V248" s="299"/>
      <c r="W248" s="299"/>
      <c r="X248" s="299"/>
      <c r="Y248" s="299"/>
      <c r="Z248" s="299"/>
      <c r="AA248" s="299"/>
      <c r="AB248" s="299"/>
      <c r="AC248" s="299"/>
      <c r="AD248" s="299"/>
      <c r="AE248" s="299"/>
      <c r="AF248" s="299"/>
      <c r="AG248" s="299"/>
      <c r="AH248" s="299"/>
      <c r="AI248" s="299"/>
      <c r="AJ248" s="299"/>
      <c r="AK248" s="299"/>
      <c r="AL248" s="299"/>
      <c r="AM248" s="299"/>
      <c r="AN248" s="299"/>
      <c r="AO248" s="151"/>
      <c r="AP248" s="151"/>
      <c r="AQ248" s="151"/>
      <c r="AR248" s="151"/>
      <c r="AS248" s="151"/>
      <c r="AT248" s="151"/>
      <c r="AU248" s="151"/>
      <c r="AV248" s="151"/>
    </row>
    <row r="249" spans="1:48" ht="21" customHeight="1" thickBot="1" x14ac:dyDescent="0.45">
      <c r="A249" s="151"/>
      <c r="B249" s="299"/>
      <c r="C249" s="299"/>
      <c r="D249" s="151"/>
      <c r="E249" s="479"/>
      <c r="F249" s="47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299"/>
      <c r="AF249" s="299"/>
      <c r="AG249" s="299"/>
      <c r="AH249" s="299"/>
      <c r="AI249" s="299"/>
      <c r="AJ249" s="299"/>
      <c r="AK249" s="299"/>
      <c r="AL249" s="299"/>
      <c r="AM249" s="299"/>
      <c r="AN249" s="299"/>
      <c r="AO249" s="151"/>
      <c r="AP249" s="151"/>
      <c r="AQ249" s="151"/>
      <c r="AR249" s="151"/>
      <c r="AS249" s="151"/>
      <c r="AT249" s="151"/>
      <c r="AU249" s="151"/>
      <c r="AV249" s="151"/>
    </row>
    <row r="250" spans="1:48" ht="21" customHeight="1" thickBot="1" x14ac:dyDescent="0.45">
      <c r="A250" s="151"/>
      <c r="B250" s="299"/>
      <c r="C250" s="299"/>
      <c r="D250" s="151"/>
      <c r="E250" s="479"/>
      <c r="F250" s="47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151"/>
      <c r="AP250" s="151"/>
      <c r="AQ250" s="151"/>
      <c r="AR250" s="151"/>
      <c r="AS250" s="151"/>
      <c r="AT250" s="151"/>
      <c r="AU250" s="151"/>
      <c r="AV250" s="151"/>
    </row>
    <row r="251" spans="1:48" ht="21" customHeight="1" thickBot="1" x14ac:dyDescent="0.45">
      <c r="A251" s="151"/>
      <c r="B251" s="299"/>
      <c r="C251" s="299"/>
      <c r="D251" s="151"/>
      <c r="E251" s="479"/>
      <c r="F251" s="47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299"/>
      <c r="AE251" s="299"/>
      <c r="AF251" s="299"/>
      <c r="AG251" s="299"/>
      <c r="AH251" s="299"/>
      <c r="AI251" s="299"/>
      <c r="AJ251" s="299"/>
      <c r="AK251" s="299"/>
      <c r="AL251" s="299"/>
      <c r="AM251" s="299"/>
      <c r="AN251" s="299"/>
      <c r="AO251" s="151"/>
      <c r="AP251" s="151"/>
      <c r="AQ251" s="151"/>
      <c r="AR251" s="151"/>
      <c r="AS251" s="151"/>
      <c r="AT251" s="151"/>
      <c r="AU251" s="151"/>
      <c r="AV251" s="151"/>
    </row>
    <row r="252" spans="1:48" ht="21" customHeight="1" thickBot="1" x14ac:dyDescent="0.45">
      <c r="A252" s="151"/>
      <c r="B252" s="299"/>
      <c r="C252" s="299"/>
      <c r="D252" s="151"/>
      <c r="E252" s="479"/>
      <c r="F252" s="47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151"/>
      <c r="AP252" s="151"/>
      <c r="AQ252" s="151"/>
      <c r="AR252" s="151"/>
      <c r="AS252" s="151"/>
      <c r="AT252" s="151"/>
      <c r="AU252" s="151"/>
      <c r="AV252" s="151"/>
    </row>
    <row r="253" spans="1:48" ht="21" customHeight="1" thickBot="1" x14ac:dyDescent="0.45">
      <c r="A253" s="151"/>
      <c r="B253" s="299"/>
      <c r="C253" s="299"/>
      <c r="D253" s="151"/>
      <c r="E253" s="479"/>
      <c r="F253" s="47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299"/>
      <c r="AF253" s="299"/>
      <c r="AG253" s="299"/>
      <c r="AH253" s="299"/>
      <c r="AI253" s="299"/>
      <c r="AJ253" s="299"/>
      <c r="AK253" s="299"/>
      <c r="AL253" s="299"/>
      <c r="AM253" s="299"/>
      <c r="AN253" s="299"/>
      <c r="AO253" s="151"/>
      <c r="AP253" s="151"/>
      <c r="AQ253" s="151"/>
      <c r="AR253" s="151"/>
      <c r="AS253" s="151"/>
      <c r="AT253" s="151"/>
      <c r="AU253" s="151"/>
      <c r="AV253" s="151"/>
    </row>
    <row r="254" spans="1:48" ht="21" customHeight="1" thickBot="1" x14ac:dyDescent="0.45">
      <c r="A254" s="151"/>
      <c r="B254" s="299"/>
      <c r="C254" s="299"/>
      <c r="D254" s="151"/>
      <c r="E254" s="479"/>
      <c r="F254" s="47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151"/>
      <c r="AP254" s="151"/>
      <c r="AQ254" s="151"/>
      <c r="AR254" s="151"/>
      <c r="AS254" s="151"/>
      <c r="AT254" s="151"/>
      <c r="AU254" s="151"/>
      <c r="AV254" s="151"/>
    </row>
    <row r="255" spans="1:48" ht="21" customHeight="1" thickBot="1" x14ac:dyDescent="0.45">
      <c r="A255" s="151"/>
      <c r="B255" s="299"/>
      <c r="C255" s="299"/>
      <c r="D255" s="151"/>
      <c r="E255" s="479"/>
      <c r="F255" s="479"/>
      <c r="G255" s="299"/>
      <c r="H255" s="299"/>
      <c r="I255" s="299"/>
      <c r="J255" s="299"/>
      <c r="K255" s="299"/>
      <c r="L255" s="299"/>
      <c r="M255" s="299"/>
      <c r="N255" s="299"/>
      <c r="O255" s="299"/>
      <c r="P255" s="299"/>
      <c r="Q255" s="299"/>
      <c r="R255" s="299"/>
      <c r="S255" s="299"/>
      <c r="T255" s="299"/>
      <c r="U255" s="299"/>
      <c r="V255" s="299"/>
      <c r="W255" s="299"/>
      <c r="X255" s="299"/>
      <c r="Y255" s="299"/>
      <c r="Z255" s="299"/>
      <c r="AA255" s="299"/>
      <c r="AB255" s="299"/>
      <c r="AC255" s="299"/>
      <c r="AD255" s="299"/>
      <c r="AE255" s="299"/>
      <c r="AF255" s="299"/>
      <c r="AG255" s="299"/>
      <c r="AH255" s="299"/>
      <c r="AI255" s="299"/>
      <c r="AJ255" s="299"/>
      <c r="AK255" s="299"/>
      <c r="AL255" s="299"/>
      <c r="AM255" s="299"/>
      <c r="AN255" s="299"/>
      <c r="AO255" s="151"/>
      <c r="AP255" s="151"/>
      <c r="AQ255" s="151"/>
      <c r="AR255" s="151"/>
      <c r="AS255" s="151"/>
      <c r="AT255" s="151"/>
      <c r="AU255" s="151"/>
      <c r="AV255" s="151"/>
    </row>
    <row r="256" spans="1:48" ht="21" customHeight="1" thickBot="1" x14ac:dyDescent="0.45">
      <c r="A256" s="151"/>
      <c r="B256" s="299"/>
      <c r="C256" s="299"/>
      <c r="D256" s="151"/>
      <c r="E256" s="479"/>
      <c r="F256" s="47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c r="AF256" s="299"/>
      <c r="AG256" s="299"/>
      <c r="AH256" s="299"/>
      <c r="AI256" s="299"/>
      <c r="AJ256" s="299"/>
      <c r="AK256" s="299"/>
      <c r="AL256" s="299"/>
      <c r="AM256" s="299"/>
      <c r="AN256" s="299"/>
      <c r="AO256" s="151"/>
      <c r="AP256" s="151"/>
      <c r="AQ256" s="151"/>
      <c r="AR256" s="151"/>
      <c r="AS256" s="151"/>
      <c r="AT256" s="151"/>
      <c r="AU256" s="151"/>
      <c r="AV256" s="151"/>
    </row>
    <row r="257" spans="1:48" ht="21" customHeight="1" thickBot="1" x14ac:dyDescent="0.45">
      <c r="A257" s="151"/>
      <c r="B257" s="299"/>
      <c r="C257" s="299"/>
      <c r="D257" s="151"/>
      <c r="E257" s="479"/>
      <c r="F257" s="47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299"/>
      <c r="AE257" s="299"/>
      <c r="AF257" s="299"/>
      <c r="AG257" s="299"/>
      <c r="AH257" s="299"/>
      <c r="AI257" s="299"/>
      <c r="AJ257" s="299"/>
      <c r="AK257" s="299"/>
      <c r="AL257" s="299"/>
      <c r="AM257" s="299"/>
      <c r="AN257" s="299"/>
      <c r="AO257" s="151"/>
      <c r="AP257" s="151"/>
      <c r="AQ257" s="151"/>
      <c r="AR257" s="151"/>
      <c r="AS257" s="151"/>
      <c r="AT257" s="151"/>
      <c r="AU257" s="151"/>
      <c r="AV257" s="151"/>
    </row>
    <row r="258" spans="1:48" ht="21" customHeight="1" thickBot="1" x14ac:dyDescent="0.45">
      <c r="A258" s="151"/>
      <c r="B258" s="299"/>
      <c r="C258" s="299"/>
      <c r="D258" s="151"/>
      <c r="E258" s="479"/>
      <c r="F258" s="47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299"/>
      <c r="AF258" s="299"/>
      <c r="AG258" s="299"/>
      <c r="AH258" s="299"/>
      <c r="AI258" s="299"/>
      <c r="AJ258" s="299"/>
      <c r="AK258" s="299"/>
      <c r="AL258" s="299"/>
      <c r="AM258" s="299"/>
      <c r="AN258" s="299"/>
      <c r="AO258" s="151"/>
      <c r="AP258" s="151"/>
      <c r="AQ258" s="151"/>
      <c r="AR258" s="151"/>
      <c r="AS258" s="151"/>
      <c r="AT258" s="151"/>
      <c r="AU258" s="151"/>
      <c r="AV258" s="151"/>
    </row>
    <row r="259" spans="1:48" ht="21" customHeight="1" thickBot="1" x14ac:dyDescent="0.45">
      <c r="A259" s="151"/>
      <c r="B259" s="299"/>
      <c r="C259" s="299"/>
      <c r="D259" s="151"/>
      <c r="E259" s="479"/>
      <c r="F259" s="47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c r="AL259" s="299"/>
      <c r="AM259" s="299"/>
      <c r="AN259" s="299"/>
      <c r="AO259" s="151"/>
      <c r="AP259" s="151"/>
      <c r="AQ259" s="151"/>
      <c r="AR259" s="151"/>
      <c r="AS259" s="151"/>
      <c r="AT259" s="151"/>
      <c r="AU259" s="151"/>
      <c r="AV259" s="151"/>
    </row>
    <row r="260" spans="1:48" ht="21" customHeight="1" thickBot="1" x14ac:dyDescent="0.45">
      <c r="A260" s="151"/>
      <c r="B260" s="299"/>
      <c r="C260" s="299"/>
      <c r="D260" s="151"/>
      <c r="E260" s="479"/>
      <c r="F260" s="47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151"/>
      <c r="AP260" s="151"/>
      <c r="AQ260" s="151"/>
      <c r="AR260" s="151"/>
      <c r="AS260" s="151"/>
      <c r="AT260" s="151"/>
      <c r="AU260" s="151"/>
      <c r="AV260" s="151"/>
    </row>
    <row r="261" spans="1:48" ht="21" customHeight="1" thickBot="1" x14ac:dyDescent="0.45">
      <c r="A261" s="151"/>
      <c r="B261" s="299"/>
      <c r="C261" s="299"/>
      <c r="D261" s="151"/>
      <c r="E261" s="479"/>
      <c r="F261" s="479"/>
      <c r="G261" s="299"/>
      <c r="H261" s="299"/>
      <c r="I261" s="299"/>
      <c r="J261" s="299"/>
      <c r="K261" s="299"/>
      <c r="L261" s="299"/>
      <c r="M261" s="299"/>
      <c r="N261" s="299"/>
      <c r="O261" s="299"/>
      <c r="P261" s="299"/>
      <c r="Q261" s="299"/>
      <c r="R261" s="299"/>
      <c r="S261" s="299"/>
      <c r="T261" s="299"/>
      <c r="U261" s="299"/>
      <c r="V261" s="299"/>
      <c r="W261" s="299"/>
      <c r="X261" s="299"/>
      <c r="Y261" s="299"/>
      <c r="Z261" s="299"/>
      <c r="AA261" s="299"/>
      <c r="AB261" s="299"/>
      <c r="AC261" s="299"/>
      <c r="AD261" s="299"/>
      <c r="AE261" s="299"/>
      <c r="AF261" s="299"/>
      <c r="AG261" s="299"/>
      <c r="AH261" s="299"/>
      <c r="AI261" s="299"/>
      <c r="AJ261" s="299"/>
      <c r="AK261" s="299"/>
      <c r="AL261" s="299"/>
      <c r="AM261" s="299"/>
      <c r="AN261" s="299"/>
      <c r="AO261" s="151"/>
      <c r="AP261" s="151"/>
      <c r="AQ261" s="151"/>
      <c r="AR261" s="151"/>
      <c r="AS261" s="151"/>
      <c r="AT261" s="151"/>
      <c r="AU261" s="151"/>
      <c r="AV261" s="151"/>
    </row>
    <row r="262" spans="1:48" ht="21" customHeight="1" thickBot="1" x14ac:dyDescent="0.45">
      <c r="A262" s="151"/>
      <c r="B262" s="299"/>
      <c r="C262" s="299"/>
      <c r="D262" s="151"/>
      <c r="E262" s="479"/>
      <c r="F262" s="47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151"/>
      <c r="AP262" s="151"/>
      <c r="AQ262" s="151"/>
      <c r="AR262" s="151"/>
      <c r="AS262" s="151"/>
      <c r="AT262" s="151"/>
      <c r="AU262" s="151"/>
      <c r="AV262" s="151"/>
    </row>
    <row r="263" spans="1:48" ht="21" customHeight="1" thickBot="1" x14ac:dyDescent="0.45">
      <c r="A263" s="151"/>
      <c r="B263" s="299"/>
      <c r="C263" s="299"/>
      <c r="D263" s="151"/>
      <c r="E263" s="479"/>
      <c r="F263" s="47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151"/>
      <c r="AP263" s="151"/>
      <c r="AQ263" s="151"/>
      <c r="AR263" s="151"/>
      <c r="AS263" s="151"/>
      <c r="AT263" s="151"/>
      <c r="AU263" s="151"/>
      <c r="AV263" s="151"/>
    </row>
    <row r="264" spans="1:48" ht="21" customHeight="1" thickBot="1" x14ac:dyDescent="0.45">
      <c r="A264" s="151"/>
      <c r="B264" s="299"/>
      <c r="C264" s="299"/>
      <c r="D264" s="151"/>
      <c r="E264" s="479"/>
      <c r="F264" s="479"/>
      <c r="G264" s="299"/>
      <c r="H264" s="299"/>
      <c r="I264" s="299"/>
      <c r="J264" s="299"/>
      <c r="K264" s="299"/>
      <c r="L264" s="299"/>
      <c r="M264" s="299"/>
      <c r="N264" s="299"/>
      <c r="O264" s="299"/>
      <c r="P264" s="299"/>
      <c r="Q264" s="299"/>
      <c r="R264" s="299"/>
      <c r="S264" s="299"/>
      <c r="T264" s="299"/>
      <c r="U264" s="299"/>
      <c r="V264" s="299"/>
      <c r="W264" s="299"/>
      <c r="X264" s="299"/>
      <c r="Y264" s="299"/>
      <c r="Z264" s="299"/>
      <c r="AA264" s="299"/>
      <c r="AB264" s="299"/>
      <c r="AC264" s="299"/>
      <c r="AD264" s="299"/>
      <c r="AE264" s="299"/>
      <c r="AF264" s="299"/>
      <c r="AG264" s="299"/>
      <c r="AH264" s="299"/>
      <c r="AI264" s="299"/>
      <c r="AJ264" s="299"/>
      <c r="AK264" s="299"/>
      <c r="AL264" s="299"/>
      <c r="AM264" s="299"/>
      <c r="AN264" s="299"/>
      <c r="AO264" s="151"/>
      <c r="AP264" s="151"/>
      <c r="AQ264" s="151"/>
      <c r="AR264" s="151"/>
      <c r="AS264" s="151"/>
      <c r="AT264" s="151"/>
      <c r="AU264" s="151"/>
      <c r="AV264" s="151"/>
    </row>
    <row r="265" spans="1:48" ht="21" customHeight="1" thickBot="1" x14ac:dyDescent="0.45">
      <c r="A265" s="151"/>
      <c r="B265" s="299"/>
      <c r="C265" s="299"/>
      <c r="D265" s="151"/>
      <c r="E265" s="479"/>
      <c r="F265" s="47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299"/>
      <c r="AE265" s="299"/>
      <c r="AF265" s="299"/>
      <c r="AG265" s="299"/>
      <c r="AH265" s="299"/>
      <c r="AI265" s="299"/>
      <c r="AJ265" s="299"/>
      <c r="AK265" s="299"/>
      <c r="AL265" s="299"/>
      <c r="AM265" s="299"/>
      <c r="AN265" s="299"/>
      <c r="AO265" s="151"/>
      <c r="AP265" s="151"/>
      <c r="AQ265" s="151"/>
      <c r="AR265" s="151"/>
      <c r="AS265" s="151"/>
      <c r="AT265" s="151"/>
      <c r="AU265" s="151"/>
      <c r="AV265" s="151"/>
    </row>
    <row r="266" spans="1:48" ht="21" customHeight="1" thickBot="1" x14ac:dyDescent="0.45">
      <c r="A266" s="151"/>
      <c r="B266" s="299"/>
      <c r="C266" s="299"/>
      <c r="D266" s="151"/>
      <c r="E266" s="479"/>
      <c r="F266" s="47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151"/>
      <c r="AP266" s="151"/>
      <c r="AQ266" s="151"/>
      <c r="AR266" s="151"/>
      <c r="AS266" s="151"/>
      <c r="AT266" s="151"/>
      <c r="AU266" s="151"/>
      <c r="AV266" s="151"/>
    </row>
    <row r="267" spans="1:48" ht="21" customHeight="1" thickBot="1" x14ac:dyDescent="0.45">
      <c r="A267" s="151"/>
      <c r="B267" s="299"/>
      <c r="C267" s="299"/>
      <c r="D267" s="151"/>
      <c r="E267" s="479"/>
      <c r="F267" s="479"/>
      <c r="G267" s="299"/>
      <c r="H267" s="299"/>
      <c r="I267" s="299"/>
      <c r="J267" s="299"/>
      <c r="K267" s="299"/>
      <c r="L267" s="299"/>
      <c r="M267" s="299"/>
      <c r="N267" s="299"/>
      <c r="O267" s="299"/>
      <c r="P267" s="299"/>
      <c r="Q267" s="299"/>
      <c r="R267" s="299"/>
      <c r="S267" s="299"/>
      <c r="T267" s="299"/>
      <c r="U267" s="299"/>
      <c r="V267" s="299"/>
      <c r="W267" s="299"/>
      <c r="X267" s="299"/>
      <c r="Y267" s="299"/>
      <c r="Z267" s="299"/>
      <c r="AA267" s="299"/>
      <c r="AB267" s="299"/>
      <c r="AC267" s="299"/>
      <c r="AD267" s="299"/>
      <c r="AE267" s="299"/>
      <c r="AF267" s="299"/>
      <c r="AG267" s="299"/>
      <c r="AH267" s="299"/>
      <c r="AI267" s="299"/>
      <c r="AJ267" s="299"/>
      <c r="AK267" s="299"/>
      <c r="AL267" s="299"/>
      <c r="AM267" s="299"/>
      <c r="AN267" s="299"/>
      <c r="AO267" s="151"/>
      <c r="AP267" s="151"/>
      <c r="AQ267" s="151"/>
      <c r="AR267" s="151"/>
      <c r="AS267" s="151"/>
      <c r="AT267" s="151"/>
      <c r="AU267" s="151"/>
      <c r="AV267" s="151"/>
    </row>
    <row r="268" spans="1:48" ht="21" customHeight="1" thickBot="1" x14ac:dyDescent="0.45">
      <c r="A268" s="151"/>
      <c r="B268" s="299"/>
      <c r="C268" s="299"/>
      <c r="D268" s="151"/>
      <c r="E268" s="479"/>
      <c r="F268" s="47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299"/>
      <c r="AE268" s="299"/>
      <c r="AF268" s="299"/>
      <c r="AG268" s="299"/>
      <c r="AH268" s="299"/>
      <c r="AI268" s="299"/>
      <c r="AJ268" s="299"/>
      <c r="AK268" s="299"/>
      <c r="AL268" s="299"/>
      <c r="AM268" s="299"/>
      <c r="AN268" s="299"/>
      <c r="AO268" s="151"/>
      <c r="AP268" s="151"/>
      <c r="AQ268" s="151"/>
      <c r="AR268" s="151"/>
      <c r="AS268" s="151"/>
      <c r="AT268" s="151"/>
      <c r="AU268" s="151"/>
      <c r="AV268" s="151"/>
    </row>
    <row r="269" spans="1:48" ht="21" customHeight="1" thickBot="1" x14ac:dyDescent="0.45">
      <c r="A269" s="151"/>
      <c r="B269" s="299"/>
      <c r="C269" s="299"/>
      <c r="D269" s="151"/>
      <c r="E269" s="479"/>
      <c r="F269" s="479"/>
      <c r="G269" s="299"/>
      <c r="H269" s="299"/>
      <c r="I269" s="299"/>
      <c r="J269" s="299"/>
      <c r="K269" s="299"/>
      <c r="L269" s="299"/>
      <c r="M269" s="299"/>
      <c r="N269" s="299"/>
      <c r="O269" s="299"/>
      <c r="P269" s="299"/>
      <c r="Q269" s="299"/>
      <c r="R269" s="299"/>
      <c r="S269" s="299"/>
      <c r="T269" s="299"/>
      <c r="U269" s="299"/>
      <c r="V269" s="299"/>
      <c r="W269" s="299"/>
      <c r="X269" s="299"/>
      <c r="Y269" s="299"/>
      <c r="Z269" s="299"/>
      <c r="AA269" s="299"/>
      <c r="AB269" s="299"/>
      <c r="AC269" s="299"/>
      <c r="AD269" s="299"/>
      <c r="AE269" s="299"/>
      <c r="AF269" s="299"/>
      <c r="AG269" s="299"/>
      <c r="AH269" s="299"/>
      <c r="AI269" s="299"/>
      <c r="AJ269" s="299"/>
      <c r="AK269" s="299"/>
      <c r="AL269" s="299"/>
      <c r="AM269" s="299"/>
      <c r="AN269" s="299"/>
      <c r="AO269" s="151"/>
      <c r="AP269" s="151"/>
      <c r="AQ269" s="151"/>
      <c r="AR269" s="151"/>
      <c r="AS269" s="151"/>
      <c r="AT269" s="151"/>
      <c r="AU269" s="151"/>
      <c r="AV269" s="151"/>
    </row>
    <row r="270" spans="1:48" ht="21" customHeight="1" thickBot="1" x14ac:dyDescent="0.45">
      <c r="A270" s="151"/>
      <c r="B270" s="299"/>
      <c r="C270" s="299"/>
      <c r="D270" s="151"/>
      <c r="E270" s="479"/>
      <c r="F270" s="47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299"/>
      <c r="AE270" s="299"/>
      <c r="AF270" s="299"/>
      <c r="AG270" s="299"/>
      <c r="AH270" s="299"/>
      <c r="AI270" s="299"/>
      <c r="AJ270" s="299"/>
      <c r="AK270" s="299"/>
      <c r="AL270" s="299"/>
      <c r="AM270" s="299"/>
      <c r="AN270" s="299"/>
      <c r="AO270" s="151"/>
      <c r="AP270" s="151"/>
      <c r="AQ270" s="151"/>
      <c r="AR270" s="151"/>
      <c r="AS270" s="151"/>
      <c r="AT270" s="151"/>
      <c r="AU270" s="151"/>
      <c r="AV270" s="151"/>
    </row>
    <row r="271" spans="1:48" ht="21" customHeight="1" thickBot="1" x14ac:dyDescent="0.45">
      <c r="A271" s="151"/>
      <c r="B271" s="299"/>
      <c r="C271" s="299"/>
      <c r="D271" s="151"/>
      <c r="E271" s="479"/>
      <c r="F271" s="479"/>
      <c r="G271" s="299"/>
      <c r="H271" s="299"/>
      <c r="I271" s="299"/>
      <c r="J271" s="299"/>
      <c r="K271" s="299"/>
      <c r="L271" s="299"/>
      <c r="M271" s="299"/>
      <c r="N271" s="299"/>
      <c r="O271" s="299"/>
      <c r="P271" s="299"/>
      <c r="Q271" s="299"/>
      <c r="R271" s="299"/>
      <c r="S271" s="299"/>
      <c r="T271" s="299"/>
      <c r="U271" s="299"/>
      <c r="V271" s="299"/>
      <c r="W271" s="299"/>
      <c r="X271" s="299"/>
      <c r="Y271" s="299"/>
      <c r="Z271" s="299"/>
      <c r="AA271" s="299"/>
      <c r="AB271" s="299"/>
      <c r="AC271" s="299"/>
      <c r="AD271" s="299"/>
      <c r="AE271" s="299"/>
      <c r="AF271" s="299"/>
      <c r="AG271" s="299"/>
      <c r="AH271" s="299"/>
      <c r="AI271" s="299"/>
      <c r="AJ271" s="299"/>
      <c r="AK271" s="299"/>
      <c r="AL271" s="299"/>
      <c r="AM271" s="299"/>
      <c r="AN271" s="299"/>
      <c r="AO271" s="151"/>
      <c r="AP271" s="151"/>
      <c r="AQ271" s="151"/>
      <c r="AR271" s="151"/>
      <c r="AS271" s="151"/>
      <c r="AT271" s="151"/>
      <c r="AU271" s="151"/>
      <c r="AV271" s="151"/>
    </row>
    <row r="272" spans="1:48" ht="21" customHeight="1" thickBot="1" x14ac:dyDescent="0.45">
      <c r="A272" s="151"/>
      <c r="B272" s="299"/>
      <c r="C272" s="299"/>
      <c r="D272" s="151"/>
      <c r="E272" s="479"/>
      <c r="F272" s="479"/>
      <c r="G272" s="299"/>
      <c r="H272" s="299"/>
      <c r="I272" s="299"/>
      <c r="J272" s="299"/>
      <c r="K272" s="299"/>
      <c r="L272" s="299"/>
      <c r="M272" s="299"/>
      <c r="N272" s="299"/>
      <c r="O272" s="299"/>
      <c r="P272" s="299"/>
      <c r="Q272" s="299"/>
      <c r="R272" s="299"/>
      <c r="S272" s="299"/>
      <c r="T272" s="299"/>
      <c r="U272" s="299"/>
      <c r="V272" s="299"/>
      <c r="W272" s="299"/>
      <c r="X272" s="299"/>
      <c r="Y272" s="299"/>
      <c r="Z272" s="299"/>
      <c r="AA272" s="299"/>
      <c r="AB272" s="299"/>
      <c r="AC272" s="299"/>
      <c r="AD272" s="299"/>
      <c r="AE272" s="299"/>
      <c r="AF272" s="299"/>
      <c r="AG272" s="299"/>
      <c r="AH272" s="299"/>
      <c r="AI272" s="299"/>
      <c r="AJ272" s="302"/>
      <c r="AK272" s="302"/>
      <c r="AL272" s="302"/>
      <c r="AM272" s="593"/>
      <c r="AN272" s="593"/>
      <c r="AO272" s="215"/>
      <c r="AP272" s="157"/>
      <c r="AQ272" s="151"/>
      <c r="AR272" s="151"/>
      <c r="AS272" s="151"/>
      <c r="AT272" s="151"/>
      <c r="AU272" s="151"/>
      <c r="AV272" s="151"/>
    </row>
    <row r="273" spans="1:48" ht="21" customHeight="1" thickBot="1" x14ac:dyDescent="0.45">
      <c r="A273" s="151"/>
      <c r="B273" s="299"/>
      <c r="C273" s="299"/>
      <c r="D273" s="151"/>
      <c r="E273" s="479"/>
      <c r="F273" s="479"/>
      <c r="G273" s="299"/>
      <c r="H273" s="299"/>
      <c r="I273" s="299"/>
      <c r="J273" s="299"/>
      <c r="K273" s="299"/>
      <c r="L273" s="299"/>
      <c r="M273" s="299"/>
      <c r="N273" s="299"/>
      <c r="O273" s="299"/>
      <c r="P273" s="299"/>
      <c r="Q273" s="299"/>
      <c r="R273" s="299"/>
      <c r="S273" s="299"/>
      <c r="T273" s="299"/>
      <c r="U273" s="299"/>
      <c r="V273" s="299"/>
      <c r="W273" s="299"/>
      <c r="X273" s="299"/>
      <c r="Y273" s="299"/>
      <c r="Z273" s="299"/>
      <c r="AA273" s="299"/>
      <c r="AB273" s="299"/>
      <c r="AC273" s="299"/>
      <c r="AD273" s="299"/>
      <c r="AE273" s="299"/>
      <c r="AF273" s="299"/>
      <c r="AG273" s="299"/>
      <c r="AH273" s="299"/>
      <c r="AI273" s="299"/>
      <c r="AJ273" s="302"/>
      <c r="AK273" s="302"/>
      <c r="AL273" s="302"/>
      <c r="AM273" s="593"/>
      <c r="AN273" s="593"/>
      <c r="AO273" s="215"/>
      <c r="AP273" s="157"/>
      <c r="AQ273" s="151"/>
      <c r="AR273" s="151"/>
      <c r="AS273" s="151"/>
      <c r="AT273" s="151"/>
      <c r="AU273" s="151"/>
      <c r="AV273" s="151"/>
    </row>
    <row r="274" spans="1:48" ht="21" customHeight="1" thickBot="1" x14ac:dyDescent="0.45">
      <c r="A274" s="151"/>
      <c r="B274" s="299"/>
      <c r="C274" s="299"/>
      <c r="D274" s="151"/>
      <c r="E274" s="479"/>
      <c r="F274" s="479"/>
      <c r="G274" s="299"/>
      <c r="H274" s="299"/>
      <c r="I274" s="299"/>
      <c r="J274" s="299"/>
      <c r="K274" s="299"/>
      <c r="L274" s="299"/>
      <c r="M274" s="299"/>
      <c r="N274" s="299"/>
      <c r="O274" s="299"/>
      <c r="P274" s="299"/>
      <c r="Q274" s="299"/>
      <c r="R274" s="299"/>
      <c r="S274" s="299"/>
      <c r="T274" s="299"/>
      <c r="U274" s="299"/>
      <c r="V274" s="299"/>
      <c r="W274" s="299"/>
      <c r="X274" s="299"/>
      <c r="Y274" s="299"/>
      <c r="Z274" s="299"/>
      <c r="AA274" s="299"/>
      <c r="AB274" s="299"/>
      <c r="AC274" s="299"/>
      <c r="AD274" s="299"/>
      <c r="AE274" s="299"/>
      <c r="AF274" s="299"/>
      <c r="AG274" s="299"/>
      <c r="AH274" s="299"/>
      <c r="AI274" s="299"/>
      <c r="AJ274" s="302"/>
      <c r="AK274" s="302"/>
      <c r="AL274" s="302"/>
      <c r="AM274" s="593"/>
      <c r="AN274" s="593"/>
      <c r="AO274" s="215"/>
      <c r="AP274" s="157"/>
      <c r="AQ274" s="151"/>
      <c r="AR274" s="151"/>
      <c r="AS274" s="151"/>
      <c r="AT274" s="151"/>
      <c r="AU274" s="151"/>
      <c r="AV274" s="151"/>
    </row>
    <row r="275" spans="1:48" ht="21" customHeight="1" thickBot="1" x14ac:dyDescent="0.45">
      <c r="A275" s="151"/>
      <c r="B275" s="299"/>
      <c r="C275" s="299"/>
      <c r="D275" s="151"/>
      <c r="E275" s="479"/>
      <c r="F275" s="479"/>
      <c r="G275" s="299"/>
      <c r="H275" s="299"/>
      <c r="I275" s="299"/>
      <c r="J275" s="299"/>
      <c r="K275" s="299"/>
      <c r="L275" s="299"/>
      <c r="M275" s="299"/>
      <c r="N275" s="299"/>
      <c r="O275" s="299"/>
      <c r="P275" s="299"/>
      <c r="Q275" s="299"/>
      <c r="R275" s="299"/>
      <c r="S275" s="299"/>
      <c r="T275" s="299"/>
      <c r="U275" s="299"/>
      <c r="V275" s="299"/>
      <c r="W275" s="299"/>
      <c r="X275" s="299"/>
      <c r="Y275" s="299"/>
      <c r="Z275" s="299"/>
      <c r="AA275" s="299"/>
      <c r="AB275" s="299"/>
      <c r="AC275" s="299"/>
      <c r="AD275" s="299"/>
      <c r="AE275" s="299"/>
      <c r="AF275" s="299"/>
      <c r="AG275" s="299"/>
      <c r="AH275" s="299"/>
      <c r="AI275" s="299"/>
      <c r="AJ275" s="302"/>
      <c r="AK275" s="302"/>
      <c r="AL275" s="302"/>
      <c r="AM275" s="593"/>
      <c r="AN275" s="593"/>
      <c r="AO275" s="215"/>
      <c r="AP275" s="157"/>
      <c r="AQ275" s="151"/>
      <c r="AR275" s="151"/>
      <c r="AS275" s="151"/>
      <c r="AT275" s="151"/>
      <c r="AU275" s="151"/>
      <c r="AV275" s="151"/>
    </row>
    <row r="276" spans="1:48" ht="21" customHeight="1" thickBot="1" x14ac:dyDescent="0.45">
      <c r="A276" s="151"/>
      <c r="B276" s="299"/>
      <c r="C276" s="299"/>
      <c r="D276" s="151"/>
      <c r="E276" s="479"/>
      <c r="F276" s="479"/>
      <c r="G276" s="299"/>
      <c r="H276" s="299"/>
      <c r="I276" s="299"/>
      <c r="J276" s="299"/>
      <c r="K276" s="299"/>
      <c r="L276" s="299"/>
      <c r="M276" s="299"/>
      <c r="N276" s="299"/>
      <c r="O276" s="299"/>
      <c r="P276" s="299"/>
      <c r="Q276" s="299"/>
      <c r="R276" s="299"/>
      <c r="S276" s="299"/>
      <c r="T276" s="299"/>
      <c r="U276" s="299"/>
      <c r="V276" s="299"/>
      <c r="W276" s="299"/>
      <c r="X276" s="299"/>
      <c r="Y276" s="299"/>
      <c r="Z276" s="299"/>
      <c r="AA276" s="299"/>
      <c r="AB276" s="299"/>
      <c r="AC276" s="299"/>
      <c r="AD276" s="299"/>
      <c r="AE276" s="299"/>
      <c r="AF276" s="299"/>
      <c r="AG276" s="299"/>
      <c r="AH276" s="299"/>
      <c r="AI276" s="299"/>
      <c r="AJ276" s="302"/>
      <c r="AK276" s="302"/>
      <c r="AL276" s="302"/>
      <c r="AM276" s="593"/>
      <c r="AN276" s="593"/>
      <c r="AO276" s="215"/>
      <c r="AP276" s="157"/>
      <c r="AQ276" s="151"/>
      <c r="AR276" s="151"/>
      <c r="AS276" s="151"/>
      <c r="AT276" s="151"/>
      <c r="AU276" s="151"/>
      <c r="AV276" s="151"/>
    </row>
    <row r="277" spans="1:48" ht="21" customHeight="1" thickBot="1" x14ac:dyDescent="0.45">
      <c r="A277" s="151"/>
      <c r="B277" s="299"/>
      <c r="C277" s="299"/>
      <c r="D277" s="151"/>
      <c r="E277" s="479"/>
      <c r="F277" s="479"/>
      <c r="G277" s="299"/>
      <c r="H277" s="299"/>
      <c r="I277" s="299"/>
      <c r="J277" s="299"/>
      <c r="K277" s="299"/>
      <c r="L277" s="299"/>
      <c r="M277" s="299"/>
      <c r="N277" s="299"/>
      <c r="O277" s="299"/>
      <c r="P277" s="299"/>
      <c r="Q277" s="299"/>
      <c r="R277" s="299"/>
      <c r="S277" s="299"/>
      <c r="T277" s="299"/>
      <c r="U277" s="299"/>
      <c r="V277" s="299"/>
      <c r="W277" s="299"/>
      <c r="X277" s="299"/>
      <c r="Y277" s="299"/>
      <c r="Z277" s="299"/>
      <c r="AA277" s="299"/>
      <c r="AB277" s="299"/>
      <c r="AC277" s="299"/>
      <c r="AD277" s="299"/>
      <c r="AE277" s="299"/>
      <c r="AF277" s="299"/>
      <c r="AG277" s="299"/>
      <c r="AH277" s="299"/>
      <c r="AI277" s="299"/>
      <c r="AJ277" s="302"/>
      <c r="AK277" s="302"/>
      <c r="AL277" s="302"/>
      <c r="AM277" s="593"/>
      <c r="AN277" s="593"/>
      <c r="AO277" s="215"/>
      <c r="AP277" s="157"/>
      <c r="AQ277" s="151"/>
      <c r="AR277" s="151"/>
      <c r="AS277" s="151"/>
      <c r="AT277" s="151"/>
      <c r="AU277" s="151"/>
      <c r="AV277" s="151"/>
    </row>
    <row r="278" spans="1:48" ht="21" customHeight="1" thickBot="1" x14ac:dyDescent="0.45">
      <c r="A278" s="151"/>
      <c r="B278" s="299"/>
      <c r="C278" s="299"/>
      <c r="D278" s="151"/>
      <c r="E278" s="479"/>
      <c r="F278" s="47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302"/>
      <c r="AK278" s="302"/>
      <c r="AL278" s="302"/>
      <c r="AM278" s="593"/>
      <c r="AN278" s="593"/>
      <c r="AO278" s="215"/>
      <c r="AP278" s="157"/>
      <c r="AQ278" s="151"/>
      <c r="AR278" s="151"/>
      <c r="AS278" s="151"/>
      <c r="AT278" s="151"/>
      <c r="AU278" s="151"/>
      <c r="AV278" s="151"/>
    </row>
    <row r="279" spans="1:48" ht="21" customHeight="1" thickBot="1" x14ac:dyDescent="0.45">
      <c r="A279" s="151"/>
      <c r="B279" s="299"/>
      <c r="C279" s="299"/>
      <c r="D279" s="151"/>
      <c r="E279" s="479"/>
      <c r="F279" s="479"/>
      <c r="G279" s="299"/>
      <c r="H279" s="299"/>
      <c r="I279" s="299"/>
      <c r="J279" s="299"/>
      <c r="K279" s="299"/>
      <c r="L279" s="299"/>
      <c r="M279" s="299"/>
      <c r="N279" s="299"/>
      <c r="O279" s="299"/>
      <c r="P279" s="299"/>
      <c r="Q279" s="299"/>
      <c r="R279" s="299"/>
      <c r="S279" s="299"/>
      <c r="T279" s="299"/>
      <c r="U279" s="299"/>
      <c r="V279" s="299"/>
      <c r="W279" s="299"/>
      <c r="X279" s="299"/>
      <c r="Y279" s="299"/>
      <c r="Z279" s="299"/>
      <c r="AA279" s="299"/>
      <c r="AB279" s="299"/>
      <c r="AC279" s="299"/>
      <c r="AD279" s="299"/>
      <c r="AE279" s="299"/>
      <c r="AF279" s="299"/>
      <c r="AG279" s="299"/>
      <c r="AH279" s="299"/>
      <c r="AI279" s="299"/>
      <c r="AJ279" s="302"/>
      <c r="AK279" s="302"/>
      <c r="AL279" s="302"/>
      <c r="AM279" s="593"/>
      <c r="AN279" s="593"/>
      <c r="AO279" s="215"/>
      <c r="AP279" s="157"/>
      <c r="AQ279" s="151"/>
      <c r="AR279" s="151"/>
      <c r="AS279" s="151"/>
      <c r="AT279" s="151"/>
      <c r="AU279" s="151"/>
      <c r="AV279" s="151"/>
    </row>
    <row r="280" spans="1:48" ht="21" customHeight="1" thickBot="1" x14ac:dyDescent="0.45">
      <c r="A280" s="151"/>
      <c r="B280" s="299"/>
      <c r="C280" s="299"/>
      <c r="D280" s="151"/>
      <c r="E280" s="479"/>
      <c r="F280" s="479"/>
      <c r="G280" s="299"/>
      <c r="H280" s="299"/>
      <c r="I280" s="299"/>
      <c r="J280" s="299"/>
      <c r="K280" s="299"/>
      <c r="L280" s="299"/>
      <c r="M280" s="299"/>
      <c r="N280" s="299"/>
      <c r="O280" s="299"/>
      <c r="P280" s="299"/>
      <c r="Q280" s="299"/>
      <c r="R280" s="299"/>
      <c r="S280" s="299"/>
      <c r="T280" s="299"/>
      <c r="U280" s="299"/>
      <c r="V280" s="299"/>
      <c r="W280" s="299"/>
      <c r="X280" s="299"/>
      <c r="Y280" s="299"/>
      <c r="Z280" s="299"/>
      <c r="AA280" s="299"/>
      <c r="AB280" s="299"/>
      <c r="AC280" s="299"/>
      <c r="AD280" s="299"/>
      <c r="AE280" s="299"/>
      <c r="AF280" s="299"/>
      <c r="AG280" s="299"/>
      <c r="AH280" s="299"/>
      <c r="AI280" s="299"/>
      <c r="AJ280" s="302"/>
      <c r="AK280" s="302"/>
      <c r="AL280" s="302"/>
      <c r="AM280" s="593"/>
      <c r="AN280" s="593"/>
      <c r="AO280" s="215"/>
      <c r="AP280" s="157"/>
      <c r="AQ280" s="151"/>
      <c r="AR280" s="151"/>
      <c r="AS280" s="151"/>
      <c r="AT280" s="151"/>
      <c r="AU280" s="151"/>
      <c r="AV280" s="151"/>
    </row>
    <row r="281" spans="1:48" ht="21" customHeight="1" thickBot="1" x14ac:dyDescent="0.45">
      <c r="A281" s="151"/>
      <c r="B281" s="299"/>
      <c r="C281" s="299"/>
      <c r="D281" s="151"/>
      <c r="E281" s="479"/>
      <c r="F281" s="47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302"/>
      <c r="AK281" s="302"/>
      <c r="AL281" s="302"/>
      <c r="AM281" s="593"/>
      <c r="AN281" s="593"/>
      <c r="AO281" s="215"/>
      <c r="AP281" s="157"/>
      <c r="AQ281" s="151"/>
      <c r="AR281" s="151"/>
      <c r="AS281" s="151"/>
      <c r="AT281" s="151"/>
      <c r="AU281" s="151"/>
      <c r="AV281" s="151"/>
    </row>
    <row r="282" spans="1:48" ht="21" customHeight="1" thickBot="1" x14ac:dyDescent="0.45">
      <c r="A282" s="151"/>
      <c r="B282" s="299"/>
      <c r="C282" s="299"/>
      <c r="D282" s="151"/>
      <c r="E282" s="479"/>
      <c r="F282" s="47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302"/>
      <c r="AK282" s="302"/>
      <c r="AL282" s="302"/>
      <c r="AM282" s="593"/>
      <c r="AN282" s="593"/>
      <c r="AO282" s="215"/>
      <c r="AP282" s="157"/>
      <c r="AQ282" s="151"/>
      <c r="AR282" s="151"/>
      <c r="AS282" s="151"/>
      <c r="AT282" s="151"/>
      <c r="AU282" s="151"/>
      <c r="AV282" s="151"/>
    </row>
    <row r="283" spans="1:48" ht="21" customHeight="1" thickBot="1" x14ac:dyDescent="0.45">
      <c r="A283" s="151"/>
      <c r="B283" s="299"/>
      <c r="C283" s="299"/>
      <c r="D283" s="151"/>
      <c r="E283" s="479"/>
      <c r="F283" s="47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299"/>
      <c r="AE283" s="299"/>
      <c r="AF283" s="299"/>
      <c r="AG283" s="299"/>
      <c r="AH283" s="299"/>
      <c r="AI283" s="299"/>
      <c r="AJ283" s="302"/>
      <c r="AK283" s="302"/>
      <c r="AL283" s="302"/>
      <c r="AM283" s="593"/>
      <c r="AN283" s="593"/>
      <c r="AO283" s="215"/>
      <c r="AP283" s="157"/>
      <c r="AQ283" s="151"/>
      <c r="AR283" s="151"/>
      <c r="AS283" s="151"/>
      <c r="AT283" s="151"/>
      <c r="AU283" s="151"/>
      <c r="AV283" s="151"/>
    </row>
    <row r="284" spans="1:48" ht="21" customHeight="1" thickBot="1" x14ac:dyDescent="0.45">
      <c r="A284" s="151"/>
      <c r="B284" s="299"/>
      <c r="C284" s="299"/>
      <c r="D284" s="151"/>
      <c r="E284" s="479"/>
      <c r="F284" s="479"/>
      <c r="G284" s="299"/>
      <c r="H284" s="299"/>
      <c r="I284" s="299"/>
      <c r="J284" s="299"/>
      <c r="K284" s="299"/>
      <c r="L284" s="299"/>
      <c r="M284" s="299"/>
      <c r="N284" s="299"/>
      <c r="O284" s="299"/>
      <c r="P284" s="299"/>
      <c r="Q284" s="299"/>
      <c r="R284" s="299"/>
      <c r="S284" s="299"/>
      <c r="T284" s="299"/>
      <c r="U284" s="299"/>
      <c r="V284" s="299"/>
      <c r="W284" s="299"/>
      <c r="X284" s="299"/>
      <c r="Y284" s="299"/>
      <c r="Z284" s="299"/>
      <c r="AA284" s="299"/>
      <c r="AB284" s="299"/>
      <c r="AC284" s="299"/>
      <c r="AD284" s="299"/>
      <c r="AE284" s="299"/>
      <c r="AF284" s="299"/>
      <c r="AG284" s="299"/>
      <c r="AH284" s="299"/>
      <c r="AI284" s="299"/>
      <c r="AJ284" s="302"/>
      <c r="AK284" s="302"/>
      <c r="AL284" s="302"/>
      <c r="AM284" s="593"/>
      <c r="AN284" s="593"/>
      <c r="AO284" s="215"/>
      <c r="AP284" s="157"/>
      <c r="AQ284" s="151"/>
      <c r="AR284" s="151"/>
      <c r="AS284" s="151"/>
      <c r="AT284" s="151"/>
      <c r="AU284" s="151"/>
      <c r="AV284" s="151"/>
    </row>
    <row r="285" spans="1:48" ht="21" customHeight="1" thickBot="1" x14ac:dyDescent="0.45">
      <c r="A285" s="151"/>
      <c r="B285" s="299"/>
      <c r="C285" s="299"/>
      <c r="D285" s="151"/>
      <c r="E285" s="479"/>
      <c r="F285" s="479"/>
      <c r="G285" s="299"/>
      <c r="H285" s="299"/>
      <c r="I285" s="299"/>
      <c r="J285" s="299"/>
      <c r="K285" s="299"/>
      <c r="L285" s="299"/>
      <c r="M285" s="299"/>
      <c r="N285" s="299"/>
      <c r="O285" s="299"/>
      <c r="P285" s="299"/>
      <c r="Q285" s="299"/>
      <c r="R285" s="299"/>
      <c r="S285" s="299"/>
      <c r="T285" s="299"/>
      <c r="U285" s="299"/>
      <c r="V285" s="299"/>
      <c r="W285" s="299"/>
      <c r="X285" s="299"/>
      <c r="Y285" s="299"/>
      <c r="Z285" s="299"/>
      <c r="AA285" s="299"/>
      <c r="AB285" s="299"/>
      <c r="AC285" s="299"/>
      <c r="AD285" s="299"/>
      <c r="AE285" s="299"/>
      <c r="AF285" s="299"/>
      <c r="AG285" s="299"/>
      <c r="AH285" s="299"/>
      <c r="AI285" s="299"/>
      <c r="AJ285" s="302"/>
      <c r="AK285" s="302"/>
      <c r="AL285" s="302"/>
      <c r="AM285" s="593"/>
      <c r="AN285" s="593"/>
      <c r="AO285" s="215"/>
      <c r="AP285" s="157"/>
      <c r="AQ285" s="151"/>
      <c r="AR285" s="151"/>
      <c r="AS285" s="151"/>
      <c r="AT285" s="151"/>
      <c r="AU285" s="151"/>
      <c r="AV285" s="151"/>
    </row>
    <row r="286" spans="1:48" ht="21" customHeight="1" thickBot="1" x14ac:dyDescent="0.45">
      <c r="A286" s="151"/>
      <c r="B286" s="299"/>
      <c r="C286" s="299"/>
      <c r="D286" s="151"/>
      <c r="E286" s="479"/>
      <c r="F286" s="479"/>
      <c r="G286" s="299"/>
      <c r="H286" s="299"/>
      <c r="I286" s="299"/>
      <c r="J286" s="299"/>
      <c r="K286" s="299"/>
      <c r="L286" s="299"/>
      <c r="M286" s="299"/>
      <c r="N286" s="299"/>
      <c r="O286" s="299"/>
      <c r="P286" s="299"/>
      <c r="Q286" s="299"/>
      <c r="R286" s="299"/>
      <c r="S286" s="299"/>
      <c r="T286" s="299"/>
      <c r="U286" s="299"/>
      <c r="V286" s="299"/>
      <c r="W286" s="299"/>
      <c r="X286" s="299"/>
      <c r="Y286" s="299"/>
      <c r="Z286" s="299"/>
      <c r="AA286" s="299"/>
      <c r="AB286" s="299"/>
      <c r="AC286" s="299"/>
      <c r="AD286" s="299"/>
      <c r="AE286" s="299"/>
      <c r="AF286" s="299"/>
      <c r="AG286" s="299"/>
      <c r="AH286" s="299"/>
      <c r="AI286" s="299"/>
      <c r="AJ286" s="302"/>
      <c r="AK286" s="302"/>
      <c r="AL286" s="302"/>
      <c r="AM286" s="593"/>
      <c r="AN286" s="593"/>
      <c r="AO286" s="215"/>
      <c r="AP286" s="157"/>
      <c r="AQ286" s="151"/>
      <c r="AR286" s="151"/>
      <c r="AS286" s="151"/>
      <c r="AT286" s="151"/>
      <c r="AU286" s="151"/>
      <c r="AV286" s="151"/>
    </row>
    <row r="287" spans="1:48" ht="21" customHeight="1" thickBot="1" x14ac:dyDescent="0.45">
      <c r="A287" s="151"/>
      <c r="B287" s="299"/>
      <c r="C287" s="299"/>
      <c r="D287" s="151"/>
      <c r="E287" s="479"/>
      <c r="F287" s="479"/>
      <c r="G287" s="299"/>
      <c r="H287" s="299"/>
      <c r="I287" s="299"/>
      <c r="J287" s="299"/>
      <c r="K287" s="299"/>
      <c r="L287" s="299"/>
      <c r="M287" s="299"/>
      <c r="N287" s="299"/>
      <c r="O287" s="299"/>
      <c r="P287" s="299"/>
      <c r="Q287" s="299"/>
      <c r="R287" s="299"/>
      <c r="S287" s="299"/>
      <c r="T287" s="299"/>
      <c r="U287" s="299"/>
      <c r="V287" s="299"/>
      <c r="W287" s="299"/>
      <c r="X287" s="299"/>
      <c r="Y287" s="299"/>
      <c r="Z287" s="299"/>
      <c r="AA287" s="299"/>
      <c r="AB287" s="299"/>
      <c r="AC287" s="299"/>
      <c r="AD287" s="299"/>
      <c r="AE287" s="299"/>
      <c r="AF287" s="299"/>
      <c r="AG287" s="299"/>
      <c r="AH287" s="299"/>
      <c r="AI287" s="299"/>
      <c r="AJ287" s="302"/>
      <c r="AK287" s="302"/>
      <c r="AL287" s="302"/>
      <c r="AM287" s="593"/>
      <c r="AN287" s="593"/>
      <c r="AO287" s="215"/>
      <c r="AP287" s="157"/>
      <c r="AQ287" s="151"/>
      <c r="AR287" s="151"/>
      <c r="AS287" s="151"/>
      <c r="AT287" s="151"/>
      <c r="AU287" s="151"/>
      <c r="AV287" s="151"/>
    </row>
    <row r="288" spans="1:48" ht="21" customHeight="1" thickBot="1" x14ac:dyDescent="0.45">
      <c r="A288" s="151"/>
      <c r="B288" s="299"/>
      <c r="C288" s="299"/>
      <c r="D288" s="151"/>
      <c r="E288" s="479"/>
      <c r="F288" s="479"/>
      <c r="G288" s="299"/>
      <c r="H288" s="299"/>
      <c r="I288" s="299"/>
      <c r="J288" s="299"/>
      <c r="K288" s="299"/>
      <c r="L288" s="299"/>
      <c r="M288" s="299"/>
      <c r="N288" s="299"/>
      <c r="O288" s="299"/>
      <c r="P288" s="299"/>
      <c r="Q288" s="299"/>
      <c r="R288" s="299"/>
      <c r="S288" s="299"/>
      <c r="T288" s="299"/>
      <c r="U288" s="299"/>
      <c r="V288" s="299"/>
      <c r="W288" s="299"/>
      <c r="X288" s="299"/>
      <c r="Y288" s="299"/>
      <c r="Z288" s="299"/>
      <c r="AA288" s="299"/>
      <c r="AB288" s="299"/>
      <c r="AC288" s="299"/>
      <c r="AD288" s="299"/>
      <c r="AE288" s="299"/>
      <c r="AF288" s="299"/>
      <c r="AG288" s="299"/>
      <c r="AH288" s="299"/>
      <c r="AI288" s="299"/>
      <c r="AJ288" s="302"/>
      <c r="AK288" s="302"/>
      <c r="AL288" s="302"/>
      <c r="AM288" s="593"/>
      <c r="AN288" s="593"/>
      <c r="AO288" s="215"/>
      <c r="AP288" s="157"/>
      <c r="AQ288" s="151"/>
      <c r="AR288" s="151"/>
      <c r="AS288" s="151"/>
      <c r="AT288" s="151"/>
      <c r="AU288" s="151"/>
      <c r="AV288" s="151"/>
    </row>
    <row r="289" spans="1:48" ht="21" customHeight="1" thickBot="1" x14ac:dyDescent="0.45">
      <c r="A289" s="151"/>
      <c r="B289" s="299"/>
      <c r="C289" s="299"/>
      <c r="D289" s="151"/>
      <c r="E289" s="479"/>
      <c r="F289" s="479"/>
      <c r="G289" s="299"/>
      <c r="H289" s="299"/>
      <c r="I289" s="299"/>
      <c r="J289" s="299"/>
      <c r="K289" s="299"/>
      <c r="L289" s="299"/>
      <c r="M289" s="299"/>
      <c r="N289" s="299"/>
      <c r="O289" s="299"/>
      <c r="P289" s="299"/>
      <c r="Q289" s="299"/>
      <c r="R289" s="299"/>
      <c r="S289" s="299"/>
      <c r="T289" s="299"/>
      <c r="U289" s="299"/>
      <c r="V289" s="299"/>
      <c r="W289" s="299"/>
      <c r="X289" s="299"/>
      <c r="Y289" s="299"/>
      <c r="Z289" s="299"/>
      <c r="AA289" s="299"/>
      <c r="AB289" s="299"/>
      <c r="AC289" s="299"/>
      <c r="AD289" s="299"/>
      <c r="AE289" s="299"/>
      <c r="AF289" s="299"/>
      <c r="AG289" s="299"/>
      <c r="AH289" s="299"/>
      <c r="AI289" s="299"/>
      <c r="AJ289" s="302"/>
      <c r="AK289" s="302"/>
      <c r="AL289" s="302"/>
      <c r="AM289" s="593"/>
      <c r="AN289" s="593"/>
      <c r="AO289" s="215"/>
      <c r="AP289" s="157"/>
      <c r="AQ289" s="151"/>
      <c r="AR289" s="151"/>
      <c r="AS289" s="151"/>
      <c r="AT289" s="151"/>
      <c r="AU289" s="151"/>
      <c r="AV289" s="151"/>
    </row>
    <row r="290" spans="1:48" ht="21" customHeight="1" thickBot="1" x14ac:dyDescent="0.45">
      <c r="A290" s="151"/>
      <c r="B290" s="299"/>
      <c r="C290" s="299"/>
      <c r="D290" s="151"/>
      <c r="E290" s="479"/>
      <c r="F290" s="47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302"/>
      <c r="AK290" s="302"/>
      <c r="AL290" s="302"/>
      <c r="AM290" s="593"/>
      <c r="AN290" s="593"/>
      <c r="AO290" s="215"/>
      <c r="AP290" s="157"/>
      <c r="AQ290" s="151"/>
      <c r="AR290" s="151"/>
      <c r="AS290" s="151"/>
      <c r="AT290" s="151"/>
      <c r="AU290" s="151"/>
      <c r="AV290" s="151"/>
    </row>
    <row r="291" spans="1:48" ht="21" customHeight="1" thickBot="1" x14ac:dyDescent="0.45">
      <c r="A291" s="151"/>
      <c r="B291" s="299"/>
      <c r="C291" s="299"/>
      <c r="D291" s="151"/>
      <c r="E291" s="479"/>
      <c r="F291" s="479"/>
      <c r="G291" s="299"/>
      <c r="H291" s="299"/>
      <c r="I291" s="299"/>
      <c r="J291" s="299"/>
      <c r="K291" s="299"/>
      <c r="L291" s="299"/>
      <c r="M291" s="299"/>
      <c r="N291" s="299"/>
      <c r="O291" s="299"/>
      <c r="P291" s="299"/>
      <c r="Q291" s="299"/>
      <c r="R291" s="299"/>
      <c r="S291" s="299"/>
      <c r="T291" s="299"/>
      <c r="U291" s="299"/>
      <c r="V291" s="299"/>
      <c r="W291" s="299"/>
      <c r="X291" s="299"/>
      <c r="Y291" s="299"/>
      <c r="Z291" s="299"/>
      <c r="AA291" s="299"/>
      <c r="AB291" s="299"/>
      <c r="AC291" s="299"/>
      <c r="AD291" s="299"/>
      <c r="AE291" s="299"/>
      <c r="AF291" s="299"/>
      <c r="AG291" s="299"/>
      <c r="AH291" s="299"/>
      <c r="AI291" s="299"/>
      <c r="AJ291" s="302"/>
      <c r="AK291" s="302"/>
      <c r="AL291" s="302"/>
      <c r="AM291" s="593"/>
      <c r="AN291" s="593"/>
      <c r="AO291" s="215"/>
      <c r="AP291" s="157"/>
      <c r="AQ291" s="151"/>
      <c r="AR291" s="151"/>
      <c r="AS291" s="151"/>
      <c r="AT291" s="151"/>
      <c r="AU291" s="151"/>
      <c r="AV291" s="151"/>
    </row>
    <row r="292" spans="1:48" ht="21" customHeight="1" thickBot="1" x14ac:dyDescent="0.45">
      <c r="A292" s="151"/>
      <c r="B292" s="299"/>
      <c r="C292" s="299"/>
      <c r="D292" s="151"/>
      <c r="E292" s="479"/>
      <c r="F292" s="47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302"/>
      <c r="AK292" s="302"/>
      <c r="AL292" s="302"/>
      <c r="AM292" s="593"/>
      <c r="AN292" s="593"/>
      <c r="AO292" s="215"/>
      <c r="AP292" s="157"/>
      <c r="AQ292" s="151"/>
      <c r="AR292" s="151"/>
      <c r="AS292" s="151"/>
      <c r="AT292" s="151"/>
      <c r="AU292" s="151"/>
      <c r="AV292" s="151"/>
    </row>
    <row r="293" spans="1:48" ht="21" customHeight="1" thickBot="1" x14ac:dyDescent="0.45">
      <c r="A293" s="151"/>
      <c r="B293" s="299"/>
      <c r="C293" s="299"/>
      <c r="D293" s="151"/>
      <c r="E293" s="479"/>
      <c r="F293" s="47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299"/>
      <c r="AE293" s="299"/>
      <c r="AF293" s="299"/>
      <c r="AG293" s="299"/>
      <c r="AH293" s="299"/>
      <c r="AI293" s="299"/>
      <c r="AJ293" s="302"/>
      <c r="AK293" s="302"/>
      <c r="AL293" s="302"/>
      <c r="AM293" s="593"/>
      <c r="AN293" s="593"/>
      <c r="AO293" s="215"/>
      <c r="AP293" s="157"/>
      <c r="AQ293" s="151"/>
      <c r="AR293" s="151"/>
      <c r="AS293" s="151"/>
      <c r="AT293" s="151"/>
      <c r="AU293" s="151"/>
      <c r="AV293" s="151"/>
    </row>
    <row r="294" spans="1:48" ht="21" customHeight="1" thickBot="1" x14ac:dyDescent="0.45">
      <c r="A294" s="151"/>
      <c r="B294" s="299"/>
      <c r="C294" s="299"/>
      <c r="D294" s="151"/>
      <c r="E294" s="479"/>
      <c r="F294" s="479"/>
      <c r="G294" s="299"/>
      <c r="H294" s="299"/>
      <c r="I294" s="299"/>
      <c r="J294" s="299"/>
      <c r="K294" s="299"/>
      <c r="L294" s="299"/>
      <c r="M294" s="299"/>
      <c r="N294" s="299"/>
      <c r="O294" s="299"/>
      <c r="P294" s="299"/>
      <c r="Q294" s="299"/>
      <c r="R294" s="299"/>
      <c r="S294" s="299"/>
      <c r="T294" s="299"/>
      <c r="U294" s="299"/>
      <c r="V294" s="299"/>
      <c r="W294" s="299"/>
      <c r="X294" s="299"/>
      <c r="Y294" s="299"/>
      <c r="Z294" s="299"/>
      <c r="AA294" s="299"/>
      <c r="AB294" s="299"/>
      <c r="AC294" s="299"/>
      <c r="AD294" s="299"/>
      <c r="AE294" s="299"/>
      <c r="AF294" s="299"/>
      <c r="AG294" s="299"/>
      <c r="AH294" s="299"/>
      <c r="AI294" s="299"/>
      <c r="AJ294" s="302"/>
      <c r="AK294" s="302"/>
      <c r="AL294" s="302"/>
      <c r="AM294" s="593"/>
      <c r="AN294" s="593"/>
      <c r="AO294" s="215"/>
      <c r="AP294" s="157"/>
      <c r="AQ294" s="151"/>
      <c r="AR294" s="151"/>
      <c r="AS294" s="151"/>
      <c r="AT294" s="151"/>
      <c r="AU294" s="151"/>
      <c r="AV294" s="151"/>
    </row>
    <row r="295" spans="1:48" ht="21" customHeight="1" thickBot="1" x14ac:dyDescent="0.45">
      <c r="A295" s="151"/>
      <c r="B295" s="299"/>
      <c r="C295" s="299"/>
      <c r="D295" s="151"/>
      <c r="E295" s="479"/>
      <c r="F295" s="47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299"/>
      <c r="AF295" s="299"/>
      <c r="AG295" s="299"/>
      <c r="AH295" s="299"/>
      <c r="AI295" s="299"/>
      <c r="AJ295" s="302"/>
      <c r="AK295" s="302"/>
      <c r="AL295" s="302"/>
      <c r="AM295" s="593"/>
      <c r="AN295" s="593"/>
      <c r="AO295" s="215"/>
      <c r="AP295" s="157"/>
      <c r="AQ295" s="151"/>
      <c r="AR295" s="151"/>
      <c r="AS295" s="151"/>
      <c r="AT295" s="151"/>
      <c r="AU295" s="151"/>
      <c r="AV295" s="151"/>
    </row>
    <row r="296" spans="1:48" ht="21" customHeight="1" thickBot="1" x14ac:dyDescent="0.45">
      <c r="A296" s="151"/>
      <c r="B296" s="299"/>
      <c r="C296" s="299"/>
      <c r="D296" s="151"/>
      <c r="E296" s="479"/>
      <c r="F296" s="479"/>
      <c r="G296" s="299"/>
      <c r="H296" s="299"/>
      <c r="I296" s="299"/>
      <c r="J296" s="299"/>
      <c r="K296" s="299"/>
      <c r="L296" s="299"/>
      <c r="M296" s="299"/>
      <c r="N296" s="299"/>
      <c r="O296" s="299"/>
      <c r="P296" s="299"/>
      <c r="Q296" s="299"/>
      <c r="R296" s="299"/>
      <c r="S296" s="299"/>
      <c r="T296" s="299"/>
      <c r="U296" s="299"/>
      <c r="V296" s="299"/>
      <c r="W296" s="299"/>
      <c r="X296" s="299"/>
      <c r="Y296" s="299"/>
      <c r="Z296" s="299"/>
      <c r="AA296" s="299"/>
      <c r="AB296" s="299"/>
      <c r="AC296" s="299"/>
      <c r="AD296" s="299"/>
      <c r="AE296" s="299"/>
      <c r="AF296" s="299"/>
      <c r="AG296" s="299"/>
      <c r="AH296" s="299"/>
      <c r="AI296" s="299"/>
      <c r="AJ296" s="302"/>
      <c r="AK296" s="302"/>
      <c r="AL296" s="302"/>
      <c r="AM296" s="593"/>
      <c r="AN296" s="593"/>
      <c r="AO296" s="215"/>
      <c r="AP296" s="157"/>
      <c r="AQ296" s="151"/>
      <c r="AR296" s="151"/>
      <c r="AS296" s="151"/>
      <c r="AT296" s="151"/>
      <c r="AU296" s="151"/>
      <c r="AV296" s="151"/>
    </row>
    <row r="297" spans="1:48" ht="21" customHeight="1" thickBot="1" x14ac:dyDescent="0.45">
      <c r="A297" s="151"/>
      <c r="B297" s="299"/>
      <c r="C297" s="299"/>
      <c r="D297" s="151"/>
      <c r="E297" s="479"/>
      <c r="F297" s="479"/>
      <c r="G297" s="299"/>
      <c r="H297" s="299"/>
      <c r="I297" s="299"/>
      <c r="J297" s="299"/>
      <c r="K297" s="299"/>
      <c r="L297" s="299"/>
      <c r="M297" s="299"/>
      <c r="N297" s="299"/>
      <c r="O297" s="299"/>
      <c r="P297" s="299"/>
      <c r="Q297" s="299"/>
      <c r="R297" s="299"/>
      <c r="S297" s="299"/>
      <c r="T297" s="299"/>
      <c r="U297" s="299"/>
      <c r="V297" s="299"/>
      <c r="W297" s="299"/>
      <c r="X297" s="299"/>
      <c r="Y297" s="299"/>
      <c r="Z297" s="299"/>
      <c r="AA297" s="299"/>
      <c r="AB297" s="299"/>
      <c r="AC297" s="299"/>
      <c r="AD297" s="299"/>
      <c r="AE297" s="299"/>
      <c r="AF297" s="299"/>
      <c r="AG297" s="299"/>
      <c r="AH297" s="299"/>
      <c r="AI297" s="299"/>
      <c r="AJ297" s="302"/>
      <c r="AK297" s="302"/>
      <c r="AL297" s="302"/>
      <c r="AM297" s="593"/>
      <c r="AN297" s="593"/>
      <c r="AO297" s="215"/>
      <c r="AP297" s="157"/>
      <c r="AQ297" s="151"/>
      <c r="AR297" s="151"/>
      <c r="AS297" s="151"/>
      <c r="AT297" s="151"/>
      <c r="AU297" s="151"/>
      <c r="AV297" s="151"/>
    </row>
    <row r="298" spans="1:48" ht="21" customHeight="1" thickBot="1" x14ac:dyDescent="0.45">
      <c r="A298" s="151"/>
      <c r="B298" s="299"/>
      <c r="C298" s="299"/>
      <c r="D298" s="151"/>
      <c r="E298" s="479"/>
      <c r="F298" s="479"/>
      <c r="G298" s="299"/>
      <c r="H298" s="299"/>
      <c r="I298" s="299"/>
      <c r="J298" s="299"/>
      <c r="K298" s="299"/>
      <c r="L298" s="299"/>
      <c r="M298" s="299"/>
      <c r="N298" s="299"/>
      <c r="O298" s="299"/>
      <c r="P298" s="299"/>
      <c r="Q298" s="299"/>
      <c r="R298" s="299"/>
      <c r="S298" s="299"/>
      <c r="T298" s="299"/>
      <c r="U298" s="299"/>
      <c r="V298" s="299"/>
      <c r="W298" s="299"/>
      <c r="X298" s="299"/>
      <c r="Y298" s="299"/>
      <c r="Z298" s="299"/>
      <c r="AA298" s="299"/>
      <c r="AB298" s="299"/>
      <c r="AC298" s="299"/>
      <c r="AD298" s="299"/>
      <c r="AE298" s="299"/>
      <c r="AF298" s="299"/>
      <c r="AG298" s="299"/>
      <c r="AH298" s="299"/>
      <c r="AI298" s="299"/>
      <c r="AJ298" s="302"/>
      <c r="AK298" s="302"/>
      <c r="AL298" s="302"/>
      <c r="AM298" s="593"/>
      <c r="AN298" s="593"/>
      <c r="AO298" s="215"/>
      <c r="AP298" s="157"/>
      <c r="AQ298" s="151"/>
      <c r="AR298" s="151"/>
      <c r="AS298" s="151"/>
      <c r="AT298" s="151"/>
      <c r="AU298" s="151"/>
      <c r="AV298" s="151"/>
    </row>
    <row r="299" spans="1:48" ht="21" customHeight="1" thickBot="1" x14ac:dyDescent="0.45">
      <c r="A299" s="151"/>
      <c r="B299" s="299"/>
      <c r="C299" s="299"/>
      <c r="D299" s="151"/>
      <c r="E299" s="479"/>
      <c r="F299" s="479"/>
      <c r="G299" s="299"/>
      <c r="H299" s="299"/>
      <c r="I299" s="299"/>
      <c r="J299" s="299"/>
      <c r="K299" s="299"/>
      <c r="L299" s="299"/>
      <c r="M299" s="299"/>
      <c r="N299" s="299"/>
      <c r="O299" s="299"/>
      <c r="P299" s="299"/>
      <c r="Q299" s="299"/>
      <c r="R299" s="299"/>
      <c r="S299" s="299"/>
      <c r="T299" s="299"/>
      <c r="U299" s="299"/>
      <c r="V299" s="299"/>
      <c r="W299" s="299"/>
      <c r="X299" s="299"/>
      <c r="Y299" s="299"/>
      <c r="Z299" s="299"/>
      <c r="AA299" s="299"/>
      <c r="AB299" s="299"/>
      <c r="AC299" s="299"/>
      <c r="AD299" s="299"/>
      <c r="AE299" s="299"/>
      <c r="AF299" s="299"/>
      <c r="AG299" s="299"/>
      <c r="AH299" s="299"/>
      <c r="AI299" s="299"/>
      <c r="AJ299" s="302"/>
      <c r="AK299" s="302"/>
      <c r="AL299" s="302"/>
      <c r="AM299" s="593"/>
      <c r="AN299" s="593"/>
      <c r="AO299" s="215"/>
      <c r="AP299" s="157"/>
      <c r="AQ299" s="151"/>
      <c r="AR299" s="151"/>
      <c r="AS299" s="151"/>
      <c r="AT299" s="151"/>
      <c r="AU299" s="151"/>
      <c r="AV299" s="151"/>
    </row>
    <row r="300" spans="1:48" ht="21" customHeight="1" thickBot="1" x14ac:dyDescent="0.45">
      <c r="A300" s="151"/>
      <c r="B300" s="299"/>
      <c r="C300" s="299"/>
      <c r="D300" s="151"/>
      <c r="E300" s="479"/>
      <c r="F300" s="479"/>
      <c r="G300" s="299"/>
      <c r="H300" s="299"/>
      <c r="I300" s="299"/>
      <c r="J300" s="299"/>
      <c r="K300" s="299"/>
      <c r="L300" s="299"/>
      <c r="M300" s="299"/>
      <c r="N300" s="299"/>
      <c r="O300" s="299"/>
      <c r="P300" s="299"/>
      <c r="Q300" s="299"/>
      <c r="R300" s="299"/>
      <c r="S300" s="299"/>
      <c r="T300" s="299"/>
      <c r="U300" s="299"/>
      <c r="V300" s="299"/>
      <c r="W300" s="299"/>
      <c r="X300" s="299"/>
      <c r="Y300" s="299"/>
      <c r="Z300" s="299"/>
      <c r="AA300" s="299"/>
      <c r="AB300" s="299"/>
      <c r="AC300" s="299"/>
      <c r="AD300" s="299"/>
      <c r="AE300" s="299"/>
      <c r="AF300" s="299"/>
      <c r="AG300" s="299"/>
      <c r="AH300" s="299"/>
      <c r="AI300" s="299"/>
      <c r="AJ300" s="302"/>
      <c r="AK300" s="302"/>
      <c r="AL300" s="302"/>
      <c r="AM300" s="593"/>
      <c r="AN300" s="593"/>
      <c r="AO300" s="215"/>
      <c r="AP300" s="157"/>
      <c r="AQ300" s="151"/>
      <c r="AR300" s="151"/>
      <c r="AS300" s="151"/>
      <c r="AT300" s="151"/>
      <c r="AU300" s="151"/>
      <c r="AV300" s="151"/>
    </row>
    <row r="301" spans="1:48" ht="21" customHeight="1" thickBot="1" x14ac:dyDescent="0.45">
      <c r="A301" s="151"/>
      <c r="B301" s="299"/>
      <c r="C301" s="299"/>
      <c r="D301" s="151"/>
      <c r="E301" s="479"/>
      <c r="F301" s="479"/>
      <c r="G301" s="299"/>
      <c r="H301" s="299"/>
      <c r="I301" s="299"/>
      <c r="J301" s="299"/>
      <c r="K301" s="299"/>
      <c r="L301" s="299"/>
      <c r="M301" s="299"/>
      <c r="N301" s="299"/>
      <c r="O301" s="299"/>
      <c r="P301" s="299"/>
      <c r="Q301" s="299"/>
      <c r="R301" s="299"/>
      <c r="S301" s="299"/>
      <c r="T301" s="299"/>
      <c r="U301" s="299"/>
      <c r="V301" s="299"/>
      <c r="W301" s="299"/>
      <c r="X301" s="299"/>
      <c r="Y301" s="299"/>
      <c r="Z301" s="299"/>
      <c r="AA301" s="299"/>
      <c r="AB301" s="299"/>
      <c r="AC301" s="299"/>
      <c r="AD301" s="299"/>
      <c r="AE301" s="299"/>
      <c r="AF301" s="299"/>
      <c r="AG301" s="299"/>
      <c r="AH301" s="299"/>
      <c r="AI301" s="299"/>
      <c r="AJ301" s="302"/>
      <c r="AK301" s="302"/>
      <c r="AL301" s="302"/>
      <c r="AM301" s="593"/>
      <c r="AN301" s="593"/>
      <c r="AO301" s="215"/>
      <c r="AP301" s="157"/>
      <c r="AQ301" s="151"/>
      <c r="AR301" s="151"/>
      <c r="AS301" s="151"/>
      <c r="AT301" s="151"/>
      <c r="AU301" s="151"/>
      <c r="AV301" s="151"/>
    </row>
    <row r="302" spans="1:48" ht="21" customHeight="1" thickBot="1" x14ac:dyDescent="0.45">
      <c r="A302" s="151"/>
      <c r="B302" s="299"/>
      <c r="C302" s="299"/>
      <c r="D302" s="151"/>
      <c r="E302" s="479"/>
      <c r="F302" s="47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302"/>
      <c r="AK302" s="302"/>
      <c r="AL302" s="302"/>
      <c r="AM302" s="593"/>
      <c r="AN302" s="593"/>
      <c r="AO302" s="215"/>
      <c r="AP302" s="157"/>
      <c r="AQ302" s="151"/>
      <c r="AR302" s="151"/>
      <c r="AS302" s="151"/>
      <c r="AT302" s="151"/>
      <c r="AU302" s="151"/>
      <c r="AV302" s="151"/>
    </row>
    <row r="303" spans="1:48" ht="21" customHeight="1" thickBot="1" x14ac:dyDescent="0.45">
      <c r="A303" s="151"/>
      <c r="B303" s="299"/>
      <c r="C303" s="299"/>
      <c r="D303" s="151"/>
      <c r="E303" s="479"/>
      <c r="F303" s="479"/>
      <c r="G303" s="299"/>
      <c r="H303" s="299"/>
      <c r="I303" s="299"/>
      <c r="J303" s="299"/>
      <c r="K303" s="299"/>
      <c r="L303" s="299"/>
      <c r="M303" s="299"/>
      <c r="N303" s="299"/>
      <c r="O303" s="299"/>
      <c r="P303" s="299"/>
      <c r="Q303" s="299"/>
      <c r="R303" s="299"/>
      <c r="S303" s="299"/>
      <c r="T303" s="299"/>
      <c r="U303" s="299"/>
      <c r="V303" s="299"/>
      <c r="W303" s="299"/>
      <c r="X303" s="299"/>
      <c r="Y303" s="299"/>
      <c r="Z303" s="299"/>
      <c r="AA303" s="299"/>
      <c r="AB303" s="299"/>
      <c r="AC303" s="299"/>
      <c r="AD303" s="299"/>
      <c r="AE303" s="299"/>
      <c r="AF303" s="299"/>
      <c r="AG303" s="299"/>
      <c r="AH303" s="299"/>
      <c r="AI303" s="299"/>
      <c r="AJ303" s="302"/>
      <c r="AK303" s="302"/>
      <c r="AL303" s="302"/>
      <c r="AM303" s="593"/>
      <c r="AN303" s="593"/>
      <c r="AO303" s="215"/>
      <c r="AP303" s="157"/>
      <c r="AQ303" s="151"/>
      <c r="AR303" s="151"/>
      <c r="AS303" s="151"/>
      <c r="AT303" s="151"/>
      <c r="AU303" s="151"/>
      <c r="AV303" s="151"/>
    </row>
    <row r="304" spans="1:48" ht="21" customHeight="1" thickBot="1" x14ac:dyDescent="0.45">
      <c r="A304" s="151"/>
      <c r="B304" s="299"/>
      <c r="C304" s="299"/>
      <c r="D304" s="151"/>
      <c r="E304" s="479"/>
      <c r="F304" s="47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299"/>
      <c r="AF304" s="299"/>
      <c r="AG304" s="299"/>
      <c r="AH304" s="299"/>
      <c r="AI304" s="299"/>
      <c r="AJ304" s="302"/>
      <c r="AK304" s="302"/>
      <c r="AL304" s="302"/>
      <c r="AM304" s="593"/>
      <c r="AN304" s="593"/>
      <c r="AO304" s="215"/>
      <c r="AP304" s="157"/>
      <c r="AQ304" s="151"/>
      <c r="AR304" s="151"/>
      <c r="AS304" s="151"/>
      <c r="AT304" s="151"/>
      <c r="AU304" s="151"/>
      <c r="AV304" s="151"/>
    </row>
    <row r="305" spans="1:48" ht="21" customHeight="1" thickBot="1" x14ac:dyDescent="0.45">
      <c r="A305" s="151"/>
      <c r="B305" s="299"/>
      <c r="C305" s="299"/>
      <c r="D305" s="151"/>
      <c r="E305" s="479"/>
      <c r="F305" s="479"/>
      <c r="G305" s="299"/>
      <c r="H305" s="299"/>
      <c r="I305" s="299"/>
      <c r="J305" s="299"/>
      <c r="K305" s="299"/>
      <c r="L305" s="299"/>
      <c r="M305" s="299"/>
      <c r="N305" s="299"/>
      <c r="O305" s="299"/>
      <c r="P305" s="299"/>
      <c r="Q305" s="299"/>
      <c r="R305" s="299"/>
      <c r="S305" s="299"/>
      <c r="T305" s="299"/>
      <c r="U305" s="299"/>
      <c r="V305" s="299"/>
      <c r="W305" s="299"/>
      <c r="X305" s="299"/>
      <c r="Y305" s="299"/>
      <c r="Z305" s="299"/>
      <c r="AA305" s="299"/>
      <c r="AB305" s="299"/>
      <c r="AC305" s="299"/>
      <c r="AD305" s="299"/>
      <c r="AE305" s="299"/>
      <c r="AF305" s="299"/>
      <c r="AG305" s="299"/>
      <c r="AH305" s="299"/>
      <c r="AI305" s="299"/>
      <c r="AJ305" s="302"/>
      <c r="AK305" s="302"/>
      <c r="AL305" s="302"/>
      <c r="AM305" s="593"/>
      <c r="AN305" s="593"/>
      <c r="AO305" s="215"/>
      <c r="AP305" s="157"/>
      <c r="AQ305" s="151"/>
      <c r="AR305" s="151"/>
      <c r="AS305" s="151"/>
      <c r="AT305" s="151"/>
      <c r="AU305" s="151"/>
      <c r="AV305" s="151"/>
    </row>
    <row r="306" spans="1:48" ht="21" customHeight="1" thickBot="1" x14ac:dyDescent="0.45">
      <c r="A306" s="151"/>
      <c r="B306" s="299"/>
      <c r="C306" s="299"/>
      <c r="D306" s="151"/>
      <c r="E306" s="479"/>
      <c r="F306" s="47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299"/>
      <c r="AE306" s="299"/>
      <c r="AF306" s="299"/>
      <c r="AG306" s="299"/>
      <c r="AH306" s="299"/>
      <c r="AI306" s="299"/>
      <c r="AJ306" s="302"/>
      <c r="AK306" s="302"/>
      <c r="AL306" s="302"/>
      <c r="AM306" s="593"/>
      <c r="AN306" s="593"/>
      <c r="AO306" s="215"/>
      <c r="AP306" s="157"/>
      <c r="AQ306" s="151"/>
      <c r="AR306" s="151"/>
      <c r="AS306" s="151"/>
      <c r="AT306" s="151"/>
      <c r="AU306" s="151"/>
      <c r="AV306" s="151"/>
    </row>
    <row r="307" spans="1:48" ht="21" customHeight="1" thickBot="1" x14ac:dyDescent="0.45">
      <c r="A307" s="151"/>
      <c r="B307" s="299"/>
      <c r="C307" s="299"/>
      <c r="D307" s="151"/>
      <c r="E307" s="479"/>
      <c r="F307" s="479"/>
      <c r="G307" s="299"/>
      <c r="H307" s="299"/>
      <c r="I307" s="299"/>
      <c r="J307" s="299"/>
      <c r="K307" s="299"/>
      <c r="L307" s="299"/>
      <c r="M307" s="29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302"/>
      <c r="AK307" s="302"/>
      <c r="AL307" s="302"/>
      <c r="AM307" s="593"/>
      <c r="AN307" s="593"/>
      <c r="AO307" s="215"/>
      <c r="AP307" s="157"/>
      <c r="AQ307" s="151"/>
      <c r="AR307" s="151"/>
      <c r="AS307" s="151"/>
      <c r="AT307" s="151"/>
      <c r="AU307" s="151"/>
      <c r="AV307" s="151"/>
    </row>
    <row r="308" spans="1:48" ht="21" customHeight="1" thickBot="1" x14ac:dyDescent="0.45">
      <c r="A308" s="151"/>
      <c r="B308" s="299"/>
      <c r="C308" s="299"/>
      <c r="D308" s="151"/>
      <c r="E308" s="479"/>
      <c r="F308" s="47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302"/>
      <c r="AK308" s="302"/>
      <c r="AL308" s="302"/>
      <c r="AM308" s="593"/>
      <c r="AN308" s="593"/>
      <c r="AO308" s="215"/>
      <c r="AP308" s="157"/>
      <c r="AQ308" s="151"/>
      <c r="AR308" s="151"/>
      <c r="AS308" s="151"/>
      <c r="AT308" s="151"/>
      <c r="AU308" s="151"/>
      <c r="AV308" s="151"/>
    </row>
    <row r="309" spans="1:48" ht="21" customHeight="1" thickBot="1" x14ac:dyDescent="0.45">
      <c r="A309" s="151"/>
      <c r="B309" s="299"/>
      <c r="C309" s="299"/>
      <c r="D309" s="151"/>
      <c r="E309" s="479"/>
      <c r="F309" s="479"/>
      <c r="G309" s="299"/>
      <c r="H309" s="299"/>
      <c r="I309" s="299"/>
      <c r="J309" s="299"/>
      <c r="K309" s="299"/>
      <c r="L309" s="299"/>
      <c r="M309" s="299"/>
      <c r="N309" s="299"/>
      <c r="O309" s="299"/>
      <c r="P309" s="299"/>
      <c r="Q309" s="299"/>
      <c r="R309" s="299"/>
      <c r="S309" s="299"/>
      <c r="T309" s="299"/>
      <c r="U309" s="299"/>
      <c r="V309" s="299"/>
      <c r="W309" s="299"/>
      <c r="X309" s="299"/>
      <c r="Y309" s="299"/>
      <c r="Z309" s="299"/>
      <c r="AA309" s="299"/>
      <c r="AB309" s="299"/>
      <c r="AC309" s="299"/>
      <c r="AD309" s="299"/>
      <c r="AE309" s="299"/>
      <c r="AF309" s="299"/>
      <c r="AG309" s="299"/>
      <c r="AH309" s="299"/>
      <c r="AI309" s="299"/>
      <c r="AJ309" s="302"/>
      <c r="AK309" s="302"/>
      <c r="AL309" s="302"/>
      <c r="AM309" s="593"/>
      <c r="AN309" s="593"/>
      <c r="AO309" s="215"/>
      <c r="AP309" s="157"/>
      <c r="AQ309" s="151"/>
      <c r="AR309" s="151"/>
      <c r="AS309" s="151"/>
      <c r="AT309" s="151"/>
      <c r="AU309" s="151"/>
      <c r="AV309" s="151"/>
    </row>
    <row r="310" spans="1:48" ht="21" customHeight="1" thickBot="1" x14ac:dyDescent="0.45">
      <c r="A310" s="151"/>
      <c r="B310" s="299"/>
      <c r="C310" s="299"/>
      <c r="D310" s="151"/>
      <c r="E310" s="479"/>
      <c r="F310" s="479"/>
      <c r="G310" s="299"/>
      <c r="H310" s="299"/>
      <c r="I310" s="299"/>
      <c r="J310" s="299"/>
      <c r="K310" s="299"/>
      <c r="L310" s="299"/>
      <c r="M310" s="299"/>
      <c r="N310" s="299"/>
      <c r="O310" s="299"/>
      <c r="P310" s="299"/>
      <c r="Q310" s="299"/>
      <c r="R310" s="299"/>
      <c r="S310" s="299"/>
      <c r="T310" s="299"/>
      <c r="U310" s="299"/>
      <c r="V310" s="299"/>
      <c r="W310" s="299"/>
      <c r="X310" s="299"/>
      <c r="Y310" s="299"/>
      <c r="Z310" s="299"/>
      <c r="AA310" s="299"/>
      <c r="AB310" s="299"/>
      <c r="AC310" s="299"/>
      <c r="AD310" s="299"/>
      <c r="AE310" s="299"/>
      <c r="AF310" s="299"/>
      <c r="AG310" s="299"/>
      <c r="AH310" s="299"/>
      <c r="AI310" s="299"/>
      <c r="AJ310" s="302"/>
      <c r="AK310" s="302"/>
      <c r="AL310" s="302"/>
      <c r="AM310" s="593"/>
      <c r="AN310" s="593"/>
      <c r="AO310" s="215"/>
      <c r="AP310" s="157"/>
      <c r="AQ310" s="151"/>
      <c r="AR310" s="151"/>
      <c r="AS310" s="151"/>
      <c r="AT310" s="151"/>
      <c r="AU310" s="151"/>
      <c r="AV310" s="151"/>
    </row>
    <row r="311" spans="1:48" ht="21" customHeight="1" thickBot="1" x14ac:dyDescent="0.45">
      <c r="A311" s="151"/>
      <c r="B311" s="299"/>
      <c r="C311" s="299"/>
      <c r="D311" s="151"/>
      <c r="E311" s="479"/>
      <c r="F311" s="479"/>
      <c r="G311" s="299"/>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302"/>
      <c r="AK311" s="302"/>
      <c r="AL311" s="302"/>
      <c r="AM311" s="593"/>
      <c r="AN311" s="593"/>
      <c r="AO311" s="215"/>
      <c r="AP311" s="157"/>
      <c r="AQ311" s="151"/>
      <c r="AR311" s="151"/>
      <c r="AS311" s="151"/>
      <c r="AT311" s="151"/>
      <c r="AU311" s="151"/>
      <c r="AV311" s="151"/>
    </row>
    <row r="312" spans="1:48" ht="21" customHeight="1" thickBot="1" x14ac:dyDescent="0.45">
      <c r="A312" s="151"/>
      <c r="B312" s="299"/>
      <c r="C312" s="299"/>
      <c r="D312" s="151"/>
      <c r="E312" s="479"/>
      <c r="F312" s="47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302"/>
      <c r="AK312" s="302"/>
      <c r="AL312" s="302"/>
      <c r="AM312" s="593"/>
      <c r="AN312" s="593"/>
      <c r="AO312" s="215"/>
      <c r="AP312" s="157"/>
      <c r="AQ312" s="151"/>
      <c r="AR312" s="151"/>
      <c r="AS312" s="151"/>
      <c r="AT312" s="151"/>
      <c r="AU312" s="151"/>
      <c r="AV312" s="151"/>
    </row>
    <row r="313" spans="1:48" ht="21" customHeight="1" thickBot="1" x14ac:dyDescent="0.45">
      <c r="A313" s="151"/>
      <c r="B313" s="299"/>
      <c r="C313" s="299"/>
      <c r="D313" s="151"/>
      <c r="E313" s="479"/>
      <c r="F313" s="479"/>
      <c r="G313" s="299"/>
      <c r="H313" s="299"/>
      <c r="I313" s="299"/>
      <c r="J313" s="299"/>
      <c r="K313" s="299"/>
      <c r="L313" s="299"/>
      <c r="M313" s="299"/>
      <c r="N313" s="299"/>
      <c r="O313" s="299"/>
      <c r="P313" s="299"/>
      <c r="Q313" s="299"/>
      <c r="R313" s="299"/>
      <c r="S313" s="299"/>
      <c r="T313" s="299"/>
      <c r="U313" s="299"/>
      <c r="V313" s="299"/>
      <c r="W313" s="299"/>
      <c r="X313" s="299"/>
      <c r="Y313" s="299"/>
      <c r="Z313" s="299"/>
      <c r="AA313" s="299"/>
      <c r="AB313" s="299"/>
      <c r="AC313" s="299"/>
      <c r="AD313" s="299"/>
      <c r="AE313" s="299"/>
      <c r="AF313" s="299"/>
      <c r="AG313" s="299"/>
      <c r="AH313" s="299"/>
      <c r="AI313" s="299"/>
      <c r="AJ313" s="302"/>
      <c r="AK313" s="302"/>
      <c r="AL313" s="302"/>
      <c r="AM313" s="593"/>
      <c r="AN313" s="593"/>
      <c r="AO313" s="215"/>
      <c r="AP313" s="157"/>
      <c r="AQ313" s="151"/>
      <c r="AR313" s="151"/>
      <c r="AS313" s="151"/>
      <c r="AT313" s="151"/>
      <c r="AU313" s="151"/>
      <c r="AV313" s="151"/>
    </row>
    <row r="314" spans="1:48" ht="21" customHeight="1" thickBot="1" x14ac:dyDescent="0.45">
      <c r="A314" s="151"/>
      <c r="B314" s="299"/>
      <c r="C314" s="299"/>
      <c r="D314" s="151"/>
      <c r="E314" s="479"/>
      <c r="F314" s="47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302"/>
      <c r="AK314" s="302"/>
      <c r="AL314" s="302"/>
      <c r="AM314" s="593"/>
      <c r="AN314" s="593"/>
      <c r="AO314" s="215"/>
      <c r="AP314" s="157"/>
      <c r="AQ314" s="151"/>
      <c r="AR314" s="151"/>
      <c r="AS314" s="151"/>
      <c r="AT314" s="151"/>
      <c r="AU314" s="151"/>
      <c r="AV314" s="151"/>
    </row>
    <row r="315" spans="1:48" ht="21" customHeight="1" thickBot="1" x14ac:dyDescent="0.45">
      <c r="A315" s="151"/>
      <c r="B315" s="299"/>
      <c r="C315" s="299"/>
      <c r="D315" s="151"/>
      <c r="E315" s="479"/>
      <c r="F315" s="47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c r="AE315" s="299"/>
      <c r="AF315" s="299"/>
      <c r="AG315" s="299"/>
      <c r="AH315" s="299"/>
      <c r="AI315" s="299"/>
      <c r="AJ315" s="302"/>
      <c r="AK315" s="302"/>
      <c r="AL315" s="302"/>
      <c r="AM315" s="593"/>
      <c r="AN315" s="593"/>
      <c r="AO315" s="215"/>
      <c r="AP315" s="157"/>
      <c r="AQ315" s="151"/>
      <c r="AR315" s="151"/>
      <c r="AS315" s="151"/>
      <c r="AT315" s="151"/>
      <c r="AU315" s="151"/>
      <c r="AV315" s="151"/>
    </row>
    <row r="316" spans="1:48" ht="21" customHeight="1" thickBot="1" x14ac:dyDescent="0.45">
      <c r="A316" s="151"/>
      <c r="B316" s="299"/>
      <c r="C316" s="299"/>
      <c r="D316" s="151"/>
      <c r="E316" s="479"/>
      <c r="F316" s="479"/>
      <c r="G316" s="299"/>
      <c r="H316" s="299"/>
      <c r="I316" s="299"/>
      <c r="J316" s="299"/>
      <c r="K316" s="299"/>
      <c r="L316" s="299"/>
      <c r="M316" s="299"/>
      <c r="N316" s="299"/>
      <c r="O316" s="299"/>
      <c r="P316" s="299"/>
      <c r="Q316" s="299"/>
      <c r="R316" s="299"/>
      <c r="S316" s="299"/>
      <c r="T316" s="299"/>
      <c r="U316" s="299"/>
      <c r="V316" s="299"/>
      <c r="W316" s="299"/>
      <c r="X316" s="299"/>
      <c r="Y316" s="299"/>
      <c r="Z316" s="299"/>
      <c r="AA316" s="299"/>
      <c r="AB316" s="299"/>
      <c r="AC316" s="299"/>
      <c r="AD316" s="299"/>
      <c r="AE316" s="299"/>
      <c r="AF316" s="299"/>
      <c r="AG316" s="299"/>
      <c r="AH316" s="299"/>
      <c r="AI316" s="299"/>
      <c r="AJ316" s="302"/>
      <c r="AK316" s="302"/>
      <c r="AL316" s="302"/>
      <c r="AM316" s="593"/>
      <c r="AN316" s="593"/>
      <c r="AO316" s="215"/>
      <c r="AP316" s="157"/>
      <c r="AQ316" s="151"/>
      <c r="AR316" s="151"/>
      <c r="AS316" s="151"/>
      <c r="AT316" s="151"/>
      <c r="AU316" s="151"/>
      <c r="AV316" s="151"/>
    </row>
    <row r="317" spans="1:48" ht="21" customHeight="1" thickBot="1" x14ac:dyDescent="0.45">
      <c r="A317" s="151"/>
      <c r="B317" s="299"/>
      <c r="C317" s="299"/>
      <c r="D317" s="151"/>
      <c r="E317" s="479"/>
      <c r="F317" s="47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302"/>
      <c r="AK317" s="302"/>
      <c r="AL317" s="302"/>
      <c r="AM317" s="593"/>
      <c r="AN317" s="593"/>
      <c r="AO317" s="215"/>
      <c r="AP317" s="157"/>
      <c r="AQ317" s="151"/>
      <c r="AR317" s="151"/>
      <c r="AS317" s="151"/>
      <c r="AT317" s="151"/>
      <c r="AU317" s="151"/>
      <c r="AV317" s="151"/>
    </row>
    <row r="318" spans="1:48" ht="21" customHeight="1" thickBot="1" x14ac:dyDescent="0.45">
      <c r="A318" s="151"/>
      <c r="B318" s="299"/>
      <c r="C318" s="299"/>
      <c r="D318" s="151"/>
      <c r="E318" s="479"/>
      <c r="F318" s="479"/>
      <c r="G318" s="299"/>
      <c r="H318" s="299"/>
      <c r="I318" s="299"/>
      <c r="J318" s="299"/>
      <c r="K318" s="299"/>
      <c r="L318" s="299"/>
      <c r="M318" s="299"/>
      <c r="N318" s="299"/>
      <c r="O318" s="299"/>
      <c r="P318" s="299"/>
      <c r="Q318" s="299"/>
      <c r="R318" s="299"/>
      <c r="S318" s="299"/>
      <c r="T318" s="299"/>
      <c r="U318" s="299"/>
      <c r="V318" s="299"/>
      <c r="W318" s="299"/>
      <c r="X318" s="299"/>
      <c r="Y318" s="299"/>
      <c r="Z318" s="299"/>
      <c r="AA318" s="299"/>
      <c r="AB318" s="299"/>
      <c r="AC318" s="299"/>
      <c r="AD318" s="299"/>
      <c r="AE318" s="299"/>
      <c r="AF318" s="299"/>
      <c r="AG318" s="299"/>
      <c r="AH318" s="299"/>
      <c r="AI318" s="299"/>
      <c r="AJ318" s="302"/>
      <c r="AK318" s="302"/>
      <c r="AL318" s="302"/>
      <c r="AM318" s="593"/>
      <c r="AN318" s="593"/>
      <c r="AO318" s="215"/>
      <c r="AP318" s="157"/>
      <c r="AQ318" s="151"/>
      <c r="AR318" s="151"/>
      <c r="AS318" s="151"/>
      <c r="AT318" s="151"/>
      <c r="AU318" s="151"/>
      <c r="AV318" s="151"/>
    </row>
    <row r="319" spans="1:48" ht="21" customHeight="1" thickBot="1" x14ac:dyDescent="0.45">
      <c r="A319" s="151"/>
      <c r="B319" s="299"/>
      <c r="C319" s="299"/>
      <c r="D319" s="151"/>
      <c r="E319" s="479"/>
      <c r="F319" s="47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299"/>
      <c r="AE319" s="299"/>
      <c r="AF319" s="299"/>
      <c r="AG319" s="299"/>
      <c r="AH319" s="299"/>
      <c r="AI319" s="299"/>
      <c r="AJ319" s="302"/>
      <c r="AK319" s="302"/>
      <c r="AL319" s="302"/>
      <c r="AM319" s="593"/>
      <c r="AN319" s="593"/>
      <c r="AO319" s="215"/>
      <c r="AP319" s="157"/>
      <c r="AQ319" s="151"/>
      <c r="AR319" s="151"/>
      <c r="AS319" s="151"/>
      <c r="AT319" s="151"/>
      <c r="AU319" s="151"/>
      <c r="AV319" s="151"/>
    </row>
    <row r="320" spans="1:48" ht="21" customHeight="1" thickBot="1" x14ac:dyDescent="0.45">
      <c r="A320" s="151"/>
      <c r="B320" s="299"/>
      <c r="C320" s="299"/>
      <c r="D320" s="151"/>
      <c r="E320" s="479"/>
      <c r="F320" s="479"/>
      <c r="G320" s="299"/>
      <c r="H320" s="299"/>
      <c r="I320" s="299"/>
      <c r="J320" s="299"/>
      <c r="K320" s="299"/>
      <c r="L320" s="299"/>
      <c r="M320" s="299"/>
      <c r="N320" s="299"/>
      <c r="O320" s="299"/>
      <c r="P320" s="299"/>
      <c r="Q320" s="299"/>
      <c r="R320" s="299"/>
      <c r="S320" s="299"/>
      <c r="T320" s="299"/>
      <c r="U320" s="299"/>
      <c r="V320" s="299"/>
      <c r="W320" s="299"/>
      <c r="X320" s="299"/>
      <c r="Y320" s="299"/>
      <c r="Z320" s="299"/>
      <c r="AA320" s="299"/>
      <c r="AB320" s="299"/>
      <c r="AC320" s="299"/>
      <c r="AD320" s="299"/>
      <c r="AE320" s="299"/>
      <c r="AF320" s="299"/>
      <c r="AG320" s="299"/>
      <c r="AH320" s="299"/>
      <c r="AI320" s="299"/>
      <c r="AJ320" s="302"/>
      <c r="AK320" s="302"/>
      <c r="AL320" s="302"/>
      <c r="AM320" s="593"/>
      <c r="AN320" s="593"/>
      <c r="AO320" s="215"/>
      <c r="AP320" s="157"/>
      <c r="AQ320" s="151"/>
      <c r="AR320" s="151"/>
      <c r="AS320" s="151"/>
      <c r="AT320" s="151"/>
      <c r="AU320" s="151"/>
      <c r="AV320" s="151"/>
    </row>
    <row r="321" spans="1:48" ht="21" customHeight="1" thickBot="1" x14ac:dyDescent="0.45">
      <c r="A321" s="151"/>
      <c r="B321" s="299"/>
      <c r="C321" s="299"/>
      <c r="D321" s="151"/>
      <c r="E321" s="479"/>
      <c r="F321" s="479"/>
      <c r="G321" s="299"/>
      <c r="H321" s="299"/>
      <c r="I321" s="299"/>
      <c r="J321" s="299"/>
      <c r="K321" s="299"/>
      <c r="L321" s="299"/>
      <c r="M321" s="299"/>
      <c r="N321" s="299"/>
      <c r="O321" s="299"/>
      <c r="P321" s="299"/>
      <c r="Q321" s="299"/>
      <c r="R321" s="299"/>
      <c r="S321" s="299"/>
      <c r="T321" s="299"/>
      <c r="U321" s="299"/>
      <c r="V321" s="299"/>
      <c r="W321" s="299"/>
      <c r="X321" s="299"/>
      <c r="Y321" s="299"/>
      <c r="Z321" s="299"/>
      <c r="AA321" s="299"/>
      <c r="AB321" s="299"/>
      <c r="AC321" s="299"/>
      <c r="AD321" s="299"/>
      <c r="AE321" s="299"/>
      <c r="AF321" s="299"/>
      <c r="AG321" s="299"/>
      <c r="AH321" s="299"/>
      <c r="AI321" s="299"/>
      <c r="AJ321" s="302"/>
      <c r="AK321" s="302"/>
      <c r="AL321" s="302"/>
      <c r="AM321" s="593"/>
      <c r="AN321" s="593"/>
      <c r="AO321" s="215"/>
      <c r="AP321" s="157"/>
      <c r="AQ321" s="151"/>
      <c r="AR321" s="151"/>
      <c r="AS321" s="151"/>
      <c r="AT321" s="151"/>
      <c r="AU321" s="151"/>
      <c r="AV321" s="151"/>
    </row>
    <row r="322" spans="1:48" ht="21" customHeight="1" thickBot="1" x14ac:dyDescent="0.45">
      <c r="A322" s="151"/>
      <c r="B322" s="299"/>
      <c r="C322" s="299"/>
      <c r="D322" s="151"/>
      <c r="E322" s="479"/>
      <c r="F322" s="47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302"/>
      <c r="AK322" s="302"/>
      <c r="AL322" s="302"/>
      <c r="AM322" s="593"/>
      <c r="AN322" s="593"/>
      <c r="AO322" s="215"/>
      <c r="AP322" s="157"/>
      <c r="AQ322" s="151"/>
      <c r="AR322" s="151"/>
      <c r="AS322" s="151"/>
      <c r="AT322" s="151"/>
      <c r="AU322" s="151"/>
      <c r="AV322" s="151"/>
    </row>
    <row r="323" spans="1:48" ht="21" customHeight="1" thickBot="1" x14ac:dyDescent="0.45">
      <c r="A323" s="151"/>
      <c r="B323" s="299"/>
      <c r="C323" s="299"/>
      <c r="D323" s="151"/>
      <c r="E323" s="479"/>
      <c r="F323" s="47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299"/>
      <c r="AF323" s="299"/>
      <c r="AG323" s="299"/>
      <c r="AH323" s="299"/>
      <c r="AI323" s="299"/>
      <c r="AJ323" s="302"/>
      <c r="AK323" s="302"/>
      <c r="AL323" s="302"/>
      <c r="AM323" s="593"/>
      <c r="AN323" s="593"/>
      <c r="AO323" s="215"/>
      <c r="AP323" s="157"/>
      <c r="AQ323" s="151"/>
      <c r="AR323" s="151"/>
      <c r="AS323" s="151"/>
      <c r="AT323" s="151"/>
      <c r="AU323" s="151"/>
      <c r="AV323" s="151"/>
    </row>
    <row r="324" spans="1:48" ht="21" customHeight="1" thickBot="1" x14ac:dyDescent="0.45">
      <c r="A324" s="151"/>
      <c r="B324" s="299"/>
      <c r="C324" s="299"/>
      <c r="D324" s="151"/>
      <c r="E324" s="479"/>
      <c r="F324" s="47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299"/>
      <c r="AF324" s="299"/>
      <c r="AG324" s="299"/>
      <c r="AH324" s="299"/>
      <c r="AI324" s="299"/>
      <c r="AJ324" s="302"/>
      <c r="AK324" s="302"/>
      <c r="AL324" s="302"/>
      <c r="AM324" s="593"/>
      <c r="AN324" s="593"/>
      <c r="AO324" s="215"/>
      <c r="AP324" s="157"/>
      <c r="AQ324" s="151"/>
      <c r="AR324" s="151"/>
      <c r="AS324" s="151"/>
      <c r="AT324" s="151"/>
      <c r="AU324" s="151"/>
      <c r="AV324" s="151"/>
    </row>
    <row r="325" spans="1:48" ht="21" customHeight="1" thickBot="1" x14ac:dyDescent="0.45">
      <c r="A325" s="151"/>
      <c r="B325" s="299"/>
      <c r="C325" s="299"/>
      <c r="D325" s="151"/>
      <c r="E325" s="479"/>
      <c r="F325" s="479"/>
      <c r="G325" s="299"/>
      <c r="H325" s="299"/>
      <c r="I325" s="299"/>
      <c r="J325" s="299"/>
      <c r="K325" s="299"/>
      <c r="L325" s="299"/>
      <c r="M325" s="299"/>
      <c r="N325" s="299"/>
      <c r="O325" s="299"/>
      <c r="P325" s="299"/>
      <c r="Q325" s="299"/>
      <c r="R325" s="299"/>
      <c r="S325" s="299"/>
      <c r="T325" s="299"/>
      <c r="U325" s="299"/>
      <c r="V325" s="299"/>
      <c r="W325" s="299"/>
      <c r="X325" s="299"/>
      <c r="Y325" s="299"/>
      <c r="Z325" s="299"/>
      <c r="AA325" s="299"/>
      <c r="AB325" s="299"/>
      <c r="AC325" s="299"/>
      <c r="AD325" s="299"/>
      <c r="AE325" s="299"/>
      <c r="AF325" s="299"/>
      <c r="AG325" s="299"/>
      <c r="AH325" s="299"/>
      <c r="AI325" s="299"/>
      <c r="AJ325" s="302"/>
      <c r="AK325" s="302"/>
      <c r="AL325" s="302"/>
      <c r="AM325" s="593"/>
      <c r="AN325" s="593"/>
      <c r="AO325" s="215"/>
      <c r="AP325" s="157"/>
      <c r="AQ325" s="151"/>
      <c r="AR325" s="151"/>
      <c r="AS325" s="151"/>
      <c r="AT325" s="151"/>
      <c r="AU325" s="151"/>
      <c r="AV325" s="151"/>
    </row>
    <row r="326" spans="1:48" ht="21" customHeight="1" thickBot="1" x14ac:dyDescent="0.45">
      <c r="A326" s="151"/>
      <c r="B326" s="299"/>
      <c r="C326" s="299"/>
      <c r="D326" s="151"/>
      <c r="E326" s="479"/>
      <c r="F326" s="47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299"/>
      <c r="AE326" s="299"/>
      <c r="AF326" s="299"/>
      <c r="AG326" s="299"/>
      <c r="AH326" s="299"/>
      <c r="AI326" s="299"/>
      <c r="AJ326" s="302"/>
      <c r="AK326" s="302"/>
      <c r="AL326" s="302"/>
      <c r="AM326" s="593"/>
      <c r="AN326" s="593"/>
      <c r="AO326" s="215"/>
      <c r="AP326" s="157"/>
      <c r="AQ326" s="151"/>
      <c r="AR326" s="151"/>
      <c r="AS326" s="151"/>
      <c r="AT326" s="151"/>
      <c r="AU326" s="151"/>
      <c r="AV326" s="151"/>
    </row>
    <row r="327" spans="1:48" ht="21" customHeight="1" thickBot="1" x14ac:dyDescent="0.45">
      <c r="A327" s="151"/>
      <c r="B327" s="299"/>
      <c r="C327" s="299"/>
      <c r="D327" s="151"/>
      <c r="E327" s="479"/>
      <c r="F327" s="47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c r="AF327" s="299"/>
      <c r="AG327" s="299"/>
      <c r="AH327" s="299"/>
      <c r="AI327" s="299"/>
      <c r="AJ327" s="302"/>
      <c r="AK327" s="302"/>
      <c r="AL327" s="302"/>
      <c r="AM327" s="593"/>
      <c r="AN327" s="593"/>
      <c r="AO327" s="215"/>
      <c r="AP327" s="157"/>
      <c r="AQ327" s="151"/>
      <c r="AR327" s="151"/>
      <c r="AS327" s="151"/>
      <c r="AT327" s="151"/>
      <c r="AU327" s="151"/>
      <c r="AV327" s="151"/>
    </row>
    <row r="328" spans="1:48" ht="21" customHeight="1" thickBot="1" x14ac:dyDescent="0.45">
      <c r="A328" s="151"/>
      <c r="B328" s="299"/>
      <c r="C328" s="299"/>
      <c r="D328" s="151"/>
      <c r="E328" s="479"/>
      <c r="F328" s="479"/>
      <c r="G328" s="299"/>
      <c r="H328" s="299"/>
      <c r="I328" s="299"/>
      <c r="J328" s="299"/>
      <c r="K328" s="299"/>
      <c r="L328" s="299"/>
      <c r="M328" s="299"/>
      <c r="N328" s="299"/>
      <c r="O328" s="299"/>
      <c r="P328" s="299"/>
      <c r="Q328" s="299"/>
      <c r="R328" s="299"/>
      <c r="S328" s="299"/>
      <c r="T328" s="299"/>
      <c r="U328" s="299"/>
      <c r="V328" s="299"/>
      <c r="W328" s="299"/>
      <c r="X328" s="299"/>
      <c r="Y328" s="299"/>
      <c r="Z328" s="299"/>
      <c r="AA328" s="299"/>
      <c r="AB328" s="299"/>
      <c r="AC328" s="299"/>
      <c r="AD328" s="299"/>
      <c r="AE328" s="299"/>
      <c r="AF328" s="299"/>
      <c r="AG328" s="299"/>
      <c r="AH328" s="299"/>
      <c r="AI328" s="299"/>
      <c r="AJ328" s="302"/>
      <c r="AK328" s="302"/>
      <c r="AL328" s="302"/>
      <c r="AM328" s="593"/>
      <c r="AN328" s="593"/>
      <c r="AO328" s="215"/>
      <c r="AP328" s="157"/>
      <c r="AQ328" s="151"/>
      <c r="AR328" s="151"/>
      <c r="AS328" s="151"/>
      <c r="AT328" s="151"/>
      <c r="AU328" s="151"/>
      <c r="AV328" s="151"/>
    </row>
    <row r="329" spans="1:48" ht="21" customHeight="1" thickBot="1" x14ac:dyDescent="0.45">
      <c r="A329" s="151"/>
      <c r="B329" s="299"/>
      <c r="C329" s="299"/>
      <c r="D329" s="151"/>
      <c r="E329" s="479"/>
      <c r="F329" s="479"/>
      <c r="G329" s="299"/>
      <c r="H329" s="299"/>
      <c r="I329" s="299"/>
      <c r="J329" s="299"/>
      <c r="K329" s="299"/>
      <c r="L329" s="299"/>
      <c r="M329" s="299"/>
      <c r="N329" s="299"/>
      <c r="O329" s="299"/>
      <c r="P329" s="299"/>
      <c r="Q329" s="299"/>
      <c r="R329" s="299"/>
      <c r="S329" s="299"/>
      <c r="T329" s="299"/>
      <c r="U329" s="299"/>
      <c r="V329" s="299"/>
      <c r="W329" s="299"/>
      <c r="X329" s="299"/>
      <c r="Y329" s="299"/>
      <c r="Z329" s="299"/>
      <c r="AA329" s="299"/>
      <c r="AB329" s="299"/>
      <c r="AC329" s="299"/>
      <c r="AD329" s="299"/>
      <c r="AE329" s="299"/>
      <c r="AF329" s="299"/>
      <c r="AG329" s="299"/>
      <c r="AH329" s="299"/>
      <c r="AI329" s="299"/>
      <c r="AJ329" s="302"/>
      <c r="AK329" s="302"/>
      <c r="AL329" s="302"/>
      <c r="AM329" s="593"/>
      <c r="AN329" s="593"/>
      <c r="AO329" s="215"/>
      <c r="AP329" s="157"/>
      <c r="AQ329" s="151"/>
      <c r="AR329" s="151"/>
      <c r="AS329" s="151"/>
      <c r="AT329" s="151"/>
      <c r="AU329" s="151"/>
      <c r="AV329" s="151"/>
    </row>
    <row r="330" spans="1:48" ht="21" customHeight="1" thickBot="1" x14ac:dyDescent="0.45">
      <c r="A330" s="151"/>
      <c r="B330" s="299"/>
      <c r="C330" s="299"/>
      <c r="D330" s="151"/>
      <c r="E330" s="479"/>
      <c r="F330" s="47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299"/>
      <c r="AE330" s="299"/>
      <c r="AF330" s="299"/>
      <c r="AG330" s="299"/>
      <c r="AH330" s="299"/>
      <c r="AI330" s="299"/>
      <c r="AJ330" s="302"/>
      <c r="AK330" s="302"/>
      <c r="AL330" s="302"/>
      <c r="AM330" s="593"/>
      <c r="AN330" s="593"/>
      <c r="AO330" s="215"/>
      <c r="AP330" s="157"/>
      <c r="AQ330" s="151"/>
      <c r="AR330" s="151"/>
      <c r="AS330" s="151"/>
      <c r="AT330" s="151"/>
      <c r="AU330" s="151"/>
      <c r="AV330" s="151"/>
    </row>
    <row r="331" spans="1:48" ht="21" customHeight="1" thickBot="1" x14ac:dyDescent="0.45">
      <c r="A331" s="151"/>
      <c r="B331" s="299"/>
      <c r="C331" s="299"/>
      <c r="D331" s="151"/>
      <c r="E331" s="479"/>
      <c r="F331" s="479"/>
      <c r="G331" s="299"/>
      <c r="H331" s="299"/>
      <c r="I331" s="299"/>
      <c r="J331" s="299"/>
      <c r="K331" s="299"/>
      <c r="L331" s="299"/>
      <c r="M331" s="299"/>
      <c r="N331" s="299"/>
      <c r="O331" s="299"/>
      <c r="P331" s="299"/>
      <c r="Q331" s="299"/>
      <c r="R331" s="299"/>
      <c r="S331" s="299"/>
      <c r="T331" s="299"/>
      <c r="U331" s="299"/>
      <c r="V331" s="299"/>
      <c r="W331" s="299"/>
      <c r="X331" s="299"/>
      <c r="Y331" s="299"/>
      <c r="Z331" s="299"/>
      <c r="AA331" s="299"/>
      <c r="AB331" s="299"/>
      <c r="AC331" s="299"/>
      <c r="AD331" s="299"/>
      <c r="AE331" s="299"/>
      <c r="AF331" s="299"/>
      <c r="AG331" s="299"/>
      <c r="AH331" s="299"/>
      <c r="AI331" s="299"/>
      <c r="AJ331" s="302"/>
      <c r="AK331" s="302"/>
      <c r="AL331" s="302"/>
      <c r="AM331" s="593"/>
      <c r="AN331" s="593"/>
      <c r="AO331" s="215"/>
      <c r="AP331" s="157"/>
      <c r="AQ331" s="151"/>
      <c r="AR331" s="151"/>
      <c r="AS331" s="151"/>
      <c r="AT331" s="151"/>
      <c r="AU331" s="151"/>
      <c r="AV331" s="151"/>
    </row>
    <row r="332" spans="1:48" ht="21" customHeight="1" thickBot="1" x14ac:dyDescent="0.45">
      <c r="A332" s="151"/>
      <c r="B332" s="299"/>
      <c r="C332" s="299"/>
      <c r="D332" s="151"/>
      <c r="E332" s="479"/>
      <c r="F332" s="47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299"/>
      <c r="AE332" s="299"/>
      <c r="AF332" s="299"/>
      <c r="AG332" s="299"/>
      <c r="AH332" s="299"/>
      <c r="AI332" s="299"/>
      <c r="AJ332" s="302"/>
      <c r="AK332" s="302"/>
      <c r="AL332" s="302"/>
      <c r="AM332" s="593"/>
      <c r="AN332" s="593"/>
      <c r="AO332" s="215"/>
      <c r="AP332" s="157"/>
      <c r="AQ332" s="151"/>
      <c r="AR332" s="151"/>
      <c r="AS332" s="151"/>
      <c r="AT332" s="151"/>
      <c r="AU332" s="151"/>
      <c r="AV332" s="151"/>
    </row>
    <row r="333" spans="1:48" ht="21" customHeight="1" thickBot="1" x14ac:dyDescent="0.45">
      <c r="A333" s="151"/>
      <c r="B333" s="299"/>
      <c r="C333" s="299"/>
      <c r="D333" s="151"/>
      <c r="E333" s="479"/>
      <c r="F333" s="47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299"/>
      <c r="AF333" s="299"/>
      <c r="AG333" s="299"/>
      <c r="AH333" s="299"/>
      <c r="AI333" s="299"/>
      <c r="AJ333" s="302"/>
      <c r="AK333" s="302"/>
      <c r="AL333" s="302"/>
      <c r="AM333" s="593"/>
      <c r="AN333" s="593"/>
      <c r="AO333" s="215"/>
      <c r="AP333" s="157"/>
      <c r="AQ333" s="151"/>
      <c r="AR333" s="151"/>
      <c r="AS333" s="151"/>
      <c r="AT333" s="151"/>
      <c r="AU333" s="151"/>
      <c r="AV333" s="151"/>
    </row>
    <row r="334" spans="1:48" ht="21" customHeight="1" thickBot="1" x14ac:dyDescent="0.45">
      <c r="A334" s="151"/>
      <c r="B334" s="299"/>
      <c r="C334" s="299"/>
      <c r="D334" s="151"/>
      <c r="E334" s="479"/>
      <c r="F334" s="47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299"/>
      <c r="AF334" s="299"/>
      <c r="AG334" s="299"/>
      <c r="AH334" s="299"/>
      <c r="AI334" s="299"/>
      <c r="AJ334" s="302"/>
      <c r="AK334" s="302"/>
      <c r="AL334" s="302"/>
      <c r="AM334" s="593"/>
      <c r="AN334" s="593"/>
      <c r="AO334" s="215"/>
      <c r="AP334" s="157"/>
      <c r="AQ334" s="151"/>
      <c r="AR334" s="151"/>
      <c r="AS334" s="151"/>
      <c r="AT334" s="151"/>
      <c r="AU334" s="151"/>
      <c r="AV334" s="151"/>
    </row>
    <row r="335" spans="1:48" ht="21" customHeight="1" thickBot="1" x14ac:dyDescent="0.45">
      <c r="A335" s="151"/>
      <c r="B335" s="299"/>
      <c r="C335" s="299"/>
      <c r="D335" s="151"/>
      <c r="E335" s="479"/>
      <c r="F335" s="47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302"/>
      <c r="AK335" s="302"/>
      <c r="AL335" s="302"/>
      <c r="AM335" s="593"/>
      <c r="AN335" s="593"/>
      <c r="AO335" s="215"/>
      <c r="AP335" s="157"/>
      <c r="AQ335" s="151"/>
      <c r="AR335" s="151"/>
      <c r="AS335" s="151"/>
      <c r="AT335" s="151"/>
      <c r="AU335" s="151"/>
      <c r="AV335" s="151"/>
    </row>
    <row r="336" spans="1:48" ht="21" customHeight="1" thickBot="1" x14ac:dyDescent="0.45">
      <c r="A336" s="151"/>
      <c r="B336" s="299"/>
      <c r="C336" s="299"/>
      <c r="D336" s="151"/>
      <c r="E336" s="479"/>
      <c r="F336" s="479"/>
      <c r="G336" s="299"/>
      <c r="H336" s="299"/>
      <c r="I336" s="299"/>
      <c r="J336" s="299"/>
      <c r="K336" s="299"/>
      <c r="L336" s="299"/>
      <c r="M336" s="299"/>
      <c r="N336" s="299"/>
      <c r="O336" s="299"/>
      <c r="P336" s="299"/>
      <c r="Q336" s="299"/>
      <c r="R336" s="299"/>
      <c r="S336" s="299"/>
      <c r="T336" s="299"/>
      <c r="U336" s="299"/>
      <c r="V336" s="299"/>
      <c r="W336" s="299"/>
      <c r="X336" s="299"/>
      <c r="Y336" s="299"/>
      <c r="Z336" s="299"/>
      <c r="AA336" s="299"/>
      <c r="AB336" s="299"/>
      <c r="AC336" s="299"/>
      <c r="AD336" s="299"/>
      <c r="AE336" s="299"/>
      <c r="AF336" s="299"/>
      <c r="AG336" s="299"/>
      <c r="AH336" s="299"/>
      <c r="AI336" s="299"/>
      <c r="AJ336" s="302"/>
      <c r="AK336" s="302"/>
      <c r="AL336" s="302"/>
      <c r="AM336" s="593"/>
      <c r="AN336" s="593"/>
      <c r="AO336" s="215"/>
      <c r="AP336" s="157"/>
      <c r="AQ336" s="151"/>
      <c r="AR336" s="151"/>
      <c r="AS336" s="151"/>
      <c r="AT336" s="151"/>
      <c r="AU336" s="151"/>
      <c r="AV336" s="151"/>
    </row>
    <row r="337" spans="1:48" ht="21" customHeight="1" thickBot="1" x14ac:dyDescent="0.45">
      <c r="A337" s="151"/>
      <c r="B337" s="299"/>
      <c r="C337" s="299"/>
      <c r="D337" s="151"/>
      <c r="E337" s="479"/>
      <c r="F337" s="47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299"/>
      <c r="AE337" s="299"/>
      <c r="AF337" s="299"/>
      <c r="AG337" s="299"/>
      <c r="AH337" s="299"/>
      <c r="AI337" s="299"/>
      <c r="AJ337" s="302"/>
      <c r="AK337" s="302"/>
      <c r="AL337" s="302"/>
      <c r="AM337" s="593"/>
      <c r="AN337" s="593"/>
      <c r="AO337" s="215"/>
      <c r="AP337" s="157"/>
      <c r="AQ337" s="151"/>
      <c r="AR337" s="151"/>
      <c r="AS337" s="151"/>
      <c r="AT337" s="151"/>
      <c r="AU337" s="151"/>
      <c r="AV337" s="151"/>
    </row>
    <row r="338" spans="1:48" ht="21" customHeight="1" thickBot="1" x14ac:dyDescent="0.45">
      <c r="A338" s="151"/>
      <c r="B338" s="299"/>
      <c r="C338" s="299"/>
      <c r="D338" s="151"/>
      <c r="E338" s="479"/>
      <c r="F338" s="47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302"/>
      <c r="AK338" s="302"/>
      <c r="AL338" s="302"/>
      <c r="AM338" s="593"/>
      <c r="AN338" s="593"/>
      <c r="AO338" s="215"/>
      <c r="AP338" s="157"/>
      <c r="AQ338" s="151"/>
      <c r="AR338" s="151"/>
      <c r="AS338" s="151"/>
      <c r="AT338" s="151"/>
      <c r="AU338" s="151"/>
      <c r="AV338" s="151"/>
    </row>
    <row r="339" spans="1:48" ht="21" customHeight="1" thickBot="1" x14ac:dyDescent="0.45">
      <c r="A339" s="151"/>
      <c r="B339" s="299"/>
      <c r="C339" s="299"/>
      <c r="D339" s="151"/>
      <c r="E339" s="479"/>
      <c r="F339" s="47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299"/>
      <c r="AF339" s="299"/>
      <c r="AG339" s="299"/>
      <c r="AH339" s="299"/>
      <c r="AI339" s="299"/>
      <c r="AJ339" s="302"/>
      <c r="AK339" s="302"/>
      <c r="AL339" s="302"/>
      <c r="AM339" s="593"/>
      <c r="AN339" s="593"/>
      <c r="AO339" s="215"/>
      <c r="AP339" s="157"/>
      <c r="AQ339" s="151"/>
      <c r="AR339" s="151"/>
      <c r="AS339" s="151"/>
      <c r="AT339" s="151"/>
      <c r="AU339" s="151"/>
      <c r="AV339" s="151"/>
    </row>
    <row r="340" spans="1:48" ht="21" customHeight="1" thickBot="1" x14ac:dyDescent="0.45">
      <c r="A340" s="151"/>
      <c r="B340" s="299"/>
      <c r="C340" s="299"/>
      <c r="D340" s="151"/>
      <c r="E340" s="479"/>
      <c r="F340" s="479"/>
      <c r="G340" s="299"/>
      <c r="H340" s="299"/>
      <c r="I340" s="299"/>
      <c r="J340" s="299"/>
      <c r="K340" s="299"/>
      <c r="L340" s="299"/>
      <c r="M340" s="299"/>
      <c r="N340" s="299"/>
      <c r="O340" s="299"/>
      <c r="P340" s="299"/>
      <c r="Q340" s="299"/>
      <c r="R340" s="299"/>
      <c r="S340" s="299"/>
      <c r="T340" s="299"/>
      <c r="U340" s="299"/>
      <c r="V340" s="299"/>
      <c r="W340" s="299"/>
      <c r="X340" s="299"/>
      <c r="Y340" s="299"/>
      <c r="Z340" s="299"/>
      <c r="AA340" s="299"/>
      <c r="AB340" s="299"/>
      <c r="AC340" s="299"/>
      <c r="AD340" s="299"/>
      <c r="AE340" s="299"/>
      <c r="AF340" s="299"/>
      <c r="AG340" s="299"/>
      <c r="AH340" s="299"/>
      <c r="AI340" s="299"/>
      <c r="AJ340" s="302"/>
      <c r="AK340" s="302"/>
      <c r="AL340" s="302"/>
      <c r="AM340" s="593"/>
      <c r="AN340" s="593"/>
      <c r="AO340" s="215"/>
      <c r="AP340" s="157"/>
      <c r="AQ340" s="151"/>
      <c r="AR340" s="151"/>
      <c r="AS340" s="151"/>
      <c r="AT340" s="151"/>
      <c r="AU340" s="151"/>
      <c r="AV340" s="151"/>
    </row>
    <row r="341" spans="1:48" ht="21" customHeight="1" thickBot="1" x14ac:dyDescent="0.45">
      <c r="A341" s="151"/>
      <c r="B341" s="299"/>
      <c r="C341" s="299"/>
      <c r="D341" s="151"/>
      <c r="E341" s="479"/>
      <c r="F341" s="47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299"/>
      <c r="AE341" s="299"/>
      <c r="AF341" s="299"/>
      <c r="AG341" s="299"/>
      <c r="AH341" s="299"/>
      <c r="AI341" s="299"/>
      <c r="AJ341" s="302"/>
      <c r="AK341" s="302"/>
      <c r="AL341" s="302"/>
      <c r="AM341" s="593"/>
      <c r="AN341" s="593"/>
      <c r="AO341" s="215"/>
      <c r="AP341" s="157"/>
      <c r="AQ341" s="151"/>
      <c r="AR341" s="151"/>
      <c r="AS341" s="151"/>
      <c r="AT341" s="151"/>
      <c r="AU341" s="151"/>
      <c r="AV341" s="151"/>
    </row>
    <row r="342" spans="1:48" ht="21" customHeight="1" thickBot="1" x14ac:dyDescent="0.45">
      <c r="A342" s="151"/>
      <c r="B342" s="299"/>
      <c r="C342" s="299"/>
      <c r="D342" s="151"/>
      <c r="E342" s="479"/>
      <c r="F342" s="47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302"/>
      <c r="AK342" s="302"/>
      <c r="AL342" s="302"/>
      <c r="AM342" s="593"/>
      <c r="AN342" s="593"/>
      <c r="AO342" s="215"/>
      <c r="AP342" s="157"/>
      <c r="AQ342" s="151"/>
      <c r="AR342" s="151"/>
      <c r="AS342" s="151"/>
      <c r="AT342" s="151"/>
      <c r="AU342" s="151"/>
      <c r="AV342" s="151"/>
    </row>
    <row r="343" spans="1:48" ht="21" customHeight="1" thickBot="1" x14ac:dyDescent="0.45">
      <c r="A343" s="151"/>
      <c r="B343" s="299"/>
      <c r="C343" s="299"/>
      <c r="D343" s="151"/>
      <c r="E343" s="479"/>
      <c r="F343" s="47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299"/>
      <c r="AF343" s="299"/>
      <c r="AG343" s="299"/>
      <c r="AH343" s="299"/>
      <c r="AI343" s="299"/>
      <c r="AJ343" s="302"/>
      <c r="AK343" s="302"/>
      <c r="AL343" s="302"/>
      <c r="AM343" s="593"/>
      <c r="AN343" s="593"/>
      <c r="AO343" s="215"/>
      <c r="AP343" s="157"/>
      <c r="AQ343" s="151"/>
      <c r="AR343" s="151"/>
      <c r="AS343" s="151"/>
      <c r="AT343" s="151"/>
      <c r="AU343" s="151"/>
      <c r="AV343" s="151"/>
    </row>
    <row r="344" spans="1:48" ht="21" customHeight="1" thickBot="1" x14ac:dyDescent="0.45">
      <c r="A344" s="151"/>
      <c r="B344" s="299"/>
      <c r="C344" s="299"/>
      <c r="D344" s="151"/>
      <c r="E344" s="479"/>
      <c r="F344" s="47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302"/>
      <c r="AK344" s="302"/>
      <c r="AL344" s="302"/>
      <c r="AM344" s="593"/>
      <c r="AN344" s="593"/>
      <c r="AO344" s="215"/>
      <c r="AP344" s="157"/>
      <c r="AQ344" s="151"/>
      <c r="AR344" s="151"/>
      <c r="AS344" s="151"/>
      <c r="AT344" s="151"/>
      <c r="AU344" s="151"/>
      <c r="AV344" s="151"/>
    </row>
    <row r="345" spans="1:48" ht="21" customHeight="1" thickBot="1" x14ac:dyDescent="0.45">
      <c r="A345" s="151"/>
      <c r="B345" s="299"/>
      <c r="C345" s="299"/>
      <c r="D345" s="151"/>
      <c r="E345" s="479"/>
      <c r="F345" s="47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c r="AF345" s="299"/>
      <c r="AG345" s="299"/>
      <c r="AH345" s="299"/>
      <c r="AI345" s="299"/>
      <c r="AJ345" s="302"/>
      <c r="AK345" s="302"/>
      <c r="AL345" s="302"/>
      <c r="AM345" s="593"/>
      <c r="AN345" s="593"/>
      <c r="AO345" s="215"/>
      <c r="AP345" s="157"/>
      <c r="AQ345" s="151"/>
      <c r="AR345" s="151"/>
      <c r="AS345" s="151"/>
      <c r="AT345" s="151"/>
      <c r="AU345" s="151"/>
      <c r="AV345" s="151"/>
    </row>
    <row r="346" spans="1:48" ht="21" customHeight="1" thickBot="1" x14ac:dyDescent="0.45">
      <c r="A346" s="151"/>
      <c r="B346" s="299"/>
      <c r="C346" s="299"/>
      <c r="D346" s="151"/>
      <c r="E346" s="479"/>
      <c r="F346" s="479"/>
      <c r="G346" s="299"/>
      <c r="H346" s="299"/>
      <c r="I346" s="299"/>
      <c r="J346" s="299"/>
      <c r="K346" s="299"/>
      <c r="L346" s="299"/>
      <c r="M346" s="299"/>
      <c r="N346" s="299"/>
      <c r="O346" s="299"/>
      <c r="P346" s="299"/>
      <c r="Q346" s="299"/>
      <c r="R346" s="299"/>
      <c r="S346" s="299"/>
      <c r="T346" s="299"/>
      <c r="U346" s="299"/>
      <c r="V346" s="299"/>
      <c r="W346" s="299"/>
      <c r="X346" s="299"/>
      <c r="Y346" s="299"/>
      <c r="Z346" s="299"/>
      <c r="AA346" s="299"/>
      <c r="AB346" s="299"/>
      <c r="AC346" s="299"/>
      <c r="AD346" s="299"/>
      <c r="AE346" s="299"/>
      <c r="AF346" s="299"/>
      <c r="AG346" s="299"/>
      <c r="AH346" s="299"/>
      <c r="AI346" s="299"/>
      <c r="AJ346" s="302"/>
      <c r="AK346" s="302"/>
      <c r="AL346" s="302"/>
      <c r="AM346" s="593"/>
      <c r="AN346" s="593"/>
      <c r="AO346" s="215"/>
      <c r="AP346" s="157"/>
      <c r="AQ346" s="151"/>
      <c r="AR346" s="151"/>
      <c r="AS346" s="151"/>
      <c r="AT346" s="151"/>
      <c r="AU346" s="151"/>
      <c r="AV346" s="151"/>
    </row>
    <row r="347" spans="1:48" ht="21" customHeight="1" thickBot="1" x14ac:dyDescent="0.45">
      <c r="A347" s="151"/>
      <c r="B347" s="299"/>
      <c r="C347" s="299"/>
      <c r="D347" s="151"/>
      <c r="E347" s="479"/>
      <c r="F347" s="479"/>
      <c r="G347" s="299"/>
      <c r="H347" s="299"/>
      <c r="I347" s="299"/>
      <c r="J347" s="299"/>
      <c r="K347" s="299"/>
      <c r="L347" s="299"/>
      <c r="M347" s="299"/>
      <c r="N347" s="299"/>
      <c r="O347" s="299"/>
      <c r="P347" s="299"/>
      <c r="Q347" s="299"/>
      <c r="R347" s="299"/>
      <c r="S347" s="299"/>
      <c r="T347" s="299"/>
      <c r="U347" s="299"/>
      <c r="V347" s="299"/>
      <c r="W347" s="299"/>
      <c r="X347" s="299"/>
      <c r="Y347" s="299"/>
      <c r="Z347" s="299"/>
      <c r="AA347" s="299"/>
      <c r="AB347" s="299"/>
      <c r="AC347" s="299"/>
      <c r="AD347" s="299"/>
      <c r="AE347" s="299"/>
      <c r="AF347" s="299"/>
      <c r="AG347" s="299"/>
      <c r="AH347" s="299"/>
      <c r="AI347" s="299"/>
      <c r="AJ347" s="302"/>
      <c r="AK347" s="302"/>
      <c r="AL347" s="302"/>
      <c r="AM347" s="593"/>
      <c r="AN347" s="593"/>
      <c r="AO347" s="215"/>
      <c r="AP347" s="157"/>
      <c r="AQ347" s="151"/>
      <c r="AR347" s="151"/>
      <c r="AS347" s="151"/>
      <c r="AT347" s="151"/>
      <c r="AU347" s="151"/>
      <c r="AV347" s="151"/>
    </row>
    <row r="348" spans="1:48" ht="21" customHeight="1" thickBot="1" x14ac:dyDescent="0.45">
      <c r="A348" s="151"/>
      <c r="B348" s="299"/>
      <c r="C348" s="299"/>
      <c r="D348" s="151"/>
      <c r="E348" s="479"/>
      <c r="F348" s="47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299"/>
      <c r="AE348" s="299"/>
      <c r="AF348" s="299"/>
      <c r="AG348" s="299"/>
      <c r="AH348" s="299"/>
      <c r="AI348" s="299"/>
      <c r="AJ348" s="302"/>
      <c r="AK348" s="302"/>
      <c r="AL348" s="302"/>
      <c r="AM348" s="593"/>
      <c r="AN348" s="593"/>
      <c r="AO348" s="215"/>
      <c r="AP348" s="157"/>
      <c r="AQ348" s="151"/>
      <c r="AR348" s="151"/>
      <c r="AS348" s="151"/>
      <c r="AT348" s="151"/>
      <c r="AU348" s="151"/>
      <c r="AV348" s="151"/>
    </row>
    <row r="349" spans="1:48" ht="21" customHeight="1" thickBot="1" x14ac:dyDescent="0.45">
      <c r="A349" s="151"/>
      <c r="B349" s="299"/>
      <c r="C349" s="299"/>
      <c r="D349" s="151"/>
      <c r="E349" s="479"/>
      <c r="F349" s="479"/>
      <c r="G349" s="299"/>
      <c r="H349" s="299"/>
      <c r="I349" s="299"/>
      <c r="J349" s="299"/>
      <c r="K349" s="299"/>
      <c r="L349" s="299"/>
      <c r="M349" s="299"/>
      <c r="N349" s="299"/>
      <c r="O349" s="299"/>
      <c r="P349" s="299"/>
      <c r="Q349" s="299"/>
      <c r="R349" s="299"/>
      <c r="S349" s="299"/>
      <c r="T349" s="299"/>
      <c r="U349" s="299"/>
      <c r="V349" s="299"/>
      <c r="W349" s="299"/>
      <c r="X349" s="299"/>
      <c r="Y349" s="299"/>
      <c r="Z349" s="299"/>
      <c r="AA349" s="299"/>
      <c r="AB349" s="299"/>
      <c r="AC349" s="299"/>
      <c r="AD349" s="299"/>
      <c r="AE349" s="299"/>
      <c r="AF349" s="299"/>
      <c r="AG349" s="299"/>
      <c r="AH349" s="299"/>
      <c r="AI349" s="299"/>
      <c r="AJ349" s="302"/>
      <c r="AK349" s="302"/>
      <c r="AL349" s="302"/>
      <c r="AM349" s="593"/>
      <c r="AN349" s="593"/>
      <c r="AO349" s="215"/>
      <c r="AP349" s="157"/>
      <c r="AQ349" s="151"/>
      <c r="AR349" s="151"/>
      <c r="AS349" s="151"/>
      <c r="AT349" s="151"/>
      <c r="AU349" s="151"/>
      <c r="AV349" s="151"/>
    </row>
    <row r="350" spans="1:48" ht="21" customHeight="1" thickBot="1" x14ac:dyDescent="0.45">
      <c r="A350" s="151"/>
      <c r="B350" s="299"/>
      <c r="C350" s="299"/>
      <c r="D350" s="151"/>
      <c r="E350" s="479"/>
      <c r="F350" s="47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302"/>
      <c r="AK350" s="302"/>
      <c r="AL350" s="302"/>
      <c r="AM350" s="593"/>
      <c r="AN350" s="593"/>
      <c r="AO350" s="215"/>
      <c r="AP350" s="157"/>
      <c r="AQ350" s="151"/>
      <c r="AR350" s="151"/>
      <c r="AS350" s="151"/>
      <c r="AT350" s="151"/>
      <c r="AU350" s="151"/>
      <c r="AV350" s="151"/>
    </row>
    <row r="351" spans="1:48" ht="21" customHeight="1" thickBot="1" x14ac:dyDescent="0.45">
      <c r="A351" s="151"/>
      <c r="B351" s="299"/>
      <c r="C351" s="299"/>
      <c r="D351" s="151"/>
      <c r="E351" s="479"/>
      <c r="F351" s="479"/>
      <c r="G351" s="299"/>
      <c r="H351" s="299"/>
      <c r="I351" s="299"/>
      <c r="J351" s="299"/>
      <c r="K351" s="299"/>
      <c r="L351" s="299"/>
      <c r="M351" s="299"/>
      <c r="N351" s="299"/>
      <c r="O351" s="299"/>
      <c r="P351" s="299"/>
      <c r="Q351" s="299"/>
      <c r="R351" s="299"/>
      <c r="S351" s="299"/>
      <c r="T351" s="299"/>
      <c r="U351" s="299"/>
      <c r="V351" s="299"/>
      <c r="W351" s="299"/>
      <c r="X351" s="299"/>
      <c r="Y351" s="299"/>
      <c r="Z351" s="299"/>
      <c r="AA351" s="299"/>
      <c r="AB351" s="299"/>
      <c r="AC351" s="299"/>
      <c r="AD351" s="299"/>
      <c r="AE351" s="299"/>
      <c r="AF351" s="299"/>
      <c r="AG351" s="299"/>
      <c r="AH351" s="299"/>
      <c r="AI351" s="299"/>
      <c r="AJ351" s="302"/>
      <c r="AK351" s="302"/>
      <c r="AL351" s="302"/>
      <c r="AM351" s="593"/>
      <c r="AN351" s="593"/>
      <c r="AO351" s="215"/>
      <c r="AP351" s="157"/>
      <c r="AQ351" s="151"/>
      <c r="AR351" s="151"/>
      <c r="AS351" s="151"/>
      <c r="AT351" s="151"/>
      <c r="AU351" s="151"/>
      <c r="AV351" s="151"/>
    </row>
    <row r="352" spans="1:48" ht="21" customHeight="1" thickBot="1" x14ac:dyDescent="0.45">
      <c r="A352" s="151"/>
      <c r="B352" s="299"/>
      <c r="C352" s="299"/>
      <c r="D352" s="151"/>
      <c r="E352" s="479"/>
      <c r="F352" s="47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302"/>
      <c r="AK352" s="302"/>
      <c r="AL352" s="302"/>
      <c r="AM352" s="593"/>
      <c r="AN352" s="593"/>
      <c r="AO352" s="215"/>
      <c r="AP352" s="157"/>
      <c r="AQ352" s="151"/>
      <c r="AR352" s="151"/>
      <c r="AS352" s="151"/>
      <c r="AT352" s="151"/>
      <c r="AU352" s="151"/>
      <c r="AV352" s="151"/>
    </row>
    <row r="353" spans="1:48" ht="21" customHeight="1" thickBot="1" x14ac:dyDescent="0.45">
      <c r="A353" s="151"/>
      <c r="B353" s="299"/>
      <c r="C353" s="299"/>
      <c r="D353" s="151"/>
      <c r="E353" s="479"/>
      <c r="F353" s="47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299"/>
      <c r="AE353" s="299"/>
      <c r="AF353" s="299"/>
      <c r="AG353" s="299"/>
      <c r="AH353" s="299"/>
      <c r="AI353" s="299"/>
      <c r="AJ353" s="302"/>
      <c r="AK353" s="302"/>
      <c r="AL353" s="302"/>
      <c r="AM353" s="593"/>
      <c r="AN353" s="593"/>
      <c r="AO353" s="215"/>
      <c r="AP353" s="157"/>
      <c r="AQ353" s="151"/>
      <c r="AR353" s="151"/>
      <c r="AS353" s="151"/>
      <c r="AT353" s="151"/>
      <c r="AU353" s="151"/>
      <c r="AV353" s="151"/>
    </row>
    <row r="354" spans="1:48" ht="21" customHeight="1" thickBot="1" x14ac:dyDescent="0.45">
      <c r="A354" s="151"/>
      <c r="B354" s="299"/>
      <c r="C354" s="299"/>
      <c r="D354" s="151"/>
      <c r="E354" s="479"/>
      <c r="F354" s="479"/>
      <c r="G354" s="299"/>
      <c r="H354" s="299"/>
      <c r="I354" s="299"/>
      <c r="J354" s="299"/>
      <c r="K354" s="299"/>
      <c r="L354" s="299"/>
      <c r="M354" s="299"/>
      <c r="N354" s="299"/>
      <c r="O354" s="299"/>
      <c r="P354" s="299"/>
      <c r="Q354" s="299"/>
      <c r="R354" s="299"/>
      <c r="S354" s="299"/>
      <c r="T354" s="299"/>
      <c r="U354" s="299"/>
      <c r="V354" s="299"/>
      <c r="W354" s="299"/>
      <c r="X354" s="299"/>
      <c r="Y354" s="299"/>
      <c r="Z354" s="299"/>
      <c r="AA354" s="299"/>
      <c r="AB354" s="299"/>
      <c r="AC354" s="299"/>
      <c r="AD354" s="299"/>
      <c r="AE354" s="299"/>
      <c r="AF354" s="299"/>
      <c r="AG354" s="299"/>
      <c r="AH354" s="299"/>
      <c r="AI354" s="299"/>
      <c r="AJ354" s="302"/>
      <c r="AK354" s="302"/>
      <c r="AL354" s="302"/>
      <c r="AM354" s="593"/>
      <c r="AN354" s="593"/>
      <c r="AO354" s="215"/>
      <c r="AP354" s="157"/>
      <c r="AQ354" s="151"/>
      <c r="AR354" s="151"/>
      <c r="AS354" s="151"/>
      <c r="AT354" s="151"/>
      <c r="AU354" s="151"/>
      <c r="AV354" s="151"/>
    </row>
    <row r="355" spans="1:48" ht="21" customHeight="1" thickBot="1" x14ac:dyDescent="0.45">
      <c r="A355" s="151"/>
      <c r="B355" s="299"/>
      <c r="C355" s="299"/>
      <c r="D355" s="151"/>
      <c r="E355" s="479"/>
      <c r="F355" s="479"/>
      <c r="G355" s="299"/>
      <c r="H355" s="299"/>
      <c r="I355" s="299"/>
      <c r="J355" s="299"/>
      <c r="K355" s="299"/>
      <c r="L355" s="299"/>
      <c r="M355" s="299"/>
      <c r="N355" s="299"/>
      <c r="O355" s="299"/>
      <c r="P355" s="299"/>
      <c r="Q355" s="299"/>
      <c r="R355" s="299"/>
      <c r="S355" s="299"/>
      <c r="T355" s="299"/>
      <c r="U355" s="299"/>
      <c r="V355" s="299"/>
      <c r="W355" s="299"/>
      <c r="X355" s="299"/>
      <c r="Y355" s="299"/>
      <c r="Z355" s="299"/>
      <c r="AA355" s="299"/>
      <c r="AB355" s="299"/>
      <c r="AC355" s="299"/>
      <c r="AD355" s="299"/>
      <c r="AE355" s="299"/>
      <c r="AF355" s="299"/>
      <c r="AG355" s="299"/>
      <c r="AH355" s="299"/>
      <c r="AI355" s="299"/>
      <c r="AJ355" s="302"/>
      <c r="AK355" s="302"/>
      <c r="AL355" s="302"/>
      <c r="AM355" s="593"/>
      <c r="AN355" s="593"/>
      <c r="AO355" s="215"/>
      <c r="AP355" s="157"/>
      <c r="AQ355" s="151"/>
      <c r="AR355" s="151"/>
      <c r="AS355" s="151"/>
      <c r="AT355" s="151"/>
      <c r="AU355" s="151"/>
      <c r="AV355" s="151"/>
    </row>
    <row r="356" spans="1:48" ht="21" customHeight="1" thickBot="1" x14ac:dyDescent="0.45">
      <c r="A356" s="151"/>
      <c r="B356" s="299"/>
      <c r="C356" s="299"/>
      <c r="D356" s="151"/>
      <c r="E356" s="479"/>
      <c r="F356" s="479"/>
      <c r="G356" s="299"/>
      <c r="H356" s="299"/>
      <c r="I356" s="299"/>
      <c r="J356" s="299"/>
      <c r="K356" s="299"/>
      <c r="L356" s="299"/>
      <c r="M356" s="299"/>
      <c r="N356" s="299"/>
      <c r="O356" s="299"/>
      <c r="P356" s="299"/>
      <c r="Q356" s="299"/>
      <c r="R356" s="299"/>
      <c r="S356" s="299"/>
      <c r="T356" s="299"/>
      <c r="U356" s="299"/>
      <c r="V356" s="299"/>
      <c r="W356" s="299"/>
      <c r="X356" s="299"/>
      <c r="Y356" s="299"/>
      <c r="Z356" s="299"/>
      <c r="AA356" s="299"/>
      <c r="AB356" s="299"/>
      <c r="AC356" s="299"/>
      <c r="AD356" s="299"/>
      <c r="AE356" s="299"/>
      <c r="AF356" s="299"/>
      <c r="AG356" s="299"/>
      <c r="AH356" s="299"/>
      <c r="AI356" s="299"/>
      <c r="AJ356" s="302"/>
      <c r="AK356" s="302"/>
      <c r="AL356" s="302"/>
      <c r="AM356" s="593"/>
      <c r="AN356" s="593"/>
      <c r="AO356" s="215"/>
      <c r="AP356" s="157"/>
      <c r="AQ356" s="151"/>
      <c r="AR356" s="151"/>
      <c r="AS356" s="151"/>
      <c r="AT356" s="151"/>
      <c r="AU356" s="151"/>
      <c r="AV356" s="151"/>
    </row>
    <row r="357" spans="1:48" ht="21" customHeight="1" thickBot="1" x14ac:dyDescent="0.45">
      <c r="A357" s="151"/>
      <c r="B357" s="299"/>
      <c r="C357" s="299"/>
      <c r="D357" s="151"/>
      <c r="E357" s="479"/>
      <c r="F357" s="47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299"/>
      <c r="AE357" s="299"/>
      <c r="AF357" s="299"/>
      <c r="AG357" s="299"/>
      <c r="AH357" s="299"/>
      <c r="AI357" s="299"/>
      <c r="AJ357" s="302"/>
      <c r="AK357" s="302"/>
      <c r="AL357" s="302"/>
      <c r="AM357" s="593"/>
      <c r="AN357" s="593"/>
      <c r="AO357" s="215"/>
      <c r="AP357" s="157"/>
      <c r="AQ357" s="151"/>
      <c r="AR357" s="151"/>
      <c r="AS357" s="151"/>
      <c r="AT357" s="151"/>
      <c r="AU357" s="151"/>
      <c r="AV357" s="151"/>
    </row>
    <row r="358" spans="1:48" ht="21" customHeight="1" thickBot="1" x14ac:dyDescent="0.45">
      <c r="A358" s="151"/>
      <c r="B358" s="299"/>
      <c r="C358" s="299"/>
      <c r="D358" s="151"/>
      <c r="E358" s="479"/>
      <c r="F358" s="479"/>
      <c r="G358" s="299"/>
      <c r="H358" s="299"/>
      <c r="I358" s="299"/>
      <c r="J358" s="299"/>
      <c r="K358" s="299"/>
      <c r="L358" s="299"/>
      <c r="M358" s="299"/>
      <c r="N358" s="299"/>
      <c r="O358" s="299"/>
      <c r="P358" s="299"/>
      <c r="Q358" s="299"/>
      <c r="R358" s="299"/>
      <c r="S358" s="299"/>
      <c r="T358" s="299"/>
      <c r="U358" s="299"/>
      <c r="V358" s="299"/>
      <c r="W358" s="299"/>
      <c r="X358" s="299"/>
      <c r="Y358" s="299"/>
      <c r="Z358" s="299"/>
      <c r="AA358" s="299"/>
      <c r="AB358" s="299"/>
      <c r="AC358" s="299"/>
      <c r="AD358" s="299"/>
      <c r="AE358" s="299"/>
      <c r="AF358" s="299"/>
      <c r="AG358" s="299"/>
      <c r="AH358" s="299"/>
      <c r="AI358" s="299"/>
      <c r="AJ358" s="302"/>
      <c r="AK358" s="302"/>
      <c r="AL358" s="302"/>
      <c r="AM358" s="593"/>
      <c r="AN358" s="593"/>
      <c r="AO358" s="215"/>
      <c r="AP358" s="157"/>
      <c r="AQ358" s="151"/>
      <c r="AR358" s="151"/>
      <c r="AS358" s="151"/>
      <c r="AT358" s="151"/>
      <c r="AU358" s="151"/>
      <c r="AV358" s="151"/>
    </row>
    <row r="359" spans="1:48" ht="21" customHeight="1" thickBot="1" x14ac:dyDescent="0.45">
      <c r="A359" s="151"/>
      <c r="B359" s="299"/>
      <c r="C359" s="299"/>
      <c r="D359" s="151"/>
      <c r="E359" s="479"/>
      <c r="F359" s="479"/>
      <c r="G359" s="299"/>
      <c r="H359" s="299"/>
      <c r="I359" s="299"/>
      <c r="J359" s="299"/>
      <c r="K359" s="299"/>
      <c r="L359" s="299"/>
      <c r="M359" s="299"/>
      <c r="N359" s="299"/>
      <c r="O359" s="299"/>
      <c r="P359" s="299"/>
      <c r="Q359" s="299"/>
      <c r="R359" s="299"/>
      <c r="S359" s="299"/>
      <c r="T359" s="299"/>
      <c r="U359" s="299"/>
      <c r="V359" s="299"/>
      <c r="W359" s="299"/>
      <c r="X359" s="299"/>
      <c r="Y359" s="299"/>
      <c r="Z359" s="299"/>
      <c r="AA359" s="299"/>
      <c r="AB359" s="299"/>
      <c r="AC359" s="299"/>
      <c r="AD359" s="299"/>
      <c r="AE359" s="299"/>
      <c r="AF359" s="299"/>
      <c r="AG359" s="299"/>
      <c r="AH359" s="299"/>
      <c r="AI359" s="299"/>
      <c r="AJ359" s="302"/>
      <c r="AK359" s="302"/>
      <c r="AL359" s="302"/>
      <c r="AM359" s="593"/>
      <c r="AN359" s="593"/>
      <c r="AO359" s="215"/>
      <c r="AP359" s="157"/>
      <c r="AQ359" s="151"/>
      <c r="AR359" s="151"/>
      <c r="AS359" s="151"/>
      <c r="AT359" s="151"/>
      <c r="AU359" s="151"/>
      <c r="AV359" s="151"/>
    </row>
    <row r="360" spans="1:48" ht="21" customHeight="1" thickBot="1" x14ac:dyDescent="0.45">
      <c r="A360" s="151"/>
      <c r="B360" s="299"/>
      <c r="C360" s="299"/>
      <c r="D360" s="151"/>
      <c r="E360" s="479"/>
      <c r="F360" s="479"/>
      <c r="G360" s="299"/>
      <c r="H360" s="299"/>
      <c r="I360" s="299"/>
      <c r="J360" s="299"/>
      <c r="K360" s="299"/>
      <c r="L360" s="299"/>
      <c r="M360" s="299"/>
      <c r="N360" s="299"/>
      <c r="O360" s="299"/>
      <c r="P360" s="299"/>
      <c r="Q360" s="299"/>
      <c r="R360" s="299"/>
      <c r="S360" s="299"/>
      <c r="T360" s="299"/>
      <c r="U360" s="299"/>
      <c r="V360" s="299"/>
      <c r="W360" s="299"/>
      <c r="X360" s="299"/>
      <c r="Y360" s="299"/>
      <c r="Z360" s="299"/>
      <c r="AA360" s="299"/>
      <c r="AB360" s="299"/>
      <c r="AC360" s="299"/>
      <c r="AD360" s="299"/>
      <c r="AE360" s="299"/>
      <c r="AF360" s="299"/>
      <c r="AG360" s="299"/>
      <c r="AH360" s="299"/>
      <c r="AI360" s="299"/>
      <c r="AJ360" s="302"/>
      <c r="AK360" s="302"/>
      <c r="AL360" s="302"/>
      <c r="AM360" s="593"/>
      <c r="AN360" s="593"/>
      <c r="AO360" s="215"/>
      <c r="AP360" s="157"/>
      <c r="AQ360" s="151"/>
      <c r="AR360" s="151"/>
      <c r="AS360" s="151"/>
      <c r="AT360" s="151"/>
      <c r="AU360" s="151"/>
      <c r="AV360" s="151"/>
    </row>
    <row r="361" spans="1:48" ht="21" customHeight="1" thickBot="1" x14ac:dyDescent="0.45">
      <c r="A361" s="151"/>
      <c r="B361" s="299"/>
      <c r="C361" s="299"/>
      <c r="D361" s="151"/>
      <c r="E361" s="479"/>
      <c r="F361" s="479"/>
      <c r="G361" s="299"/>
      <c r="H361" s="299"/>
      <c r="I361" s="299"/>
      <c r="J361" s="299"/>
      <c r="K361" s="299"/>
      <c r="L361" s="299"/>
      <c r="M361" s="299"/>
      <c r="N361" s="299"/>
      <c r="O361" s="299"/>
      <c r="P361" s="299"/>
      <c r="Q361" s="299"/>
      <c r="R361" s="299"/>
      <c r="S361" s="299"/>
      <c r="T361" s="299"/>
      <c r="U361" s="299"/>
      <c r="V361" s="299"/>
      <c r="W361" s="299"/>
      <c r="X361" s="299"/>
      <c r="Y361" s="299"/>
      <c r="Z361" s="299"/>
      <c r="AA361" s="299"/>
      <c r="AB361" s="299"/>
      <c r="AC361" s="299"/>
      <c r="AD361" s="299"/>
      <c r="AE361" s="299"/>
      <c r="AF361" s="299"/>
      <c r="AG361" s="299"/>
      <c r="AH361" s="299"/>
      <c r="AI361" s="299"/>
      <c r="AJ361" s="302"/>
      <c r="AK361" s="302"/>
      <c r="AL361" s="302"/>
      <c r="AM361" s="593"/>
      <c r="AN361" s="593"/>
      <c r="AO361" s="215"/>
      <c r="AP361" s="157"/>
      <c r="AQ361" s="151"/>
      <c r="AR361" s="151"/>
      <c r="AS361" s="151"/>
      <c r="AT361" s="151"/>
      <c r="AU361" s="151"/>
      <c r="AV361" s="151"/>
    </row>
    <row r="362" spans="1:48" ht="21" customHeight="1" thickBot="1" x14ac:dyDescent="0.45">
      <c r="A362" s="151"/>
      <c r="B362" s="299"/>
      <c r="C362" s="299"/>
      <c r="D362" s="151"/>
      <c r="E362" s="479"/>
      <c r="F362" s="47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302"/>
      <c r="AK362" s="302"/>
      <c r="AL362" s="302"/>
      <c r="AM362" s="593"/>
      <c r="AN362" s="593"/>
      <c r="AO362" s="215"/>
      <c r="AP362" s="157"/>
      <c r="AQ362" s="151"/>
      <c r="AR362" s="151"/>
      <c r="AS362" s="151"/>
      <c r="AT362" s="151"/>
      <c r="AU362" s="151"/>
      <c r="AV362" s="151"/>
    </row>
    <row r="363" spans="1:48" ht="21" customHeight="1" thickBot="1" x14ac:dyDescent="0.45">
      <c r="A363" s="151"/>
      <c r="B363" s="299"/>
      <c r="C363" s="299"/>
      <c r="D363" s="151"/>
      <c r="E363" s="479"/>
      <c r="F363" s="479"/>
      <c r="G363" s="299"/>
      <c r="H363" s="299"/>
      <c r="I363" s="299"/>
      <c r="J363" s="299"/>
      <c r="K363" s="299"/>
      <c r="L363" s="299"/>
      <c r="M363" s="299"/>
      <c r="N363" s="299"/>
      <c r="O363" s="299"/>
      <c r="P363" s="299"/>
      <c r="Q363" s="299"/>
      <c r="R363" s="299"/>
      <c r="S363" s="299"/>
      <c r="T363" s="299"/>
      <c r="U363" s="299"/>
      <c r="V363" s="299"/>
      <c r="W363" s="299"/>
      <c r="X363" s="299"/>
      <c r="Y363" s="299"/>
      <c r="Z363" s="299"/>
      <c r="AA363" s="299"/>
      <c r="AB363" s="299"/>
      <c r="AC363" s="299"/>
      <c r="AD363" s="299"/>
      <c r="AE363" s="299"/>
      <c r="AF363" s="299"/>
      <c r="AG363" s="299"/>
      <c r="AH363" s="299"/>
      <c r="AI363" s="299"/>
      <c r="AJ363" s="302"/>
      <c r="AK363" s="302"/>
      <c r="AL363" s="302"/>
      <c r="AM363" s="593"/>
      <c r="AN363" s="593"/>
      <c r="AO363" s="215"/>
      <c r="AP363" s="157"/>
      <c r="AQ363" s="151"/>
      <c r="AR363" s="151"/>
      <c r="AS363" s="151"/>
      <c r="AT363" s="151"/>
      <c r="AU363" s="151"/>
      <c r="AV363" s="151"/>
    </row>
    <row r="364" spans="1:48" ht="21" customHeight="1" thickBot="1" x14ac:dyDescent="0.45">
      <c r="A364" s="151"/>
      <c r="B364" s="299"/>
      <c r="C364" s="299"/>
      <c r="D364" s="151"/>
      <c r="E364" s="479"/>
      <c r="F364" s="479"/>
      <c r="G364" s="299"/>
      <c r="H364" s="299"/>
      <c r="I364" s="299"/>
      <c r="J364" s="299"/>
      <c r="K364" s="299"/>
      <c r="L364" s="299"/>
      <c r="M364" s="299"/>
      <c r="N364" s="299"/>
      <c r="O364" s="299"/>
      <c r="P364" s="299"/>
      <c r="Q364" s="299"/>
      <c r="R364" s="299"/>
      <c r="S364" s="299"/>
      <c r="T364" s="299"/>
      <c r="U364" s="299"/>
      <c r="V364" s="299"/>
      <c r="W364" s="299"/>
      <c r="X364" s="299"/>
      <c r="Y364" s="299"/>
      <c r="Z364" s="299"/>
      <c r="AA364" s="299"/>
      <c r="AB364" s="299"/>
      <c r="AC364" s="299"/>
      <c r="AD364" s="299"/>
      <c r="AE364" s="299"/>
      <c r="AF364" s="299"/>
      <c r="AG364" s="299"/>
      <c r="AH364" s="299"/>
      <c r="AI364" s="299"/>
      <c r="AJ364" s="302"/>
      <c r="AK364" s="302"/>
      <c r="AL364" s="302"/>
      <c r="AM364" s="593"/>
      <c r="AN364" s="593"/>
      <c r="AO364" s="215"/>
      <c r="AP364" s="157"/>
      <c r="AQ364" s="151"/>
      <c r="AR364" s="151"/>
      <c r="AS364" s="151"/>
      <c r="AT364" s="151"/>
      <c r="AU364" s="151"/>
      <c r="AV364" s="151"/>
    </row>
    <row r="365" spans="1:48" ht="21" customHeight="1" thickBot="1" x14ac:dyDescent="0.45">
      <c r="A365" s="151"/>
      <c r="B365" s="299"/>
      <c r="C365" s="299"/>
      <c r="D365" s="151"/>
      <c r="E365" s="479"/>
      <c r="F365" s="479"/>
      <c r="G365" s="299"/>
      <c r="H365" s="299"/>
      <c r="I365" s="299"/>
      <c r="J365" s="299"/>
      <c r="K365" s="299"/>
      <c r="L365" s="299"/>
      <c r="M365" s="299"/>
      <c r="N365" s="299"/>
      <c r="O365" s="299"/>
      <c r="P365" s="299"/>
      <c r="Q365" s="299"/>
      <c r="R365" s="299"/>
      <c r="S365" s="299"/>
      <c r="T365" s="299"/>
      <c r="U365" s="299"/>
      <c r="V365" s="299"/>
      <c r="W365" s="299"/>
      <c r="X365" s="299"/>
      <c r="Y365" s="299"/>
      <c r="Z365" s="299"/>
      <c r="AA365" s="299"/>
      <c r="AB365" s="299"/>
      <c r="AC365" s="299"/>
      <c r="AD365" s="299"/>
      <c r="AE365" s="299"/>
      <c r="AF365" s="299"/>
      <c r="AG365" s="299"/>
      <c r="AH365" s="299"/>
      <c r="AI365" s="299"/>
      <c r="AJ365" s="302"/>
      <c r="AK365" s="302"/>
      <c r="AL365" s="302"/>
      <c r="AM365" s="593"/>
      <c r="AN365" s="593"/>
      <c r="AO365" s="215"/>
      <c r="AP365" s="157"/>
      <c r="AQ365" s="151"/>
      <c r="AR365" s="151"/>
      <c r="AS365" s="151"/>
      <c r="AT365" s="151"/>
      <c r="AU365" s="151"/>
      <c r="AV365" s="151"/>
    </row>
    <row r="366" spans="1:48" ht="21" customHeight="1" thickBot="1" x14ac:dyDescent="0.45">
      <c r="A366" s="151"/>
      <c r="B366" s="299"/>
      <c r="C366" s="299"/>
      <c r="D366" s="151"/>
      <c r="E366" s="479"/>
      <c r="F366" s="479"/>
      <c r="G366" s="299"/>
      <c r="H366" s="299"/>
      <c r="I366" s="299"/>
      <c r="J366" s="299"/>
      <c r="K366" s="299"/>
      <c r="L366" s="299"/>
      <c r="M366" s="299"/>
      <c r="N366" s="299"/>
      <c r="O366" s="299"/>
      <c r="P366" s="299"/>
      <c r="Q366" s="299"/>
      <c r="R366" s="299"/>
      <c r="S366" s="299"/>
      <c r="T366" s="299"/>
      <c r="U366" s="299"/>
      <c r="V366" s="299"/>
      <c r="W366" s="299"/>
      <c r="X366" s="299"/>
      <c r="Y366" s="299"/>
      <c r="Z366" s="299"/>
      <c r="AA366" s="299"/>
      <c r="AB366" s="299"/>
      <c r="AC366" s="299"/>
      <c r="AD366" s="299"/>
      <c r="AE366" s="299"/>
      <c r="AF366" s="299"/>
      <c r="AG366" s="299"/>
      <c r="AH366" s="299"/>
      <c r="AI366" s="299"/>
      <c r="AJ366" s="302"/>
      <c r="AK366" s="302"/>
      <c r="AL366" s="302"/>
      <c r="AM366" s="593"/>
      <c r="AN366" s="593"/>
      <c r="AO366" s="215"/>
      <c r="AP366" s="157"/>
      <c r="AQ366" s="151"/>
      <c r="AR366" s="151"/>
      <c r="AS366" s="151"/>
      <c r="AT366" s="151"/>
      <c r="AU366" s="151"/>
      <c r="AV366" s="151"/>
    </row>
    <row r="367" spans="1:48" ht="21" customHeight="1" thickBot="1" x14ac:dyDescent="0.45">
      <c r="A367" s="151"/>
      <c r="B367" s="299"/>
      <c r="C367" s="299"/>
      <c r="D367" s="151"/>
      <c r="E367" s="479"/>
      <c r="F367" s="479"/>
      <c r="G367" s="299"/>
      <c r="H367" s="299"/>
      <c r="I367" s="299"/>
      <c r="J367" s="299"/>
      <c r="K367" s="299"/>
      <c r="L367" s="299"/>
      <c r="M367" s="299"/>
      <c r="N367" s="299"/>
      <c r="O367" s="299"/>
      <c r="P367" s="299"/>
      <c r="Q367" s="299"/>
      <c r="R367" s="299"/>
      <c r="S367" s="299"/>
      <c r="T367" s="299"/>
      <c r="U367" s="299"/>
      <c r="V367" s="299"/>
      <c r="W367" s="299"/>
      <c r="X367" s="299"/>
      <c r="Y367" s="299"/>
      <c r="Z367" s="299"/>
      <c r="AA367" s="299"/>
      <c r="AB367" s="299"/>
      <c r="AC367" s="299"/>
      <c r="AD367" s="299"/>
      <c r="AE367" s="299"/>
      <c r="AF367" s="299"/>
      <c r="AG367" s="299"/>
      <c r="AH367" s="299"/>
      <c r="AI367" s="299"/>
      <c r="AJ367" s="302"/>
      <c r="AK367" s="302"/>
      <c r="AL367" s="302"/>
      <c r="AM367" s="593"/>
      <c r="AN367" s="593"/>
      <c r="AO367" s="215"/>
      <c r="AP367" s="157"/>
      <c r="AQ367" s="151"/>
      <c r="AR367" s="151"/>
      <c r="AS367" s="151"/>
      <c r="AT367" s="151"/>
      <c r="AU367" s="151"/>
      <c r="AV367" s="151"/>
    </row>
    <row r="368" spans="1:48" ht="21" customHeight="1" thickBot="1" x14ac:dyDescent="0.45">
      <c r="A368" s="151"/>
      <c r="B368" s="299"/>
      <c r="C368" s="299"/>
      <c r="D368" s="151"/>
      <c r="E368" s="479"/>
      <c r="F368" s="479"/>
      <c r="G368" s="299"/>
      <c r="H368" s="299"/>
      <c r="I368" s="299"/>
      <c r="J368" s="299"/>
      <c r="K368" s="299"/>
      <c r="L368" s="299"/>
      <c r="M368" s="299"/>
      <c r="N368" s="299"/>
      <c r="O368" s="299"/>
      <c r="P368" s="299"/>
      <c r="Q368" s="299"/>
      <c r="R368" s="299"/>
      <c r="S368" s="299"/>
      <c r="T368" s="299"/>
      <c r="U368" s="299"/>
      <c r="V368" s="299"/>
      <c r="W368" s="299"/>
      <c r="X368" s="299"/>
      <c r="Y368" s="299"/>
      <c r="Z368" s="299"/>
      <c r="AA368" s="299"/>
      <c r="AB368" s="299"/>
      <c r="AC368" s="299"/>
      <c r="AD368" s="299"/>
      <c r="AE368" s="299"/>
      <c r="AF368" s="299"/>
      <c r="AG368" s="299"/>
      <c r="AH368" s="299"/>
      <c r="AI368" s="299"/>
      <c r="AJ368" s="302"/>
      <c r="AK368" s="302"/>
      <c r="AL368" s="302"/>
      <c r="AM368" s="593"/>
      <c r="AN368" s="593"/>
      <c r="AO368" s="215"/>
      <c r="AP368" s="157"/>
      <c r="AQ368" s="151"/>
      <c r="AR368" s="151"/>
      <c r="AS368" s="151"/>
      <c r="AT368" s="151"/>
      <c r="AU368" s="151"/>
      <c r="AV368" s="151"/>
    </row>
    <row r="369" spans="1:48" ht="21" customHeight="1" thickBot="1" x14ac:dyDescent="0.45">
      <c r="A369" s="151"/>
      <c r="B369" s="299"/>
      <c r="C369" s="299"/>
      <c r="D369" s="151"/>
      <c r="E369" s="479"/>
      <c r="F369" s="47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299"/>
      <c r="AE369" s="299"/>
      <c r="AF369" s="299"/>
      <c r="AG369" s="299"/>
      <c r="AH369" s="299"/>
      <c r="AI369" s="299"/>
      <c r="AJ369" s="302"/>
      <c r="AK369" s="302"/>
      <c r="AL369" s="302"/>
      <c r="AM369" s="593"/>
      <c r="AN369" s="593"/>
      <c r="AO369" s="215"/>
      <c r="AP369" s="157"/>
      <c r="AQ369" s="151"/>
      <c r="AR369" s="151"/>
      <c r="AS369" s="151"/>
      <c r="AT369" s="151"/>
      <c r="AU369" s="151"/>
      <c r="AV369" s="151"/>
    </row>
    <row r="370" spans="1:48" ht="21" customHeight="1" thickBot="1" x14ac:dyDescent="0.45">
      <c r="A370" s="151"/>
      <c r="B370" s="299"/>
      <c r="C370" s="299"/>
      <c r="D370" s="151"/>
      <c r="E370" s="479"/>
      <c r="F370" s="479"/>
      <c r="G370" s="299"/>
      <c r="H370" s="299"/>
      <c r="I370" s="299"/>
      <c r="J370" s="299"/>
      <c r="K370" s="299"/>
      <c r="L370" s="299"/>
      <c r="M370" s="299"/>
      <c r="N370" s="299"/>
      <c r="O370" s="299"/>
      <c r="P370" s="299"/>
      <c r="Q370" s="299"/>
      <c r="R370" s="299"/>
      <c r="S370" s="299"/>
      <c r="T370" s="299"/>
      <c r="U370" s="299"/>
      <c r="V370" s="299"/>
      <c r="W370" s="299"/>
      <c r="X370" s="299"/>
      <c r="Y370" s="299"/>
      <c r="Z370" s="299"/>
      <c r="AA370" s="299"/>
      <c r="AB370" s="299"/>
      <c r="AC370" s="299"/>
      <c r="AD370" s="299"/>
      <c r="AE370" s="299"/>
      <c r="AF370" s="299"/>
      <c r="AG370" s="299"/>
      <c r="AH370" s="299"/>
      <c r="AI370" s="299"/>
      <c r="AJ370" s="302"/>
      <c r="AK370" s="302"/>
      <c r="AL370" s="302"/>
      <c r="AM370" s="593"/>
      <c r="AN370" s="593"/>
      <c r="AO370" s="215"/>
      <c r="AP370" s="157"/>
      <c r="AQ370" s="151"/>
      <c r="AR370" s="151"/>
      <c r="AS370" s="151"/>
      <c r="AT370" s="151"/>
      <c r="AU370" s="151"/>
      <c r="AV370" s="151"/>
    </row>
    <row r="371" spans="1:48" ht="21" customHeight="1" thickBot="1" x14ac:dyDescent="0.45">
      <c r="A371" s="151"/>
      <c r="B371" s="299"/>
      <c r="C371" s="299"/>
      <c r="D371" s="151"/>
      <c r="E371" s="479"/>
      <c r="F371" s="47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302"/>
      <c r="AK371" s="302"/>
      <c r="AL371" s="302"/>
      <c r="AM371" s="593"/>
      <c r="AN371" s="593"/>
      <c r="AO371" s="215"/>
      <c r="AP371" s="157"/>
      <c r="AQ371" s="151"/>
      <c r="AR371" s="151"/>
      <c r="AS371" s="151"/>
      <c r="AT371" s="151"/>
      <c r="AU371" s="151"/>
      <c r="AV371" s="151"/>
    </row>
    <row r="372" spans="1:48" ht="21" customHeight="1" thickBot="1" x14ac:dyDescent="0.45">
      <c r="A372" s="151"/>
      <c r="B372" s="299"/>
      <c r="C372" s="299"/>
      <c r="D372" s="151"/>
      <c r="E372" s="479"/>
      <c r="F372" s="47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302"/>
      <c r="AK372" s="302"/>
      <c r="AL372" s="302"/>
      <c r="AM372" s="593"/>
      <c r="AN372" s="593"/>
      <c r="AO372" s="215"/>
      <c r="AP372" s="157"/>
      <c r="AQ372" s="151"/>
      <c r="AR372" s="151"/>
      <c r="AS372" s="151"/>
      <c r="AT372" s="151"/>
      <c r="AU372" s="151"/>
      <c r="AV372" s="151"/>
    </row>
    <row r="373" spans="1:48" ht="21" customHeight="1" thickBot="1" x14ac:dyDescent="0.45">
      <c r="A373" s="151"/>
      <c r="B373" s="299"/>
      <c r="C373" s="299"/>
      <c r="D373" s="151"/>
      <c r="E373" s="479"/>
      <c r="F373" s="479"/>
      <c r="G373" s="299"/>
      <c r="H373" s="299"/>
      <c r="I373" s="299"/>
      <c r="J373" s="299"/>
      <c r="K373" s="299"/>
      <c r="L373" s="299"/>
      <c r="M373" s="299"/>
      <c r="N373" s="299"/>
      <c r="O373" s="299"/>
      <c r="P373" s="299"/>
      <c r="Q373" s="299"/>
      <c r="R373" s="299"/>
      <c r="S373" s="299"/>
      <c r="T373" s="299"/>
      <c r="U373" s="299"/>
      <c r="V373" s="299"/>
      <c r="W373" s="299"/>
      <c r="X373" s="299"/>
      <c r="Y373" s="299"/>
      <c r="Z373" s="299"/>
      <c r="AA373" s="299"/>
      <c r="AB373" s="299"/>
      <c r="AC373" s="299"/>
      <c r="AD373" s="299"/>
      <c r="AE373" s="299"/>
      <c r="AF373" s="299"/>
      <c r="AG373" s="299"/>
      <c r="AH373" s="299"/>
      <c r="AI373" s="299"/>
      <c r="AJ373" s="302"/>
      <c r="AK373" s="302"/>
      <c r="AL373" s="302"/>
      <c r="AM373" s="593"/>
      <c r="AN373" s="593"/>
      <c r="AO373" s="215"/>
      <c r="AP373" s="157"/>
      <c r="AQ373" s="151"/>
      <c r="AR373" s="151"/>
      <c r="AS373" s="151"/>
      <c r="AT373" s="151"/>
      <c r="AU373" s="151"/>
      <c r="AV373" s="151"/>
    </row>
    <row r="374" spans="1:48" ht="21" customHeight="1" thickBot="1" x14ac:dyDescent="0.45">
      <c r="A374" s="151"/>
      <c r="B374" s="299"/>
      <c r="C374" s="299"/>
      <c r="D374" s="151"/>
      <c r="E374" s="479"/>
      <c r="F374" s="47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302"/>
      <c r="AK374" s="302"/>
      <c r="AL374" s="302"/>
      <c r="AM374" s="593"/>
      <c r="AN374" s="593"/>
      <c r="AO374" s="215"/>
      <c r="AP374" s="157"/>
      <c r="AQ374" s="151"/>
      <c r="AR374" s="151"/>
      <c r="AS374" s="151"/>
      <c r="AT374" s="151"/>
      <c r="AU374" s="151"/>
      <c r="AV374" s="151"/>
    </row>
    <row r="375" spans="1:48" ht="21" customHeight="1" thickBot="1" x14ac:dyDescent="0.45">
      <c r="A375" s="151"/>
      <c r="B375" s="299"/>
      <c r="C375" s="299"/>
      <c r="D375" s="151"/>
      <c r="E375" s="479"/>
      <c r="F375" s="479"/>
      <c r="G375" s="299"/>
      <c r="H375" s="299"/>
      <c r="I375" s="299"/>
      <c r="J375" s="299"/>
      <c r="K375" s="299"/>
      <c r="L375" s="299"/>
      <c r="M375" s="299"/>
      <c r="N375" s="299"/>
      <c r="O375" s="299"/>
      <c r="P375" s="299"/>
      <c r="Q375" s="299"/>
      <c r="R375" s="299"/>
      <c r="S375" s="299"/>
      <c r="T375" s="299"/>
      <c r="U375" s="299"/>
      <c r="V375" s="299"/>
      <c r="W375" s="299"/>
      <c r="X375" s="299"/>
      <c r="Y375" s="299"/>
      <c r="Z375" s="299"/>
      <c r="AA375" s="299"/>
      <c r="AB375" s="299"/>
      <c r="AC375" s="299"/>
      <c r="AD375" s="299"/>
      <c r="AE375" s="299"/>
      <c r="AF375" s="299"/>
      <c r="AG375" s="299"/>
      <c r="AH375" s="299"/>
      <c r="AI375" s="299"/>
      <c r="AJ375" s="302"/>
      <c r="AK375" s="302"/>
      <c r="AL375" s="302"/>
      <c r="AM375" s="593"/>
      <c r="AN375" s="593"/>
      <c r="AO375" s="215"/>
      <c r="AP375" s="157"/>
      <c r="AQ375" s="151"/>
      <c r="AR375" s="151"/>
      <c r="AS375" s="151"/>
      <c r="AT375" s="151"/>
      <c r="AU375" s="151"/>
      <c r="AV375" s="151"/>
    </row>
    <row r="376" spans="1:48" ht="21" customHeight="1" thickBot="1" x14ac:dyDescent="0.45">
      <c r="A376" s="151"/>
      <c r="B376" s="299"/>
      <c r="C376" s="299"/>
      <c r="D376" s="151"/>
      <c r="E376" s="479"/>
      <c r="F376" s="47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299"/>
      <c r="AE376" s="299"/>
      <c r="AF376" s="299"/>
      <c r="AG376" s="299"/>
      <c r="AH376" s="299"/>
      <c r="AI376" s="299"/>
      <c r="AJ376" s="302"/>
      <c r="AK376" s="302"/>
      <c r="AL376" s="302"/>
      <c r="AM376" s="593"/>
      <c r="AN376" s="593"/>
      <c r="AO376" s="215"/>
      <c r="AP376" s="157"/>
      <c r="AQ376" s="151"/>
      <c r="AR376" s="151"/>
      <c r="AS376" s="151"/>
      <c r="AT376" s="151"/>
      <c r="AU376" s="151"/>
      <c r="AV376" s="151"/>
    </row>
    <row r="377" spans="1:48" ht="21" customHeight="1" thickBot="1" x14ac:dyDescent="0.45">
      <c r="A377" s="151"/>
      <c r="B377" s="299"/>
      <c r="C377" s="299"/>
      <c r="D377" s="151"/>
      <c r="E377" s="479"/>
      <c r="F377" s="479"/>
      <c r="G377" s="299"/>
      <c r="H377" s="299"/>
      <c r="I377" s="299"/>
      <c r="J377" s="299"/>
      <c r="K377" s="299"/>
      <c r="L377" s="299"/>
      <c r="M377" s="299"/>
      <c r="N377" s="299"/>
      <c r="O377" s="299"/>
      <c r="P377" s="299"/>
      <c r="Q377" s="299"/>
      <c r="R377" s="299"/>
      <c r="S377" s="299"/>
      <c r="T377" s="299"/>
      <c r="U377" s="299"/>
      <c r="V377" s="299"/>
      <c r="W377" s="299"/>
      <c r="X377" s="299"/>
      <c r="Y377" s="299"/>
      <c r="Z377" s="299"/>
      <c r="AA377" s="299"/>
      <c r="AB377" s="299"/>
      <c r="AC377" s="299"/>
      <c r="AD377" s="299"/>
      <c r="AE377" s="299"/>
      <c r="AF377" s="299"/>
      <c r="AG377" s="299"/>
      <c r="AH377" s="299"/>
      <c r="AI377" s="299"/>
      <c r="AJ377" s="302"/>
      <c r="AK377" s="302"/>
      <c r="AL377" s="302"/>
      <c r="AM377" s="593"/>
      <c r="AN377" s="593"/>
      <c r="AO377" s="215"/>
      <c r="AP377" s="157"/>
      <c r="AQ377" s="151"/>
      <c r="AR377" s="151"/>
      <c r="AS377" s="151"/>
      <c r="AT377" s="151"/>
      <c r="AU377" s="151"/>
      <c r="AV377" s="151"/>
    </row>
    <row r="378" spans="1:48" ht="21" customHeight="1" thickBot="1" x14ac:dyDescent="0.45">
      <c r="A378" s="151"/>
      <c r="B378" s="299"/>
      <c r="C378" s="299"/>
      <c r="D378" s="151"/>
      <c r="E378" s="479"/>
      <c r="F378" s="47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299"/>
      <c r="AE378" s="299"/>
      <c r="AF378" s="299"/>
      <c r="AG378" s="299"/>
      <c r="AH378" s="299"/>
      <c r="AI378" s="299"/>
      <c r="AJ378" s="302"/>
      <c r="AK378" s="302"/>
      <c r="AL378" s="302"/>
      <c r="AM378" s="593"/>
      <c r="AN378" s="593"/>
      <c r="AO378" s="215"/>
      <c r="AP378" s="157"/>
      <c r="AQ378" s="151"/>
      <c r="AR378" s="151"/>
      <c r="AS378" s="151"/>
      <c r="AT378" s="151"/>
      <c r="AU378" s="151"/>
      <c r="AV378" s="151"/>
    </row>
    <row r="379" spans="1:48" ht="21" customHeight="1" thickBot="1" x14ac:dyDescent="0.45">
      <c r="A379" s="151"/>
      <c r="B379" s="299"/>
      <c r="C379" s="299"/>
      <c r="D379" s="151"/>
      <c r="E379" s="479"/>
      <c r="F379" s="47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299"/>
      <c r="AE379" s="299"/>
      <c r="AF379" s="299"/>
      <c r="AG379" s="299"/>
      <c r="AH379" s="299"/>
      <c r="AI379" s="299"/>
      <c r="AJ379" s="302"/>
      <c r="AK379" s="302"/>
      <c r="AL379" s="302"/>
      <c r="AM379" s="593"/>
      <c r="AN379" s="593"/>
      <c r="AO379" s="215"/>
      <c r="AP379" s="157"/>
      <c r="AQ379" s="151"/>
      <c r="AR379" s="151"/>
      <c r="AS379" s="151"/>
      <c r="AT379" s="151"/>
      <c r="AU379" s="151"/>
      <c r="AV379" s="151"/>
    </row>
    <row r="380" spans="1:48" ht="21" customHeight="1" thickBot="1" x14ac:dyDescent="0.45">
      <c r="A380" s="151"/>
      <c r="B380" s="299"/>
      <c r="C380" s="299"/>
      <c r="D380" s="151"/>
      <c r="E380" s="479"/>
      <c r="F380" s="479"/>
      <c r="G380" s="299"/>
      <c r="H380" s="299"/>
      <c r="I380" s="299"/>
      <c r="J380" s="299"/>
      <c r="K380" s="299"/>
      <c r="L380" s="299"/>
      <c r="M380" s="299"/>
      <c r="N380" s="299"/>
      <c r="O380" s="299"/>
      <c r="P380" s="299"/>
      <c r="Q380" s="299"/>
      <c r="R380" s="299"/>
      <c r="S380" s="299"/>
      <c r="T380" s="299"/>
      <c r="U380" s="299"/>
      <c r="V380" s="299"/>
      <c r="W380" s="299"/>
      <c r="X380" s="299"/>
      <c r="Y380" s="299"/>
      <c r="Z380" s="299"/>
      <c r="AA380" s="299"/>
      <c r="AB380" s="299"/>
      <c r="AC380" s="299"/>
      <c r="AD380" s="299"/>
      <c r="AE380" s="299"/>
      <c r="AF380" s="299"/>
      <c r="AG380" s="299"/>
      <c r="AH380" s="299"/>
      <c r="AI380" s="299"/>
      <c r="AJ380" s="302"/>
      <c r="AK380" s="302"/>
      <c r="AL380" s="302"/>
      <c r="AM380" s="593"/>
      <c r="AN380" s="593"/>
      <c r="AO380" s="215"/>
      <c r="AP380" s="157"/>
      <c r="AQ380" s="151"/>
      <c r="AR380" s="151"/>
      <c r="AS380" s="151"/>
      <c r="AT380" s="151"/>
      <c r="AU380" s="151"/>
      <c r="AV380" s="151"/>
    </row>
    <row r="381" spans="1:48" ht="21" customHeight="1" thickBot="1" x14ac:dyDescent="0.45">
      <c r="A381" s="151"/>
      <c r="B381" s="299"/>
      <c r="C381" s="299"/>
      <c r="D381" s="151"/>
      <c r="E381" s="479"/>
      <c r="F381" s="47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299"/>
      <c r="AE381" s="299"/>
      <c r="AF381" s="299"/>
      <c r="AG381" s="299"/>
      <c r="AH381" s="299"/>
      <c r="AI381" s="299"/>
      <c r="AJ381" s="302"/>
      <c r="AK381" s="302"/>
      <c r="AL381" s="302"/>
      <c r="AM381" s="593"/>
      <c r="AN381" s="593"/>
      <c r="AO381" s="215"/>
      <c r="AP381" s="157"/>
      <c r="AQ381" s="151"/>
      <c r="AR381" s="151"/>
      <c r="AS381" s="151"/>
      <c r="AT381" s="151"/>
      <c r="AU381" s="151"/>
      <c r="AV381" s="151"/>
    </row>
    <row r="382" spans="1:48" ht="21" customHeight="1" thickBot="1" x14ac:dyDescent="0.45">
      <c r="A382" s="151"/>
      <c r="B382" s="299"/>
      <c r="C382" s="299"/>
      <c r="D382" s="151"/>
      <c r="E382" s="479"/>
      <c r="F382" s="47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302"/>
      <c r="AK382" s="302"/>
      <c r="AL382" s="302"/>
      <c r="AM382" s="593"/>
      <c r="AN382" s="593"/>
      <c r="AO382" s="215"/>
      <c r="AP382" s="157"/>
      <c r="AQ382" s="151"/>
      <c r="AR382" s="151"/>
      <c r="AS382" s="151"/>
      <c r="AT382" s="151"/>
      <c r="AU382" s="151"/>
      <c r="AV382" s="151"/>
    </row>
    <row r="383" spans="1:48" ht="21" customHeight="1" thickBot="1" x14ac:dyDescent="0.45">
      <c r="A383" s="151"/>
      <c r="B383" s="299"/>
      <c r="C383" s="299"/>
      <c r="D383" s="151"/>
      <c r="E383" s="479"/>
      <c r="F383" s="479"/>
      <c r="G383" s="299"/>
      <c r="H383" s="299"/>
      <c r="I383" s="299"/>
      <c r="J383" s="299"/>
      <c r="K383" s="299"/>
      <c r="L383" s="299"/>
      <c r="M383" s="299"/>
      <c r="N383" s="299"/>
      <c r="O383" s="299"/>
      <c r="P383" s="299"/>
      <c r="Q383" s="299"/>
      <c r="R383" s="299"/>
      <c r="S383" s="299"/>
      <c r="T383" s="299"/>
      <c r="U383" s="299"/>
      <c r="V383" s="299"/>
      <c r="W383" s="299"/>
      <c r="X383" s="299"/>
      <c r="Y383" s="299"/>
      <c r="Z383" s="299"/>
      <c r="AA383" s="299"/>
      <c r="AB383" s="299"/>
      <c r="AC383" s="299"/>
      <c r="AD383" s="299"/>
      <c r="AE383" s="299"/>
      <c r="AF383" s="299"/>
      <c r="AG383" s="299"/>
      <c r="AH383" s="299"/>
      <c r="AI383" s="299"/>
      <c r="AJ383" s="302"/>
      <c r="AK383" s="302"/>
      <c r="AL383" s="302"/>
      <c r="AM383" s="593"/>
      <c r="AN383" s="593"/>
      <c r="AO383" s="215"/>
      <c r="AP383" s="157"/>
      <c r="AQ383" s="151"/>
      <c r="AR383" s="151"/>
      <c r="AS383" s="151"/>
      <c r="AT383" s="151"/>
      <c r="AU383" s="151"/>
      <c r="AV383" s="151"/>
    </row>
    <row r="384" spans="1:48" ht="21" customHeight="1" thickBot="1" x14ac:dyDescent="0.45">
      <c r="A384" s="151"/>
      <c r="B384" s="299"/>
      <c r="C384" s="299"/>
      <c r="D384" s="151"/>
      <c r="E384" s="479"/>
      <c r="F384" s="479"/>
      <c r="G384" s="299"/>
      <c r="H384" s="299"/>
      <c r="I384" s="299"/>
      <c r="J384" s="299"/>
      <c r="K384" s="299"/>
      <c r="L384" s="299"/>
      <c r="M384" s="299"/>
      <c r="N384" s="299"/>
      <c r="O384" s="299"/>
      <c r="P384" s="299"/>
      <c r="Q384" s="299"/>
      <c r="R384" s="299"/>
      <c r="S384" s="299"/>
      <c r="T384" s="299"/>
      <c r="U384" s="299"/>
      <c r="V384" s="299"/>
      <c r="W384" s="299"/>
      <c r="X384" s="299"/>
      <c r="Y384" s="299"/>
      <c r="Z384" s="299"/>
      <c r="AA384" s="299"/>
      <c r="AB384" s="299"/>
      <c r="AC384" s="299"/>
      <c r="AD384" s="299"/>
      <c r="AE384" s="299"/>
      <c r="AF384" s="299"/>
      <c r="AG384" s="299"/>
      <c r="AH384" s="299"/>
      <c r="AI384" s="299"/>
      <c r="AJ384" s="302"/>
      <c r="AK384" s="302"/>
      <c r="AL384" s="302"/>
      <c r="AM384" s="593"/>
      <c r="AN384" s="593"/>
      <c r="AO384" s="215"/>
      <c r="AP384" s="157"/>
      <c r="AQ384" s="151"/>
      <c r="AR384" s="151"/>
      <c r="AS384" s="151"/>
      <c r="AT384" s="151"/>
      <c r="AU384" s="151"/>
      <c r="AV384" s="151"/>
    </row>
    <row r="385" spans="1:48" ht="21" customHeight="1" thickBot="1" x14ac:dyDescent="0.45">
      <c r="A385" s="151"/>
      <c r="B385" s="299"/>
      <c r="C385" s="299"/>
      <c r="D385" s="151"/>
      <c r="E385" s="479"/>
      <c r="F385" s="479"/>
      <c r="G385" s="299"/>
      <c r="H385" s="299"/>
      <c r="I385" s="299"/>
      <c r="J385" s="299"/>
      <c r="K385" s="299"/>
      <c r="L385" s="299"/>
      <c r="M385" s="299"/>
      <c r="N385" s="299"/>
      <c r="O385" s="299"/>
      <c r="P385" s="299"/>
      <c r="Q385" s="299"/>
      <c r="R385" s="299"/>
      <c r="S385" s="299"/>
      <c r="T385" s="299"/>
      <c r="U385" s="299"/>
      <c r="V385" s="299"/>
      <c r="W385" s="299"/>
      <c r="X385" s="299"/>
      <c r="Y385" s="299"/>
      <c r="Z385" s="299"/>
      <c r="AA385" s="299"/>
      <c r="AB385" s="299"/>
      <c r="AC385" s="299"/>
      <c r="AD385" s="299"/>
      <c r="AE385" s="299"/>
      <c r="AF385" s="299"/>
      <c r="AG385" s="299"/>
      <c r="AH385" s="299"/>
      <c r="AI385" s="299"/>
      <c r="AJ385" s="302"/>
      <c r="AK385" s="302"/>
      <c r="AL385" s="302"/>
      <c r="AM385" s="593"/>
      <c r="AN385" s="593"/>
      <c r="AO385" s="215"/>
      <c r="AP385" s="157"/>
      <c r="AQ385" s="151"/>
      <c r="AR385" s="151"/>
      <c r="AS385" s="151"/>
      <c r="AT385" s="151"/>
      <c r="AU385" s="151"/>
      <c r="AV385" s="151"/>
    </row>
    <row r="386" spans="1:48" ht="21" customHeight="1" thickBot="1" x14ac:dyDescent="0.45">
      <c r="A386" s="151"/>
      <c r="B386" s="299"/>
      <c r="C386" s="299"/>
      <c r="D386" s="151"/>
      <c r="E386" s="479"/>
      <c r="F386" s="47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302"/>
      <c r="AK386" s="302"/>
      <c r="AL386" s="302"/>
      <c r="AM386" s="593"/>
      <c r="AN386" s="593"/>
      <c r="AO386" s="215"/>
      <c r="AP386" s="157"/>
      <c r="AQ386" s="151"/>
      <c r="AR386" s="151"/>
      <c r="AS386" s="151"/>
      <c r="AT386" s="151"/>
      <c r="AU386" s="151"/>
      <c r="AV386" s="151"/>
    </row>
    <row r="387" spans="1:48" ht="21" customHeight="1" thickBot="1" x14ac:dyDescent="0.45">
      <c r="A387" s="151"/>
      <c r="B387" s="299"/>
      <c r="C387" s="299"/>
      <c r="D387" s="151"/>
      <c r="E387" s="479"/>
      <c r="F387" s="479"/>
      <c r="G387" s="299"/>
      <c r="H387" s="299"/>
      <c r="I387" s="299"/>
      <c r="J387" s="299"/>
      <c r="K387" s="299"/>
      <c r="L387" s="299"/>
      <c r="M387" s="299"/>
      <c r="N387" s="299"/>
      <c r="O387" s="299"/>
      <c r="P387" s="299"/>
      <c r="Q387" s="299"/>
      <c r="R387" s="299"/>
      <c r="S387" s="299"/>
      <c r="T387" s="299"/>
      <c r="U387" s="299"/>
      <c r="V387" s="299"/>
      <c r="W387" s="299"/>
      <c r="X387" s="299"/>
      <c r="Y387" s="299"/>
      <c r="Z387" s="299"/>
      <c r="AA387" s="299"/>
      <c r="AB387" s="299"/>
      <c r="AC387" s="299"/>
      <c r="AD387" s="299"/>
      <c r="AE387" s="299"/>
      <c r="AF387" s="299"/>
      <c r="AG387" s="299"/>
      <c r="AH387" s="299"/>
      <c r="AI387" s="299"/>
      <c r="AJ387" s="302"/>
      <c r="AK387" s="302"/>
      <c r="AL387" s="302"/>
      <c r="AM387" s="593"/>
      <c r="AN387" s="593"/>
      <c r="AO387" s="215"/>
      <c r="AP387" s="157"/>
      <c r="AQ387" s="151"/>
      <c r="AR387" s="151"/>
      <c r="AS387" s="151"/>
      <c r="AT387" s="151"/>
      <c r="AU387" s="151"/>
      <c r="AV387" s="151"/>
    </row>
    <row r="388" spans="1:48" ht="21" customHeight="1" thickBot="1" x14ac:dyDescent="0.45">
      <c r="A388" s="151"/>
      <c r="B388" s="299"/>
      <c r="C388" s="299"/>
      <c r="D388" s="151"/>
      <c r="E388" s="479"/>
      <c r="F388" s="479"/>
      <c r="G388" s="299"/>
      <c r="H388" s="299"/>
      <c r="I388" s="299"/>
      <c r="J388" s="299"/>
      <c r="K388" s="299"/>
      <c r="L388" s="299"/>
      <c r="M388" s="299"/>
      <c r="N388" s="299"/>
      <c r="O388" s="299"/>
      <c r="P388" s="299"/>
      <c r="Q388" s="299"/>
      <c r="R388" s="299"/>
      <c r="S388" s="299"/>
      <c r="T388" s="299"/>
      <c r="U388" s="299"/>
      <c r="V388" s="299"/>
      <c r="W388" s="299"/>
      <c r="X388" s="299"/>
      <c r="Y388" s="299"/>
      <c r="Z388" s="299"/>
      <c r="AA388" s="299"/>
      <c r="AB388" s="299"/>
      <c r="AC388" s="299"/>
      <c r="AD388" s="299"/>
      <c r="AE388" s="299"/>
      <c r="AF388" s="299"/>
      <c r="AG388" s="299"/>
      <c r="AH388" s="299"/>
      <c r="AI388" s="299"/>
      <c r="AJ388" s="302"/>
      <c r="AK388" s="302"/>
      <c r="AL388" s="302"/>
      <c r="AM388" s="593"/>
      <c r="AN388" s="593"/>
      <c r="AO388" s="215"/>
      <c r="AP388" s="157"/>
      <c r="AQ388" s="151"/>
      <c r="AR388" s="151"/>
      <c r="AS388" s="151"/>
      <c r="AT388" s="151"/>
      <c r="AU388" s="151"/>
      <c r="AV388" s="151"/>
    </row>
    <row r="389" spans="1:48" ht="21" customHeight="1" thickBot="1" x14ac:dyDescent="0.45">
      <c r="A389" s="151"/>
      <c r="B389" s="299"/>
      <c r="C389" s="299"/>
      <c r="D389" s="151"/>
      <c r="E389" s="479"/>
      <c r="F389" s="47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302"/>
      <c r="AK389" s="302"/>
      <c r="AL389" s="302"/>
      <c r="AM389" s="593"/>
      <c r="AN389" s="593"/>
      <c r="AO389" s="215"/>
      <c r="AP389" s="157"/>
      <c r="AQ389" s="151"/>
      <c r="AR389" s="151"/>
      <c r="AS389" s="151"/>
      <c r="AT389" s="151"/>
      <c r="AU389" s="151"/>
      <c r="AV389" s="151"/>
    </row>
    <row r="390" spans="1:48" ht="21" customHeight="1" thickBot="1" x14ac:dyDescent="0.45">
      <c r="A390" s="151"/>
      <c r="B390" s="299"/>
      <c r="C390" s="299"/>
      <c r="D390" s="151"/>
      <c r="E390" s="479"/>
      <c r="F390" s="479"/>
      <c r="G390" s="299"/>
      <c r="H390" s="299"/>
      <c r="I390" s="299"/>
      <c r="J390" s="299"/>
      <c r="K390" s="299"/>
      <c r="L390" s="299"/>
      <c r="M390" s="299"/>
      <c r="N390" s="299"/>
      <c r="O390" s="299"/>
      <c r="P390" s="299"/>
      <c r="Q390" s="299"/>
      <c r="R390" s="299"/>
      <c r="S390" s="299"/>
      <c r="T390" s="299"/>
      <c r="U390" s="299"/>
      <c r="V390" s="299"/>
      <c r="W390" s="299"/>
      <c r="X390" s="299"/>
      <c r="Y390" s="299"/>
      <c r="Z390" s="299"/>
      <c r="AA390" s="299"/>
      <c r="AB390" s="299"/>
      <c r="AC390" s="299"/>
      <c r="AD390" s="299"/>
      <c r="AE390" s="299"/>
      <c r="AF390" s="299"/>
      <c r="AG390" s="299"/>
      <c r="AH390" s="299"/>
      <c r="AI390" s="299"/>
      <c r="AJ390" s="302"/>
      <c r="AK390" s="302"/>
      <c r="AL390" s="302"/>
      <c r="AM390" s="593"/>
      <c r="AN390" s="593"/>
      <c r="AO390" s="215"/>
      <c r="AP390" s="157"/>
      <c r="AQ390" s="151"/>
      <c r="AR390" s="151"/>
      <c r="AS390" s="151"/>
      <c r="AT390" s="151"/>
      <c r="AU390" s="151"/>
      <c r="AV390" s="151"/>
    </row>
    <row r="391" spans="1:48" ht="21" customHeight="1" thickBot="1" x14ac:dyDescent="0.45">
      <c r="A391" s="151"/>
      <c r="B391" s="299"/>
      <c r="C391" s="299"/>
      <c r="D391" s="151"/>
      <c r="E391" s="479"/>
      <c r="F391" s="47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299"/>
      <c r="AE391" s="299"/>
      <c r="AF391" s="299"/>
      <c r="AG391" s="299"/>
      <c r="AH391" s="299"/>
      <c r="AI391" s="299"/>
      <c r="AJ391" s="302"/>
      <c r="AK391" s="302"/>
      <c r="AL391" s="302"/>
      <c r="AM391" s="593"/>
      <c r="AN391" s="593"/>
      <c r="AO391" s="215"/>
      <c r="AP391" s="157"/>
      <c r="AQ391" s="151"/>
      <c r="AR391" s="151"/>
      <c r="AS391" s="151"/>
      <c r="AT391" s="151"/>
      <c r="AU391" s="151"/>
      <c r="AV391" s="151"/>
    </row>
    <row r="392" spans="1:48" ht="21" customHeight="1" thickBot="1" x14ac:dyDescent="0.45">
      <c r="A392" s="151"/>
      <c r="B392" s="299"/>
      <c r="C392" s="299"/>
      <c r="D392" s="151"/>
      <c r="E392" s="479"/>
      <c r="F392" s="47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c r="AF392" s="299"/>
      <c r="AG392" s="299"/>
      <c r="AH392" s="299"/>
      <c r="AI392" s="299"/>
      <c r="AJ392" s="302"/>
      <c r="AK392" s="302"/>
      <c r="AL392" s="302"/>
      <c r="AM392" s="593"/>
      <c r="AN392" s="593"/>
      <c r="AO392" s="215"/>
      <c r="AP392" s="157"/>
      <c r="AQ392" s="151"/>
      <c r="AR392" s="151"/>
      <c r="AS392" s="151"/>
      <c r="AT392" s="151"/>
      <c r="AU392" s="151"/>
      <c r="AV392" s="151"/>
    </row>
    <row r="393" spans="1:48" ht="21" customHeight="1" thickBot="1" x14ac:dyDescent="0.45">
      <c r="A393" s="151"/>
      <c r="B393" s="299"/>
      <c r="C393" s="299"/>
      <c r="D393" s="151"/>
      <c r="E393" s="479"/>
      <c r="F393" s="479"/>
      <c r="G393" s="299"/>
      <c r="H393" s="299"/>
      <c r="I393" s="299"/>
      <c r="J393" s="299"/>
      <c r="K393" s="299"/>
      <c r="L393" s="299"/>
      <c r="M393" s="299"/>
      <c r="N393" s="299"/>
      <c r="O393" s="299"/>
      <c r="P393" s="299"/>
      <c r="Q393" s="299"/>
      <c r="R393" s="299"/>
      <c r="S393" s="299"/>
      <c r="T393" s="299"/>
      <c r="U393" s="299"/>
      <c r="V393" s="299"/>
      <c r="W393" s="299"/>
      <c r="X393" s="299"/>
      <c r="Y393" s="299"/>
      <c r="Z393" s="299"/>
      <c r="AA393" s="299"/>
      <c r="AB393" s="299"/>
      <c r="AC393" s="299"/>
      <c r="AD393" s="299"/>
      <c r="AE393" s="299"/>
      <c r="AF393" s="299"/>
      <c r="AG393" s="299"/>
      <c r="AH393" s="299"/>
      <c r="AI393" s="299"/>
      <c r="AJ393" s="302"/>
      <c r="AK393" s="302"/>
      <c r="AL393" s="302"/>
      <c r="AM393" s="593"/>
      <c r="AN393" s="593"/>
      <c r="AO393" s="215"/>
      <c r="AP393" s="157"/>
      <c r="AQ393" s="151"/>
      <c r="AR393" s="151"/>
      <c r="AS393" s="151"/>
      <c r="AT393" s="151"/>
      <c r="AU393" s="151"/>
      <c r="AV393" s="151"/>
    </row>
    <row r="394" spans="1:48" ht="21" customHeight="1" thickBot="1" x14ac:dyDescent="0.45">
      <c r="A394" s="151"/>
      <c r="B394" s="299"/>
      <c r="C394" s="299"/>
      <c r="D394" s="151"/>
      <c r="E394" s="479"/>
      <c r="F394" s="479"/>
      <c r="G394" s="299"/>
      <c r="H394" s="299"/>
      <c r="I394" s="299"/>
      <c r="J394" s="299"/>
      <c r="K394" s="299"/>
      <c r="L394" s="299"/>
      <c r="M394" s="299"/>
      <c r="N394" s="299"/>
      <c r="O394" s="299"/>
      <c r="P394" s="299"/>
      <c r="Q394" s="299"/>
      <c r="R394" s="299"/>
      <c r="S394" s="299"/>
      <c r="T394" s="299"/>
      <c r="U394" s="299"/>
      <c r="V394" s="299"/>
      <c r="W394" s="299"/>
      <c r="X394" s="299"/>
      <c r="Y394" s="299"/>
      <c r="Z394" s="299"/>
      <c r="AA394" s="299"/>
      <c r="AB394" s="299"/>
      <c r="AC394" s="299"/>
      <c r="AD394" s="299"/>
      <c r="AE394" s="299"/>
      <c r="AF394" s="299"/>
      <c r="AG394" s="299"/>
      <c r="AH394" s="299"/>
      <c r="AI394" s="299"/>
      <c r="AJ394" s="302"/>
      <c r="AK394" s="302"/>
      <c r="AL394" s="302"/>
      <c r="AM394" s="593"/>
      <c r="AN394" s="593"/>
      <c r="AO394" s="215"/>
      <c r="AP394" s="157"/>
      <c r="AQ394" s="151"/>
      <c r="AR394" s="151"/>
      <c r="AS394" s="151"/>
      <c r="AT394" s="151"/>
      <c r="AU394" s="151"/>
      <c r="AV394" s="151"/>
    </row>
    <row r="395" spans="1:48" ht="21" customHeight="1" thickBot="1" x14ac:dyDescent="0.45">
      <c r="A395" s="151"/>
      <c r="B395" s="299"/>
      <c r="C395" s="299"/>
      <c r="D395" s="151"/>
      <c r="E395" s="479"/>
      <c r="F395" s="47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299"/>
      <c r="AE395" s="299"/>
      <c r="AF395" s="299"/>
      <c r="AG395" s="299"/>
      <c r="AH395" s="299"/>
      <c r="AI395" s="299"/>
      <c r="AJ395" s="302"/>
      <c r="AK395" s="302"/>
      <c r="AL395" s="302"/>
      <c r="AM395" s="593"/>
      <c r="AN395" s="593"/>
      <c r="AO395" s="215"/>
      <c r="AP395" s="157"/>
      <c r="AQ395" s="151"/>
      <c r="AR395" s="151"/>
      <c r="AS395" s="151"/>
      <c r="AT395" s="151"/>
      <c r="AU395" s="151"/>
      <c r="AV395" s="151"/>
    </row>
    <row r="396" spans="1:48" ht="21" customHeight="1" thickBot="1" x14ac:dyDescent="0.45">
      <c r="A396" s="151"/>
      <c r="B396" s="299"/>
      <c r="C396" s="299"/>
      <c r="D396" s="151"/>
      <c r="E396" s="479"/>
      <c r="F396" s="479"/>
      <c r="G396" s="299"/>
      <c r="H396" s="299"/>
      <c r="I396" s="299"/>
      <c r="J396" s="299"/>
      <c r="K396" s="299"/>
      <c r="L396" s="299"/>
      <c r="M396" s="299"/>
      <c r="N396" s="299"/>
      <c r="O396" s="299"/>
      <c r="P396" s="299"/>
      <c r="Q396" s="299"/>
      <c r="R396" s="299"/>
      <c r="S396" s="299"/>
      <c r="T396" s="299"/>
      <c r="U396" s="299"/>
      <c r="V396" s="299"/>
      <c r="W396" s="299"/>
      <c r="X396" s="299"/>
      <c r="Y396" s="299"/>
      <c r="Z396" s="299"/>
      <c r="AA396" s="299"/>
      <c r="AB396" s="299"/>
      <c r="AC396" s="299"/>
      <c r="AD396" s="299"/>
      <c r="AE396" s="299"/>
      <c r="AF396" s="299"/>
      <c r="AG396" s="299"/>
      <c r="AH396" s="299"/>
      <c r="AI396" s="299"/>
      <c r="AJ396" s="302"/>
      <c r="AK396" s="302"/>
      <c r="AL396" s="302"/>
      <c r="AM396" s="593"/>
      <c r="AN396" s="593"/>
      <c r="AO396" s="215"/>
      <c r="AP396" s="157"/>
      <c r="AQ396" s="151"/>
      <c r="AR396" s="151"/>
      <c r="AS396" s="151"/>
      <c r="AT396" s="151"/>
      <c r="AU396" s="151"/>
      <c r="AV396" s="151"/>
    </row>
    <row r="397" spans="1:48" ht="21" customHeight="1" thickBot="1" x14ac:dyDescent="0.45">
      <c r="A397" s="151"/>
      <c r="B397" s="299"/>
      <c r="C397" s="299"/>
      <c r="D397" s="151"/>
      <c r="E397" s="479"/>
      <c r="F397" s="47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299"/>
      <c r="AE397" s="299"/>
      <c r="AF397" s="299"/>
      <c r="AG397" s="299"/>
      <c r="AH397" s="299"/>
      <c r="AI397" s="299"/>
      <c r="AJ397" s="302"/>
      <c r="AK397" s="302"/>
      <c r="AL397" s="302"/>
      <c r="AM397" s="593"/>
      <c r="AN397" s="593"/>
      <c r="AO397" s="215"/>
      <c r="AP397" s="157"/>
      <c r="AQ397" s="151"/>
      <c r="AR397" s="151"/>
      <c r="AS397" s="151"/>
      <c r="AT397" s="151"/>
      <c r="AU397" s="151"/>
      <c r="AV397" s="151"/>
    </row>
    <row r="398" spans="1:48" ht="21" customHeight="1" thickBot="1" x14ac:dyDescent="0.45">
      <c r="A398" s="151"/>
      <c r="B398" s="299"/>
      <c r="C398" s="299"/>
      <c r="D398" s="151"/>
      <c r="E398" s="479"/>
      <c r="F398" s="47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302"/>
      <c r="AK398" s="302"/>
      <c r="AL398" s="302"/>
      <c r="AM398" s="593"/>
      <c r="AN398" s="593"/>
      <c r="AO398" s="215"/>
      <c r="AP398" s="157"/>
      <c r="AQ398" s="151"/>
      <c r="AR398" s="151"/>
      <c r="AS398" s="151"/>
      <c r="AT398" s="151"/>
      <c r="AU398" s="151"/>
      <c r="AV398" s="151"/>
    </row>
    <row r="399" spans="1:48" ht="21" customHeight="1" thickBot="1" x14ac:dyDescent="0.45">
      <c r="A399" s="151"/>
      <c r="B399" s="299"/>
      <c r="C399" s="299"/>
      <c r="D399" s="151"/>
      <c r="E399" s="479"/>
      <c r="F399" s="479"/>
      <c r="G399" s="299"/>
      <c r="H399" s="299"/>
      <c r="I399" s="299"/>
      <c r="J399" s="299"/>
      <c r="K399" s="299"/>
      <c r="L399" s="299"/>
      <c r="M399" s="299"/>
      <c r="N399" s="299"/>
      <c r="O399" s="299"/>
      <c r="P399" s="299"/>
      <c r="Q399" s="299"/>
      <c r="R399" s="299"/>
      <c r="S399" s="299"/>
      <c r="T399" s="299"/>
      <c r="U399" s="299"/>
      <c r="V399" s="299"/>
      <c r="W399" s="299"/>
      <c r="X399" s="299"/>
      <c r="Y399" s="299"/>
      <c r="Z399" s="299"/>
      <c r="AA399" s="299"/>
      <c r="AB399" s="299"/>
      <c r="AC399" s="299"/>
      <c r="AD399" s="299"/>
      <c r="AE399" s="299"/>
      <c r="AF399" s="299"/>
      <c r="AG399" s="299"/>
      <c r="AH399" s="299"/>
      <c r="AI399" s="299"/>
      <c r="AJ399" s="302"/>
      <c r="AK399" s="302"/>
      <c r="AL399" s="302"/>
      <c r="AM399" s="593"/>
      <c r="AN399" s="593"/>
      <c r="AO399" s="215"/>
      <c r="AP399" s="157"/>
      <c r="AQ399" s="151"/>
      <c r="AR399" s="151"/>
      <c r="AS399" s="151"/>
      <c r="AT399" s="151"/>
      <c r="AU399" s="151"/>
      <c r="AV399" s="151"/>
    </row>
    <row r="400" spans="1:48" ht="21" customHeight="1" thickBot="1" x14ac:dyDescent="0.45">
      <c r="A400" s="151"/>
      <c r="B400" s="299"/>
      <c r="C400" s="299"/>
      <c r="D400" s="151"/>
      <c r="E400" s="479"/>
      <c r="F400" s="479"/>
      <c r="G400" s="299"/>
      <c r="H400" s="299"/>
      <c r="I400" s="299"/>
      <c r="J400" s="299"/>
      <c r="K400" s="299"/>
      <c r="L400" s="299"/>
      <c r="M400" s="299"/>
      <c r="N400" s="299"/>
      <c r="O400" s="299"/>
      <c r="P400" s="299"/>
      <c r="Q400" s="299"/>
      <c r="R400" s="299"/>
      <c r="S400" s="299"/>
      <c r="T400" s="299"/>
      <c r="U400" s="299"/>
      <c r="V400" s="299"/>
      <c r="W400" s="299"/>
      <c r="X400" s="299"/>
      <c r="Y400" s="299"/>
      <c r="Z400" s="299"/>
      <c r="AA400" s="299"/>
      <c r="AB400" s="299"/>
      <c r="AC400" s="299"/>
      <c r="AD400" s="299"/>
      <c r="AE400" s="299"/>
      <c r="AF400" s="299"/>
      <c r="AG400" s="299"/>
      <c r="AH400" s="299"/>
      <c r="AI400" s="299"/>
      <c r="AJ400" s="302"/>
      <c r="AK400" s="302"/>
      <c r="AL400" s="302"/>
      <c r="AM400" s="593"/>
      <c r="AN400" s="593"/>
      <c r="AO400" s="215"/>
      <c r="AP400" s="157"/>
      <c r="AQ400" s="151"/>
      <c r="AR400" s="151"/>
      <c r="AS400" s="151"/>
      <c r="AT400" s="151"/>
      <c r="AU400" s="151"/>
      <c r="AV400" s="151"/>
    </row>
    <row r="401" spans="1:48" ht="21" customHeight="1" thickBot="1" x14ac:dyDescent="0.45">
      <c r="A401" s="151"/>
      <c r="B401" s="299"/>
      <c r="C401" s="299"/>
      <c r="D401" s="151"/>
      <c r="E401" s="479"/>
      <c r="F401" s="479"/>
      <c r="G401" s="299"/>
      <c r="H401" s="299"/>
      <c r="I401" s="299"/>
      <c r="J401" s="299"/>
      <c r="K401" s="299"/>
      <c r="L401" s="299"/>
      <c r="M401" s="299"/>
      <c r="N401" s="299"/>
      <c r="O401" s="299"/>
      <c r="P401" s="299"/>
      <c r="Q401" s="299"/>
      <c r="R401" s="299"/>
      <c r="S401" s="299"/>
      <c r="T401" s="299"/>
      <c r="U401" s="299"/>
      <c r="V401" s="299"/>
      <c r="W401" s="299"/>
      <c r="X401" s="299"/>
      <c r="Y401" s="299"/>
      <c r="Z401" s="299"/>
      <c r="AA401" s="299"/>
      <c r="AB401" s="299"/>
      <c r="AC401" s="299"/>
      <c r="AD401" s="299"/>
      <c r="AE401" s="299"/>
      <c r="AF401" s="299"/>
      <c r="AG401" s="299"/>
      <c r="AH401" s="299"/>
      <c r="AI401" s="299"/>
      <c r="AJ401" s="302"/>
      <c r="AK401" s="302"/>
      <c r="AL401" s="302"/>
      <c r="AM401" s="593"/>
      <c r="AN401" s="593"/>
      <c r="AO401" s="215"/>
      <c r="AP401" s="157"/>
      <c r="AQ401" s="151"/>
      <c r="AR401" s="151"/>
      <c r="AS401" s="151"/>
      <c r="AT401" s="151"/>
      <c r="AU401" s="151"/>
      <c r="AV401" s="151"/>
    </row>
    <row r="402" spans="1:48" ht="21" customHeight="1" thickBot="1" x14ac:dyDescent="0.45">
      <c r="A402" s="151"/>
      <c r="B402" s="299"/>
      <c r="C402" s="299"/>
      <c r="D402" s="151"/>
      <c r="E402" s="479"/>
      <c r="F402" s="47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302"/>
      <c r="AK402" s="302"/>
      <c r="AL402" s="302"/>
      <c r="AM402" s="593"/>
      <c r="AN402" s="593"/>
      <c r="AO402" s="215"/>
      <c r="AP402" s="157"/>
      <c r="AQ402" s="151"/>
      <c r="AR402" s="151"/>
      <c r="AS402" s="151"/>
      <c r="AT402" s="151"/>
      <c r="AU402" s="151"/>
      <c r="AV402" s="151"/>
    </row>
    <row r="403" spans="1:48" ht="21" customHeight="1" thickBot="1" x14ac:dyDescent="0.45">
      <c r="A403" s="151"/>
      <c r="B403" s="299"/>
      <c r="C403" s="299"/>
      <c r="D403" s="151"/>
      <c r="E403" s="479"/>
      <c r="F403" s="479"/>
      <c r="G403" s="299"/>
      <c r="H403" s="299"/>
      <c r="I403" s="299"/>
      <c r="J403" s="299"/>
      <c r="K403" s="299"/>
      <c r="L403" s="299"/>
      <c r="M403" s="299"/>
      <c r="N403" s="299"/>
      <c r="O403" s="299"/>
      <c r="P403" s="299"/>
      <c r="Q403" s="299"/>
      <c r="R403" s="299"/>
      <c r="S403" s="299"/>
      <c r="T403" s="299"/>
      <c r="U403" s="299"/>
      <c r="V403" s="299"/>
      <c r="W403" s="299"/>
      <c r="X403" s="299"/>
      <c r="Y403" s="299"/>
      <c r="Z403" s="299"/>
      <c r="AA403" s="299"/>
      <c r="AB403" s="299"/>
      <c r="AC403" s="299"/>
      <c r="AD403" s="299"/>
      <c r="AE403" s="299"/>
      <c r="AF403" s="299"/>
      <c r="AG403" s="299"/>
      <c r="AH403" s="299"/>
      <c r="AI403" s="299"/>
      <c r="AJ403" s="302"/>
      <c r="AK403" s="302"/>
      <c r="AL403" s="302"/>
      <c r="AM403" s="593"/>
      <c r="AN403" s="593"/>
      <c r="AO403" s="215"/>
      <c r="AP403" s="157"/>
      <c r="AQ403" s="151"/>
      <c r="AR403" s="151"/>
      <c r="AS403" s="151"/>
      <c r="AT403" s="151"/>
      <c r="AU403" s="151"/>
      <c r="AV403" s="151"/>
    </row>
    <row r="404" spans="1:48" ht="21" customHeight="1" thickBot="1" x14ac:dyDescent="0.45">
      <c r="A404" s="151"/>
      <c r="B404" s="299"/>
      <c r="C404" s="299"/>
      <c r="D404" s="151"/>
      <c r="E404" s="479"/>
      <c r="F404" s="47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299"/>
      <c r="AF404" s="299"/>
      <c r="AG404" s="299"/>
      <c r="AH404" s="299"/>
      <c r="AI404" s="299"/>
      <c r="AJ404" s="302"/>
      <c r="AK404" s="302"/>
      <c r="AL404" s="302"/>
      <c r="AM404" s="593"/>
      <c r="AN404" s="593"/>
      <c r="AO404" s="215"/>
      <c r="AP404" s="157"/>
      <c r="AQ404" s="151"/>
      <c r="AR404" s="151"/>
      <c r="AS404" s="151"/>
      <c r="AT404" s="151"/>
      <c r="AU404" s="151"/>
      <c r="AV404" s="151"/>
    </row>
    <row r="405" spans="1:48" ht="21" customHeight="1" thickBot="1" x14ac:dyDescent="0.45">
      <c r="A405" s="151"/>
      <c r="B405" s="299"/>
      <c r="C405" s="299"/>
      <c r="D405" s="151"/>
      <c r="E405" s="479"/>
      <c r="F405" s="479"/>
      <c r="G405" s="299"/>
      <c r="H405" s="299"/>
      <c r="I405" s="299"/>
      <c r="J405" s="299"/>
      <c r="K405" s="299"/>
      <c r="L405" s="299"/>
      <c r="M405" s="299"/>
      <c r="N405" s="299"/>
      <c r="O405" s="299"/>
      <c r="P405" s="299"/>
      <c r="Q405" s="299"/>
      <c r="R405" s="299"/>
      <c r="S405" s="299"/>
      <c r="T405" s="299"/>
      <c r="U405" s="299"/>
      <c r="V405" s="299"/>
      <c r="W405" s="299"/>
      <c r="X405" s="299"/>
      <c r="Y405" s="299"/>
      <c r="Z405" s="299"/>
      <c r="AA405" s="299"/>
      <c r="AB405" s="299"/>
      <c r="AC405" s="299"/>
      <c r="AD405" s="299"/>
      <c r="AE405" s="299"/>
      <c r="AF405" s="299"/>
      <c r="AG405" s="299"/>
      <c r="AH405" s="299"/>
      <c r="AI405" s="299"/>
      <c r="AJ405" s="302"/>
      <c r="AK405" s="302"/>
      <c r="AL405" s="302"/>
      <c r="AM405" s="593"/>
      <c r="AN405" s="593"/>
      <c r="AO405" s="215"/>
      <c r="AP405" s="157"/>
      <c r="AQ405" s="151"/>
      <c r="AR405" s="151"/>
      <c r="AS405" s="151"/>
      <c r="AT405" s="151"/>
      <c r="AU405" s="151"/>
      <c r="AV405" s="151"/>
    </row>
    <row r="406" spans="1:48" ht="21" customHeight="1" thickBot="1" x14ac:dyDescent="0.45">
      <c r="A406" s="151"/>
      <c r="B406" s="299"/>
      <c r="C406" s="299"/>
      <c r="D406" s="151"/>
      <c r="E406" s="479"/>
      <c r="F406" s="479"/>
      <c r="G406" s="299"/>
      <c r="H406" s="299"/>
      <c r="I406" s="299"/>
      <c r="J406" s="299"/>
      <c r="K406" s="299"/>
      <c r="L406" s="299"/>
      <c r="M406" s="299"/>
      <c r="N406" s="299"/>
      <c r="O406" s="299"/>
      <c r="P406" s="299"/>
      <c r="Q406" s="299"/>
      <c r="R406" s="299"/>
      <c r="S406" s="299"/>
      <c r="T406" s="299"/>
      <c r="U406" s="299"/>
      <c r="V406" s="299"/>
      <c r="W406" s="299"/>
      <c r="X406" s="299"/>
      <c r="Y406" s="299"/>
      <c r="Z406" s="299"/>
      <c r="AA406" s="299"/>
      <c r="AB406" s="299"/>
      <c r="AC406" s="299"/>
      <c r="AD406" s="299"/>
      <c r="AE406" s="299"/>
      <c r="AF406" s="299"/>
      <c r="AG406" s="299"/>
      <c r="AH406" s="299"/>
      <c r="AI406" s="299"/>
      <c r="AJ406" s="302"/>
      <c r="AK406" s="302"/>
      <c r="AL406" s="302"/>
      <c r="AM406" s="593"/>
      <c r="AN406" s="593"/>
      <c r="AO406" s="215"/>
      <c r="AP406" s="157"/>
      <c r="AQ406" s="151"/>
      <c r="AR406" s="151"/>
      <c r="AS406" s="151"/>
      <c r="AT406" s="151"/>
      <c r="AU406" s="151"/>
      <c r="AV406" s="151"/>
    </row>
    <row r="407" spans="1:48" ht="21" customHeight="1" thickBot="1" x14ac:dyDescent="0.45">
      <c r="A407" s="151"/>
      <c r="B407" s="299"/>
      <c r="C407" s="299"/>
      <c r="D407" s="151"/>
      <c r="E407" s="479"/>
      <c r="F407" s="47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299"/>
      <c r="AE407" s="299"/>
      <c r="AF407" s="299"/>
      <c r="AG407" s="299"/>
      <c r="AH407" s="299"/>
      <c r="AI407" s="299"/>
      <c r="AJ407" s="302"/>
      <c r="AK407" s="302"/>
      <c r="AL407" s="302"/>
      <c r="AM407" s="593"/>
      <c r="AN407" s="593"/>
      <c r="AO407" s="215"/>
      <c r="AP407" s="157"/>
      <c r="AQ407" s="151"/>
      <c r="AR407" s="151"/>
      <c r="AS407" s="151"/>
      <c r="AT407" s="151"/>
      <c r="AU407" s="151"/>
      <c r="AV407" s="151"/>
    </row>
    <row r="408" spans="1:48" ht="21" customHeight="1" thickBot="1" x14ac:dyDescent="0.45">
      <c r="A408" s="151"/>
      <c r="B408" s="299"/>
      <c r="C408" s="299"/>
      <c r="D408" s="151"/>
      <c r="E408" s="479"/>
      <c r="F408" s="479"/>
      <c r="G408" s="299"/>
      <c r="H408" s="299"/>
      <c r="I408" s="299"/>
      <c r="J408" s="299"/>
      <c r="K408" s="299"/>
      <c r="L408" s="299"/>
      <c r="M408" s="299"/>
      <c r="N408" s="299"/>
      <c r="O408" s="299"/>
      <c r="P408" s="299"/>
      <c r="Q408" s="299"/>
      <c r="R408" s="299"/>
      <c r="S408" s="299"/>
      <c r="T408" s="299"/>
      <c r="U408" s="299"/>
      <c r="V408" s="299"/>
      <c r="W408" s="299"/>
      <c r="X408" s="299"/>
      <c r="Y408" s="299"/>
      <c r="Z408" s="299"/>
      <c r="AA408" s="299"/>
      <c r="AB408" s="299"/>
      <c r="AC408" s="299"/>
      <c r="AD408" s="299"/>
      <c r="AE408" s="299"/>
      <c r="AF408" s="299"/>
      <c r="AG408" s="299"/>
      <c r="AH408" s="299"/>
      <c r="AI408" s="299"/>
      <c r="AJ408" s="302"/>
      <c r="AK408" s="302"/>
      <c r="AL408" s="302"/>
      <c r="AM408" s="593"/>
      <c r="AN408" s="593"/>
      <c r="AO408" s="215"/>
      <c r="AP408" s="157"/>
      <c r="AQ408" s="151"/>
      <c r="AR408" s="151"/>
      <c r="AS408" s="151"/>
      <c r="AT408" s="151"/>
      <c r="AU408" s="151"/>
      <c r="AV408" s="151"/>
    </row>
    <row r="409" spans="1:48" ht="21" customHeight="1" thickBot="1" x14ac:dyDescent="0.45">
      <c r="A409" s="151"/>
      <c r="B409" s="299"/>
      <c r="C409" s="299"/>
      <c r="D409" s="151"/>
      <c r="E409" s="479"/>
      <c r="F409" s="479"/>
      <c r="G409" s="299"/>
      <c r="H409" s="299"/>
      <c r="I409" s="299"/>
      <c r="J409" s="299"/>
      <c r="K409" s="299"/>
      <c r="L409" s="299"/>
      <c r="M409" s="299"/>
      <c r="N409" s="299"/>
      <c r="O409" s="299"/>
      <c r="P409" s="299"/>
      <c r="Q409" s="299"/>
      <c r="R409" s="299"/>
      <c r="S409" s="299"/>
      <c r="T409" s="299"/>
      <c r="U409" s="299"/>
      <c r="V409" s="299"/>
      <c r="W409" s="299"/>
      <c r="X409" s="299"/>
      <c r="Y409" s="299"/>
      <c r="Z409" s="299"/>
      <c r="AA409" s="299"/>
      <c r="AB409" s="299"/>
      <c r="AC409" s="299"/>
      <c r="AD409" s="299"/>
      <c r="AE409" s="299"/>
      <c r="AF409" s="299"/>
      <c r="AG409" s="299"/>
      <c r="AH409" s="299"/>
      <c r="AI409" s="299"/>
      <c r="AJ409" s="302"/>
      <c r="AK409" s="302"/>
      <c r="AL409" s="302"/>
      <c r="AM409" s="593"/>
      <c r="AN409" s="593"/>
      <c r="AO409" s="215"/>
      <c r="AP409" s="157"/>
      <c r="AQ409" s="151"/>
      <c r="AR409" s="151"/>
      <c r="AS409" s="151"/>
      <c r="AT409" s="151"/>
      <c r="AU409" s="151"/>
      <c r="AV409" s="151"/>
    </row>
    <row r="410" spans="1:48" ht="21" customHeight="1" thickBot="1" x14ac:dyDescent="0.45">
      <c r="A410" s="151"/>
      <c r="B410" s="299"/>
      <c r="C410" s="299"/>
      <c r="D410" s="151"/>
      <c r="E410" s="479"/>
      <c r="F410" s="47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302"/>
      <c r="AK410" s="302"/>
      <c r="AL410" s="302"/>
      <c r="AM410" s="593"/>
      <c r="AN410" s="593"/>
      <c r="AO410" s="215"/>
      <c r="AP410" s="157"/>
      <c r="AQ410" s="151"/>
      <c r="AR410" s="151"/>
      <c r="AS410" s="151"/>
      <c r="AT410" s="151"/>
      <c r="AU410" s="151"/>
      <c r="AV410" s="151"/>
    </row>
    <row r="411" spans="1:48" ht="21" customHeight="1" thickBot="1" x14ac:dyDescent="0.45">
      <c r="A411" s="151"/>
      <c r="B411" s="299"/>
      <c r="C411" s="299"/>
      <c r="D411" s="151"/>
      <c r="E411" s="479"/>
      <c r="F411" s="479"/>
      <c r="G411" s="299"/>
      <c r="H411" s="299"/>
      <c r="I411" s="299"/>
      <c r="J411" s="299"/>
      <c r="K411" s="299"/>
      <c r="L411" s="299"/>
      <c r="M411" s="299"/>
      <c r="N411" s="299"/>
      <c r="O411" s="299"/>
      <c r="P411" s="299"/>
      <c r="Q411" s="299"/>
      <c r="R411" s="299"/>
      <c r="S411" s="299"/>
      <c r="T411" s="299"/>
      <c r="U411" s="299"/>
      <c r="V411" s="299"/>
      <c r="W411" s="299"/>
      <c r="X411" s="299"/>
      <c r="Y411" s="299"/>
      <c r="Z411" s="299"/>
      <c r="AA411" s="299"/>
      <c r="AB411" s="299"/>
      <c r="AC411" s="299"/>
      <c r="AD411" s="299"/>
      <c r="AE411" s="299"/>
      <c r="AF411" s="299"/>
      <c r="AG411" s="299"/>
      <c r="AH411" s="299"/>
      <c r="AI411" s="299"/>
      <c r="AJ411" s="302"/>
      <c r="AK411" s="302"/>
      <c r="AL411" s="302"/>
      <c r="AM411" s="593"/>
      <c r="AN411" s="593"/>
      <c r="AO411" s="215"/>
      <c r="AP411" s="157"/>
      <c r="AQ411" s="151"/>
      <c r="AR411" s="151"/>
      <c r="AS411" s="151"/>
      <c r="AT411" s="151"/>
      <c r="AU411" s="151"/>
      <c r="AV411" s="151"/>
    </row>
    <row r="412" spans="1:48" ht="21" customHeight="1" x14ac:dyDescent="0.4">
      <c r="E412" s="480"/>
      <c r="F412" s="480"/>
    </row>
    <row r="413" spans="1:48" ht="21" customHeight="1" x14ac:dyDescent="0.4">
      <c r="E413" s="480"/>
      <c r="F413" s="480"/>
    </row>
    <row r="414" spans="1:48" ht="21" customHeight="1" x14ac:dyDescent="0.4">
      <c r="E414" s="480"/>
      <c r="F414" s="480"/>
    </row>
    <row r="415" spans="1:48" ht="21" customHeight="1" x14ac:dyDescent="0.4">
      <c r="E415" s="480"/>
      <c r="F415" s="480"/>
    </row>
    <row r="416" spans="1:48" ht="21" customHeight="1" x14ac:dyDescent="0.4">
      <c r="E416" s="480"/>
      <c r="F416" s="480"/>
    </row>
    <row r="417" spans="5:6" ht="21" customHeight="1" x14ac:dyDescent="0.4">
      <c r="E417" s="480"/>
      <c r="F417" s="480"/>
    </row>
    <row r="418" spans="5:6" ht="21" customHeight="1" x14ac:dyDescent="0.4">
      <c r="E418" s="480"/>
      <c r="F418" s="480"/>
    </row>
    <row r="419" spans="5:6" ht="21" customHeight="1" x14ac:dyDescent="0.4">
      <c r="E419" s="480"/>
      <c r="F419" s="480"/>
    </row>
    <row r="420" spans="5:6" ht="21" customHeight="1" x14ac:dyDescent="0.4">
      <c r="E420" s="480"/>
      <c r="F420" s="480"/>
    </row>
    <row r="421" spans="5:6" ht="21" customHeight="1" x14ac:dyDescent="0.4">
      <c r="E421" s="480"/>
      <c r="F421" s="480"/>
    </row>
    <row r="422" spans="5:6" ht="21" customHeight="1" x14ac:dyDescent="0.4">
      <c r="E422" s="480"/>
      <c r="F422" s="480"/>
    </row>
    <row r="423" spans="5:6" ht="21" customHeight="1" x14ac:dyDescent="0.4">
      <c r="E423" s="480"/>
      <c r="F423" s="480"/>
    </row>
    <row r="424" spans="5:6" ht="21" customHeight="1" x14ac:dyDescent="0.4">
      <c r="E424" s="480"/>
      <c r="F424" s="480"/>
    </row>
    <row r="425" spans="5:6" ht="21" customHeight="1" x14ac:dyDescent="0.4">
      <c r="E425" s="480"/>
      <c r="F425" s="480"/>
    </row>
    <row r="426" spans="5:6" ht="21" customHeight="1" x14ac:dyDescent="0.4">
      <c r="E426" s="480"/>
      <c r="F426" s="480"/>
    </row>
    <row r="427" spans="5:6" ht="21" customHeight="1" x14ac:dyDescent="0.4">
      <c r="E427" s="480"/>
      <c r="F427" s="480"/>
    </row>
    <row r="428" spans="5:6" ht="21" customHeight="1" x14ac:dyDescent="0.4">
      <c r="E428" s="480"/>
      <c r="F428" s="480"/>
    </row>
    <row r="429" spans="5:6" ht="21" customHeight="1" x14ac:dyDescent="0.4">
      <c r="E429" s="480"/>
      <c r="F429" s="480"/>
    </row>
    <row r="430" spans="5:6" ht="21" customHeight="1" x14ac:dyDescent="0.4">
      <c r="E430" s="480"/>
      <c r="F430" s="480"/>
    </row>
    <row r="431" spans="5:6" ht="21" customHeight="1" x14ac:dyDescent="0.4">
      <c r="E431" s="480"/>
      <c r="F431" s="480"/>
    </row>
    <row r="432" spans="5:6" ht="21" customHeight="1" x14ac:dyDescent="0.4">
      <c r="E432" s="480"/>
      <c r="F432" s="480"/>
    </row>
    <row r="433" spans="5:6" ht="21" customHeight="1" x14ac:dyDescent="0.4">
      <c r="E433" s="480"/>
      <c r="F433" s="480"/>
    </row>
    <row r="434" spans="5:6" ht="21" customHeight="1" x14ac:dyDescent="0.4">
      <c r="E434" s="480"/>
      <c r="F434" s="480"/>
    </row>
    <row r="435" spans="5:6" ht="21" customHeight="1" x14ac:dyDescent="0.4">
      <c r="E435" s="480"/>
      <c r="F435" s="480"/>
    </row>
    <row r="436" spans="5:6" ht="21" customHeight="1" x14ac:dyDescent="0.4">
      <c r="E436" s="480"/>
      <c r="F436" s="480"/>
    </row>
    <row r="437" spans="5:6" ht="21" customHeight="1" x14ac:dyDescent="0.4">
      <c r="E437" s="480"/>
      <c r="F437" s="480"/>
    </row>
    <row r="438" spans="5:6" ht="21" customHeight="1" x14ac:dyDescent="0.4">
      <c r="E438" s="480"/>
      <c r="F438" s="480"/>
    </row>
    <row r="439" spans="5:6" ht="21" customHeight="1" x14ac:dyDescent="0.4">
      <c r="E439" s="480"/>
      <c r="F439" s="480"/>
    </row>
    <row r="440" spans="5:6" ht="21" customHeight="1" x14ac:dyDescent="0.4">
      <c r="E440" s="480"/>
      <c r="F440" s="480"/>
    </row>
    <row r="441" spans="5:6" ht="21" customHeight="1" x14ac:dyDescent="0.4">
      <c r="E441" s="480"/>
      <c r="F441" s="480"/>
    </row>
    <row r="442" spans="5:6" ht="21" customHeight="1" x14ac:dyDescent="0.4">
      <c r="E442" s="480"/>
      <c r="F442" s="480"/>
    </row>
    <row r="443" spans="5:6" ht="21" customHeight="1" x14ac:dyDescent="0.4">
      <c r="E443" s="480"/>
      <c r="F443" s="480"/>
    </row>
    <row r="444" spans="5:6" ht="21" customHeight="1" x14ac:dyDescent="0.4">
      <c r="E444" s="480"/>
      <c r="F444" s="480"/>
    </row>
    <row r="445" spans="5:6" ht="21" customHeight="1" x14ac:dyDescent="0.4">
      <c r="E445" s="480"/>
      <c r="F445" s="480"/>
    </row>
    <row r="446" spans="5:6" ht="21" customHeight="1" x14ac:dyDescent="0.4">
      <c r="E446" s="480"/>
      <c r="F446" s="480"/>
    </row>
    <row r="447" spans="5:6" ht="21" customHeight="1" x14ac:dyDescent="0.4">
      <c r="E447" s="480"/>
      <c r="F447" s="480"/>
    </row>
    <row r="448" spans="5:6" ht="21" customHeight="1" x14ac:dyDescent="0.4">
      <c r="E448" s="480"/>
      <c r="F448" s="480"/>
    </row>
    <row r="449" spans="5:6" ht="21" customHeight="1" x14ac:dyDescent="0.4">
      <c r="E449" s="480"/>
      <c r="F449" s="480"/>
    </row>
    <row r="450" spans="5:6" ht="21" customHeight="1" x14ac:dyDescent="0.4">
      <c r="E450" s="480"/>
      <c r="F450" s="480"/>
    </row>
    <row r="451" spans="5:6" ht="21" customHeight="1" x14ac:dyDescent="0.4">
      <c r="E451" s="480"/>
      <c r="F451" s="480"/>
    </row>
    <row r="452" spans="5:6" ht="21" customHeight="1" x14ac:dyDescent="0.4">
      <c r="E452" s="480"/>
      <c r="F452" s="480"/>
    </row>
    <row r="453" spans="5:6" ht="21" customHeight="1" x14ac:dyDescent="0.4">
      <c r="E453" s="480"/>
      <c r="F453" s="480"/>
    </row>
    <row r="454" spans="5:6" ht="21" customHeight="1" x14ac:dyDescent="0.4">
      <c r="E454" s="480"/>
      <c r="F454" s="480"/>
    </row>
    <row r="455" spans="5:6" ht="21" customHeight="1" x14ac:dyDescent="0.4">
      <c r="E455" s="480"/>
      <c r="F455" s="480"/>
    </row>
    <row r="456" spans="5:6" ht="21" customHeight="1" x14ac:dyDescent="0.4">
      <c r="E456" s="480"/>
      <c r="F456" s="480"/>
    </row>
    <row r="457" spans="5:6" ht="21" customHeight="1" x14ac:dyDescent="0.4">
      <c r="E457" s="480"/>
      <c r="F457" s="480"/>
    </row>
    <row r="458" spans="5:6" ht="21" customHeight="1" x14ac:dyDescent="0.4">
      <c r="E458" s="480"/>
      <c r="F458" s="480"/>
    </row>
    <row r="459" spans="5:6" ht="21" customHeight="1" x14ac:dyDescent="0.4">
      <c r="E459" s="480"/>
      <c r="F459" s="480"/>
    </row>
    <row r="460" spans="5:6" ht="21" customHeight="1" x14ac:dyDescent="0.4">
      <c r="E460" s="480"/>
      <c r="F460" s="480"/>
    </row>
    <row r="461" spans="5:6" ht="21" customHeight="1" x14ac:dyDescent="0.4">
      <c r="E461" s="480"/>
      <c r="F461" s="480"/>
    </row>
    <row r="462" spans="5:6" ht="21" customHeight="1" x14ac:dyDescent="0.4">
      <c r="E462" s="480"/>
      <c r="F462" s="480"/>
    </row>
    <row r="463" spans="5:6" ht="21" customHeight="1" x14ac:dyDescent="0.4">
      <c r="E463" s="480"/>
      <c r="F463" s="480"/>
    </row>
    <row r="464" spans="5:6" ht="21" customHeight="1" x14ac:dyDescent="0.4">
      <c r="E464" s="480"/>
      <c r="F464" s="480"/>
    </row>
    <row r="465" spans="5:6" ht="21" customHeight="1" x14ac:dyDescent="0.4">
      <c r="E465" s="480"/>
      <c r="F465" s="480"/>
    </row>
    <row r="466" spans="5:6" ht="21" customHeight="1" x14ac:dyDescent="0.4">
      <c r="E466" s="480"/>
      <c r="F466" s="480"/>
    </row>
    <row r="467" spans="5:6" ht="21" customHeight="1" x14ac:dyDescent="0.4">
      <c r="E467" s="480"/>
      <c r="F467" s="480"/>
    </row>
    <row r="468" spans="5:6" ht="21" customHeight="1" x14ac:dyDescent="0.4">
      <c r="E468" s="480"/>
      <c r="F468" s="480"/>
    </row>
    <row r="469" spans="5:6" ht="21" customHeight="1" x14ac:dyDescent="0.4">
      <c r="E469" s="480"/>
      <c r="F469" s="480"/>
    </row>
    <row r="470" spans="5:6" ht="21" customHeight="1" x14ac:dyDescent="0.4">
      <c r="E470" s="480"/>
      <c r="F470" s="480"/>
    </row>
    <row r="471" spans="5:6" ht="21" customHeight="1" x14ac:dyDescent="0.4">
      <c r="E471" s="480"/>
      <c r="F471" s="480"/>
    </row>
    <row r="472" spans="5:6" ht="21" customHeight="1" x14ac:dyDescent="0.4">
      <c r="E472" s="480"/>
      <c r="F472" s="480"/>
    </row>
    <row r="473" spans="5:6" ht="21" customHeight="1" x14ac:dyDescent="0.4">
      <c r="E473" s="480"/>
      <c r="F473" s="480"/>
    </row>
    <row r="474" spans="5:6" ht="21" customHeight="1" x14ac:dyDescent="0.4">
      <c r="E474" s="480"/>
      <c r="F474" s="480"/>
    </row>
    <row r="475" spans="5:6" ht="21" customHeight="1" x14ac:dyDescent="0.4">
      <c r="E475" s="480"/>
      <c r="F475" s="480"/>
    </row>
    <row r="476" spans="5:6" ht="21" customHeight="1" x14ac:dyDescent="0.4">
      <c r="E476" s="480"/>
      <c r="F476" s="480"/>
    </row>
    <row r="477" spans="5:6" ht="21" customHeight="1" x14ac:dyDescent="0.4">
      <c r="E477" s="480"/>
      <c r="F477" s="480"/>
    </row>
    <row r="478" spans="5:6" ht="21" customHeight="1" x14ac:dyDescent="0.4">
      <c r="E478" s="480"/>
      <c r="F478" s="480"/>
    </row>
    <row r="479" spans="5:6" ht="21" customHeight="1" x14ac:dyDescent="0.4">
      <c r="E479" s="480"/>
      <c r="F479" s="480"/>
    </row>
    <row r="480" spans="5:6" ht="21" customHeight="1" x14ac:dyDescent="0.4">
      <c r="E480" s="480"/>
      <c r="F480" s="480"/>
    </row>
    <row r="481" spans="5:6" ht="21" customHeight="1" x14ac:dyDescent="0.4">
      <c r="E481" s="480"/>
      <c r="F481" s="480"/>
    </row>
    <row r="482" spans="5:6" ht="21" customHeight="1" x14ac:dyDescent="0.4">
      <c r="E482" s="480"/>
      <c r="F482" s="480"/>
    </row>
    <row r="483" spans="5:6" ht="21" customHeight="1" x14ac:dyDescent="0.4">
      <c r="E483" s="480"/>
      <c r="F483" s="480"/>
    </row>
    <row r="484" spans="5:6" ht="21" customHeight="1" x14ac:dyDescent="0.4">
      <c r="E484" s="480"/>
      <c r="F484" s="480"/>
    </row>
    <row r="485" spans="5:6" ht="21" customHeight="1" x14ac:dyDescent="0.4">
      <c r="E485" s="480"/>
      <c r="F485" s="480"/>
    </row>
    <row r="486" spans="5:6" ht="21" customHeight="1" x14ac:dyDescent="0.4">
      <c r="E486" s="480"/>
      <c r="F486" s="480"/>
    </row>
    <row r="487" spans="5:6" ht="21" customHeight="1" x14ac:dyDescent="0.4">
      <c r="E487" s="480"/>
      <c r="F487" s="480"/>
    </row>
    <row r="488" spans="5:6" ht="21" customHeight="1" x14ac:dyDescent="0.4">
      <c r="E488" s="480"/>
      <c r="F488" s="480"/>
    </row>
    <row r="489" spans="5:6" ht="21" customHeight="1" x14ac:dyDescent="0.4">
      <c r="E489" s="480"/>
      <c r="F489" s="480"/>
    </row>
    <row r="490" spans="5:6" ht="21" customHeight="1" x14ac:dyDescent="0.4">
      <c r="E490" s="480"/>
      <c r="F490" s="480"/>
    </row>
    <row r="491" spans="5:6" ht="21" customHeight="1" x14ac:dyDescent="0.4">
      <c r="E491" s="480"/>
      <c r="F491" s="480"/>
    </row>
    <row r="492" spans="5:6" ht="21" customHeight="1" x14ac:dyDescent="0.4">
      <c r="E492" s="480"/>
      <c r="F492" s="480"/>
    </row>
    <row r="493" spans="5:6" ht="21" customHeight="1" x14ac:dyDescent="0.4">
      <c r="E493" s="480"/>
      <c r="F493" s="480"/>
    </row>
    <row r="494" spans="5:6" ht="21" customHeight="1" x14ac:dyDescent="0.4">
      <c r="E494" s="480"/>
      <c r="F494" s="480"/>
    </row>
    <row r="495" spans="5:6" ht="21" customHeight="1" x14ac:dyDescent="0.4">
      <c r="E495" s="480"/>
      <c r="F495" s="480"/>
    </row>
    <row r="496" spans="5:6" ht="21" customHeight="1" x14ac:dyDescent="0.4">
      <c r="E496" s="480"/>
      <c r="F496" s="480"/>
    </row>
    <row r="497" spans="5:6" ht="21" customHeight="1" x14ac:dyDescent="0.4">
      <c r="E497" s="480"/>
      <c r="F497" s="480"/>
    </row>
    <row r="498" spans="5:6" ht="21" customHeight="1" x14ac:dyDescent="0.4">
      <c r="E498" s="480"/>
      <c r="F498" s="480"/>
    </row>
    <row r="499" spans="5:6" ht="21" customHeight="1" x14ac:dyDescent="0.4">
      <c r="E499" s="480"/>
      <c r="F499" s="480"/>
    </row>
    <row r="500" spans="5:6" ht="21" customHeight="1" x14ac:dyDescent="0.4">
      <c r="E500" s="480"/>
      <c r="F500" s="480"/>
    </row>
    <row r="501" spans="5:6" ht="21" customHeight="1" x14ac:dyDescent="0.4">
      <c r="E501" s="480"/>
      <c r="F501" s="480"/>
    </row>
    <row r="502" spans="5:6" ht="21" customHeight="1" x14ac:dyDescent="0.4">
      <c r="E502" s="480"/>
      <c r="F502" s="480"/>
    </row>
    <row r="503" spans="5:6" ht="21" customHeight="1" x14ac:dyDescent="0.4">
      <c r="E503" s="480"/>
      <c r="F503" s="480"/>
    </row>
    <row r="504" spans="5:6" ht="21" customHeight="1" x14ac:dyDescent="0.4">
      <c r="E504" s="480"/>
      <c r="F504" s="480"/>
    </row>
    <row r="505" spans="5:6" ht="21" customHeight="1" x14ac:dyDescent="0.4">
      <c r="E505" s="480"/>
      <c r="F505" s="480"/>
    </row>
    <row r="506" spans="5:6" ht="21" customHeight="1" x14ac:dyDescent="0.4">
      <c r="E506" s="480"/>
      <c r="F506" s="480"/>
    </row>
    <row r="507" spans="5:6" ht="21" customHeight="1" x14ac:dyDescent="0.4">
      <c r="E507" s="480"/>
      <c r="F507" s="480"/>
    </row>
    <row r="508" spans="5:6" ht="21" customHeight="1" x14ac:dyDescent="0.4">
      <c r="E508" s="480"/>
      <c r="F508" s="480"/>
    </row>
    <row r="509" spans="5:6" ht="21" customHeight="1" x14ac:dyDescent="0.4">
      <c r="E509" s="480"/>
      <c r="F509" s="480"/>
    </row>
    <row r="510" spans="5:6" ht="21" customHeight="1" x14ac:dyDescent="0.4">
      <c r="E510" s="480"/>
      <c r="F510" s="480"/>
    </row>
    <row r="511" spans="5:6" ht="21" customHeight="1" x14ac:dyDescent="0.4">
      <c r="E511" s="480"/>
      <c r="F511" s="480"/>
    </row>
    <row r="512" spans="5:6" ht="21" customHeight="1" x14ac:dyDescent="0.4">
      <c r="E512" s="480"/>
      <c r="F512" s="480"/>
    </row>
    <row r="513" spans="5:6" ht="21" customHeight="1" x14ac:dyDescent="0.4">
      <c r="E513" s="480"/>
      <c r="F513" s="480"/>
    </row>
    <row r="514" spans="5:6" ht="21" customHeight="1" x14ac:dyDescent="0.4">
      <c r="E514" s="480"/>
      <c r="F514" s="480"/>
    </row>
    <row r="515" spans="5:6" ht="21" customHeight="1" x14ac:dyDescent="0.4">
      <c r="E515" s="480"/>
      <c r="F515" s="480"/>
    </row>
    <row r="516" spans="5:6" ht="21" customHeight="1" x14ac:dyDescent="0.4">
      <c r="E516" s="480"/>
      <c r="F516" s="480"/>
    </row>
    <row r="517" spans="5:6" ht="21" customHeight="1" x14ac:dyDescent="0.4">
      <c r="E517" s="480"/>
      <c r="F517" s="480"/>
    </row>
    <row r="518" spans="5:6" ht="21" customHeight="1" x14ac:dyDescent="0.4">
      <c r="E518" s="480"/>
      <c r="F518" s="480"/>
    </row>
    <row r="519" spans="5:6" ht="21" customHeight="1" x14ac:dyDescent="0.4">
      <c r="E519" s="480"/>
      <c r="F519" s="480"/>
    </row>
    <row r="520" spans="5:6" ht="21" customHeight="1" x14ac:dyDescent="0.4">
      <c r="E520" s="480"/>
      <c r="F520" s="480"/>
    </row>
    <row r="521" spans="5:6" ht="21" customHeight="1" x14ac:dyDescent="0.4">
      <c r="E521" s="480"/>
      <c r="F521" s="480"/>
    </row>
    <row r="522" spans="5:6" ht="21" customHeight="1" x14ac:dyDescent="0.4">
      <c r="E522" s="480"/>
      <c r="F522" s="480"/>
    </row>
    <row r="523" spans="5:6" ht="21" customHeight="1" x14ac:dyDescent="0.4">
      <c r="E523" s="480"/>
      <c r="F523" s="480"/>
    </row>
    <row r="524" spans="5:6" ht="21" customHeight="1" x14ac:dyDescent="0.4">
      <c r="E524" s="480"/>
      <c r="F524" s="480"/>
    </row>
    <row r="525" spans="5:6" ht="21" customHeight="1" x14ac:dyDescent="0.4">
      <c r="E525" s="480"/>
      <c r="F525" s="480"/>
    </row>
    <row r="526" spans="5:6" ht="21" customHeight="1" x14ac:dyDescent="0.4">
      <c r="E526" s="480"/>
      <c r="F526" s="480"/>
    </row>
    <row r="527" spans="5:6" ht="21" customHeight="1" x14ac:dyDescent="0.4">
      <c r="E527" s="480"/>
      <c r="F527" s="480"/>
    </row>
    <row r="528" spans="5:6" ht="21" customHeight="1" x14ac:dyDescent="0.4">
      <c r="E528" s="480"/>
      <c r="F528" s="480"/>
    </row>
    <row r="529" spans="5:6" ht="21" customHeight="1" x14ac:dyDescent="0.4">
      <c r="E529" s="480"/>
      <c r="F529" s="480"/>
    </row>
    <row r="530" spans="5:6" ht="21" customHeight="1" x14ac:dyDescent="0.4">
      <c r="E530" s="480"/>
      <c r="F530" s="480"/>
    </row>
    <row r="531" spans="5:6" ht="21" customHeight="1" x14ac:dyDescent="0.4">
      <c r="E531" s="480"/>
      <c r="F531" s="480"/>
    </row>
    <row r="532" spans="5:6" ht="21" customHeight="1" x14ac:dyDescent="0.4">
      <c r="E532" s="480"/>
      <c r="F532" s="480"/>
    </row>
    <row r="533" spans="5:6" ht="21" customHeight="1" x14ac:dyDescent="0.4">
      <c r="E533" s="480"/>
      <c r="F533" s="480"/>
    </row>
    <row r="534" spans="5:6" ht="21" customHeight="1" x14ac:dyDescent="0.4">
      <c r="E534" s="480"/>
      <c r="F534" s="480"/>
    </row>
    <row r="535" spans="5:6" ht="21" customHeight="1" x14ac:dyDescent="0.4">
      <c r="E535" s="480"/>
      <c r="F535" s="480"/>
    </row>
    <row r="536" spans="5:6" ht="21" customHeight="1" x14ac:dyDescent="0.4">
      <c r="E536" s="480"/>
      <c r="F536" s="480"/>
    </row>
    <row r="537" spans="5:6" ht="21" customHeight="1" x14ac:dyDescent="0.4">
      <c r="E537" s="480"/>
      <c r="F537" s="480"/>
    </row>
    <row r="538" spans="5:6" ht="21" customHeight="1" x14ac:dyDescent="0.4">
      <c r="E538" s="480"/>
      <c r="F538" s="480"/>
    </row>
    <row r="539" spans="5:6" ht="21" customHeight="1" x14ac:dyDescent="0.4">
      <c r="E539" s="480"/>
      <c r="F539" s="480"/>
    </row>
    <row r="540" spans="5:6" ht="21" customHeight="1" x14ac:dyDescent="0.4">
      <c r="E540" s="480"/>
      <c r="F540" s="480"/>
    </row>
    <row r="541" spans="5:6" ht="21" customHeight="1" x14ac:dyDescent="0.4">
      <c r="E541" s="480"/>
      <c r="F541" s="480"/>
    </row>
    <row r="542" spans="5:6" ht="21" customHeight="1" x14ac:dyDescent="0.4">
      <c r="E542" s="480"/>
      <c r="F542" s="480"/>
    </row>
    <row r="543" spans="5:6" ht="21" customHeight="1" x14ac:dyDescent="0.4">
      <c r="E543" s="480"/>
      <c r="F543" s="480"/>
    </row>
    <row r="544" spans="5:6" ht="21" customHeight="1" x14ac:dyDescent="0.4">
      <c r="E544" s="480"/>
      <c r="F544" s="480"/>
    </row>
    <row r="545" spans="5:6" ht="21" customHeight="1" x14ac:dyDescent="0.4">
      <c r="E545" s="480"/>
      <c r="F545" s="480"/>
    </row>
    <row r="546" spans="5:6" ht="21" customHeight="1" x14ac:dyDescent="0.4">
      <c r="E546" s="480"/>
      <c r="F546" s="480"/>
    </row>
    <row r="547" spans="5:6" ht="21" customHeight="1" x14ac:dyDescent="0.4">
      <c r="E547" s="480"/>
      <c r="F547" s="480"/>
    </row>
    <row r="548" spans="5:6" ht="21" customHeight="1" x14ac:dyDescent="0.4">
      <c r="E548" s="480"/>
      <c r="F548" s="480"/>
    </row>
    <row r="549" spans="5:6" ht="21" customHeight="1" x14ac:dyDescent="0.4">
      <c r="E549" s="480"/>
      <c r="F549" s="480"/>
    </row>
    <row r="550" spans="5:6" ht="21" customHeight="1" x14ac:dyDescent="0.4">
      <c r="E550" s="480"/>
      <c r="F550" s="480"/>
    </row>
    <row r="551" spans="5:6" ht="21" customHeight="1" x14ac:dyDescent="0.4">
      <c r="E551" s="480"/>
      <c r="F551" s="480"/>
    </row>
    <row r="552" spans="5:6" ht="21" customHeight="1" x14ac:dyDescent="0.4">
      <c r="E552" s="480"/>
      <c r="F552" s="480"/>
    </row>
    <row r="553" spans="5:6" ht="21" customHeight="1" x14ac:dyDescent="0.4">
      <c r="E553" s="480"/>
      <c r="F553" s="480"/>
    </row>
    <row r="554" spans="5:6" ht="21" customHeight="1" x14ac:dyDescent="0.4">
      <c r="E554" s="480"/>
      <c r="F554" s="480"/>
    </row>
    <row r="555" spans="5:6" ht="21" customHeight="1" x14ac:dyDescent="0.4">
      <c r="E555" s="480"/>
      <c r="F555" s="480"/>
    </row>
    <row r="556" spans="5:6" ht="21" customHeight="1" x14ac:dyDescent="0.4">
      <c r="E556" s="480"/>
      <c r="F556" s="480"/>
    </row>
    <row r="557" spans="5:6" ht="21" customHeight="1" x14ac:dyDescent="0.4">
      <c r="E557" s="480"/>
      <c r="F557" s="480"/>
    </row>
    <row r="558" spans="5:6" ht="21" customHeight="1" x14ac:dyDescent="0.4">
      <c r="E558" s="480"/>
      <c r="F558" s="480"/>
    </row>
    <row r="559" spans="5:6" ht="21" customHeight="1" x14ac:dyDescent="0.4">
      <c r="E559" s="480"/>
      <c r="F559" s="480"/>
    </row>
    <row r="560" spans="5:6" ht="21" customHeight="1" x14ac:dyDescent="0.4">
      <c r="E560" s="480"/>
      <c r="F560" s="480"/>
    </row>
    <row r="561" spans="5:6" ht="21" customHeight="1" x14ac:dyDescent="0.4">
      <c r="E561" s="480"/>
      <c r="F561" s="480"/>
    </row>
    <row r="562" spans="5:6" ht="21" customHeight="1" x14ac:dyDescent="0.4">
      <c r="E562" s="480"/>
      <c r="F562" s="480"/>
    </row>
    <row r="563" spans="5:6" ht="21" customHeight="1" x14ac:dyDescent="0.4">
      <c r="E563" s="480"/>
      <c r="F563" s="480"/>
    </row>
    <row r="564" spans="5:6" ht="21" customHeight="1" x14ac:dyDescent="0.4">
      <c r="E564" s="480"/>
      <c r="F564" s="480"/>
    </row>
    <row r="565" spans="5:6" ht="21" customHeight="1" x14ac:dyDescent="0.4">
      <c r="E565" s="480"/>
      <c r="F565" s="480"/>
    </row>
    <row r="566" spans="5:6" ht="21" customHeight="1" x14ac:dyDescent="0.4">
      <c r="E566" s="480"/>
      <c r="F566" s="480"/>
    </row>
    <row r="567" spans="5:6" ht="21" customHeight="1" x14ac:dyDescent="0.4">
      <c r="E567" s="480"/>
      <c r="F567" s="480"/>
    </row>
    <row r="568" spans="5:6" ht="21" customHeight="1" x14ac:dyDescent="0.4">
      <c r="E568" s="480"/>
      <c r="F568" s="480"/>
    </row>
    <row r="569" spans="5:6" ht="21" customHeight="1" x14ac:dyDescent="0.4">
      <c r="E569" s="480"/>
      <c r="F569" s="480"/>
    </row>
    <row r="570" spans="5:6" ht="21" customHeight="1" x14ac:dyDescent="0.4">
      <c r="E570" s="480"/>
      <c r="F570" s="480"/>
    </row>
    <row r="571" spans="5:6" ht="21" customHeight="1" x14ac:dyDescent="0.4">
      <c r="E571" s="480"/>
      <c r="F571" s="480"/>
    </row>
    <row r="572" spans="5:6" ht="21" customHeight="1" x14ac:dyDescent="0.4">
      <c r="E572" s="480"/>
      <c r="F572" s="480"/>
    </row>
    <row r="573" spans="5:6" ht="21" customHeight="1" x14ac:dyDescent="0.4">
      <c r="E573" s="480"/>
      <c r="F573" s="480"/>
    </row>
    <row r="574" spans="5:6" ht="21" customHeight="1" x14ac:dyDescent="0.4">
      <c r="E574" s="480"/>
      <c r="F574" s="480"/>
    </row>
    <row r="575" spans="5:6" ht="21" customHeight="1" x14ac:dyDescent="0.4">
      <c r="E575" s="480"/>
      <c r="F575" s="480"/>
    </row>
    <row r="576" spans="5:6" ht="21" customHeight="1" x14ac:dyDescent="0.4">
      <c r="E576" s="480"/>
      <c r="F576" s="480"/>
    </row>
    <row r="577" spans="5:6" ht="21" customHeight="1" x14ac:dyDescent="0.4">
      <c r="E577" s="480"/>
      <c r="F577" s="480"/>
    </row>
    <row r="578" spans="5:6" ht="21" customHeight="1" x14ac:dyDescent="0.4">
      <c r="E578" s="480"/>
      <c r="F578" s="480"/>
    </row>
    <row r="579" spans="5:6" ht="21" customHeight="1" x14ac:dyDescent="0.4">
      <c r="E579" s="480"/>
      <c r="F579" s="480"/>
    </row>
    <row r="580" spans="5:6" ht="21" customHeight="1" x14ac:dyDescent="0.4">
      <c r="E580" s="480"/>
      <c r="F580" s="480"/>
    </row>
    <row r="581" spans="5:6" ht="21" customHeight="1" x14ac:dyDescent="0.4">
      <c r="E581" s="480"/>
      <c r="F581" s="480"/>
    </row>
    <row r="582" spans="5:6" ht="21" customHeight="1" x14ac:dyDescent="0.4">
      <c r="E582" s="480"/>
      <c r="F582" s="480"/>
    </row>
    <row r="583" spans="5:6" ht="21" customHeight="1" x14ac:dyDescent="0.4">
      <c r="E583" s="480"/>
      <c r="F583" s="480"/>
    </row>
    <row r="584" spans="5:6" ht="21" customHeight="1" x14ac:dyDescent="0.4">
      <c r="E584" s="480"/>
      <c r="F584" s="480"/>
    </row>
    <row r="585" spans="5:6" ht="21" customHeight="1" x14ac:dyDescent="0.4">
      <c r="E585" s="480"/>
      <c r="F585" s="480"/>
    </row>
    <row r="586" spans="5:6" ht="21" customHeight="1" x14ac:dyDescent="0.4">
      <c r="E586" s="480"/>
      <c r="F586" s="480"/>
    </row>
    <row r="587" spans="5:6" ht="21" customHeight="1" x14ac:dyDescent="0.4">
      <c r="E587" s="480"/>
      <c r="F587" s="480"/>
    </row>
    <row r="588" spans="5:6" ht="21" customHeight="1" x14ac:dyDescent="0.4">
      <c r="E588" s="480"/>
      <c r="F588" s="480"/>
    </row>
    <row r="589" spans="5:6" ht="21" customHeight="1" x14ac:dyDescent="0.4">
      <c r="E589" s="480"/>
      <c r="F589" s="480"/>
    </row>
    <row r="590" spans="5:6" ht="21" customHeight="1" x14ac:dyDescent="0.4">
      <c r="E590" s="480"/>
      <c r="F590" s="480"/>
    </row>
    <row r="591" spans="5:6" ht="21" customHeight="1" x14ac:dyDescent="0.4">
      <c r="E591" s="480"/>
      <c r="F591" s="480"/>
    </row>
    <row r="592" spans="5:6" ht="21" customHeight="1" x14ac:dyDescent="0.4">
      <c r="E592" s="480"/>
      <c r="F592" s="480"/>
    </row>
    <row r="593" spans="5:6" ht="21" customHeight="1" x14ac:dyDescent="0.4">
      <c r="E593" s="480"/>
      <c r="F593" s="480"/>
    </row>
    <row r="594" spans="5:6" ht="21" customHeight="1" x14ac:dyDescent="0.4">
      <c r="E594" s="480"/>
      <c r="F594" s="480"/>
    </row>
    <row r="595" spans="5:6" ht="21" customHeight="1" x14ac:dyDescent="0.4">
      <c r="E595" s="480"/>
      <c r="F595" s="480"/>
    </row>
    <row r="596" spans="5:6" ht="21" customHeight="1" x14ac:dyDescent="0.4">
      <c r="E596" s="480"/>
      <c r="F596" s="480"/>
    </row>
    <row r="597" spans="5:6" ht="21" customHeight="1" x14ac:dyDescent="0.4">
      <c r="E597" s="480"/>
      <c r="F597" s="480"/>
    </row>
    <row r="598" spans="5:6" ht="21" customHeight="1" x14ac:dyDescent="0.4">
      <c r="E598" s="480"/>
      <c r="F598" s="480"/>
    </row>
    <row r="599" spans="5:6" ht="21" customHeight="1" x14ac:dyDescent="0.4">
      <c r="E599" s="480"/>
      <c r="F599" s="480"/>
    </row>
    <row r="600" spans="5:6" ht="21" customHeight="1" x14ac:dyDescent="0.4">
      <c r="E600" s="480"/>
      <c r="F600" s="480"/>
    </row>
    <row r="601" spans="5:6" ht="21" customHeight="1" x14ac:dyDescent="0.4">
      <c r="E601" s="480"/>
      <c r="F601" s="480"/>
    </row>
    <row r="602" spans="5:6" ht="21" customHeight="1" x14ac:dyDescent="0.4">
      <c r="E602" s="480"/>
      <c r="F602" s="480"/>
    </row>
    <row r="603" spans="5:6" ht="21" customHeight="1" x14ac:dyDescent="0.4">
      <c r="E603" s="480"/>
      <c r="F603" s="480"/>
    </row>
    <row r="604" spans="5:6" ht="21" customHeight="1" x14ac:dyDescent="0.4">
      <c r="E604" s="480"/>
      <c r="F604" s="480"/>
    </row>
    <row r="605" spans="5:6" ht="21" customHeight="1" x14ac:dyDescent="0.4">
      <c r="E605" s="480"/>
      <c r="F605" s="480"/>
    </row>
    <row r="606" spans="5:6" ht="21" customHeight="1" x14ac:dyDescent="0.4">
      <c r="E606" s="480"/>
      <c r="F606" s="480"/>
    </row>
    <row r="607" spans="5:6" ht="21" customHeight="1" x14ac:dyDescent="0.4">
      <c r="E607" s="480"/>
      <c r="F607" s="480"/>
    </row>
    <row r="608" spans="5:6" ht="21" customHeight="1" x14ac:dyDescent="0.4">
      <c r="E608" s="480"/>
      <c r="F608" s="480"/>
    </row>
    <row r="609" spans="5:6" ht="21" customHeight="1" x14ac:dyDescent="0.4">
      <c r="E609" s="480"/>
      <c r="F609" s="480"/>
    </row>
    <row r="610" spans="5:6" ht="21" customHeight="1" x14ac:dyDescent="0.4">
      <c r="E610" s="480"/>
      <c r="F610" s="480"/>
    </row>
    <row r="611" spans="5:6" ht="21" customHeight="1" x14ac:dyDescent="0.4">
      <c r="E611" s="480"/>
      <c r="F611" s="480"/>
    </row>
    <row r="612" spans="5:6" ht="21" customHeight="1" x14ac:dyDescent="0.4">
      <c r="E612" s="480"/>
      <c r="F612" s="480"/>
    </row>
    <row r="613" spans="5:6" ht="21" customHeight="1" x14ac:dyDescent="0.4">
      <c r="E613" s="480"/>
      <c r="F613" s="480"/>
    </row>
    <row r="614" spans="5:6" ht="21" customHeight="1" x14ac:dyDescent="0.4">
      <c r="E614" s="480"/>
      <c r="F614" s="480"/>
    </row>
    <row r="615" spans="5:6" ht="21" customHeight="1" x14ac:dyDescent="0.4">
      <c r="E615" s="480"/>
      <c r="F615" s="480"/>
    </row>
    <row r="616" spans="5:6" ht="21" customHeight="1" x14ac:dyDescent="0.4">
      <c r="E616" s="480"/>
      <c r="F616" s="480"/>
    </row>
    <row r="617" spans="5:6" ht="21" customHeight="1" x14ac:dyDescent="0.4">
      <c r="E617" s="480"/>
      <c r="F617" s="480"/>
    </row>
    <row r="618" spans="5:6" ht="21" customHeight="1" x14ac:dyDescent="0.4">
      <c r="E618" s="480"/>
      <c r="F618" s="480"/>
    </row>
    <row r="619" spans="5:6" ht="21" customHeight="1" x14ac:dyDescent="0.4">
      <c r="E619" s="480"/>
      <c r="F619" s="480"/>
    </row>
    <row r="620" spans="5:6" ht="21" customHeight="1" x14ac:dyDescent="0.4">
      <c r="E620" s="480"/>
      <c r="F620" s="480"/>
    </row>
    <row r="621" spans="5:6" ht="21" customHeight="1" x14ac:dyDescent="0.4">
      <c r="E621" s="480"/>
      <c r="F621" s="480"/>
    </row>
    <row r="622" spans="5:6" ht="21" customHeight="1" x14ac:dyDescent="0.4">
      <c r="E622" s="480"/>
      <c r="F622" s="480"/>
    </row>
    <row r="623" spans="5:6" ht="21" customHeight="1" x14ac:dyDescent="0.4">
      <c r="E623" s="480"/>
      <c r="F623" s="480"/>
    </row>
    <row r="624" spans="5:6" ht="21" customHeight="1" x14ac:dyDescent="0.4">
      <c r="E624" s="480"/>
      <c r="F624" s="480"/>
    </row>
    <row r="625" spans="5:6" ht="21" customHeight="1" x14ac:dyDescent="0.4">
      <c r="E625" s="480"/>
      <c r="F625" s="480"/>
    </row>
    <row r="626" spans="5:6" ht="21" customHeight="1" x14ac:dyDescent="0.4">
      <c r="E626" s="480"/>
      <c r="F626" s="480"/>
    </row>
    <row r="627" spans="5:6" ht="21" customHeight="1" x14ac:dyDescent="0.4">
      <c r="E627" s="480"/>
      <c r="F627" s="480"/>
    </row>
    <row r="628" spans="5:6" ht="21" customHeight="1" x14ac:dyDescent="0.4">
      <c r="E628" s="480"/>
      <c r="F628" s="480"/>
    </row>
    <row r="629" spans="5:6" ht="21" customHeight="1" x14ac:dyDescent="0.4">
      <c r="E629" s="480"/>
      <c r="F629" s="480"/>
    </row>
    <row r="630" spans="5:6" ht="21" customHeight="1" x14ac:dyDescent="0.4">
      <c r="E630" s="480"/>
      <c r="F630" s="480"/>
    </row>
    <row r="631" spans="5:6" ht="21" customHeight="1" x14ac:dyDescent="0.4">
      <c r="E631" s="480"/>
      <c r="F631" s="480"/>
    </row>
    <row r="632" spans="5:6" ht="21" customHeight="1" x14ac:dyDescent="0.4">
      <c r="E632" s="480"/>
      <c r="F632" s="480"/>
    </row>
    <row r="633" spans="5:6" ht="21" customHeight="1" x14ac:dyDescent="0.4">
      <c r="E633" s="480"/>
      <c r="F633" s="480"/>
    </row>
    <row r="634" spans="5:6" ht="21" customHeight="1" x14ac:dyDescent="0.4">
      <c r="E634" s="480"/>
      <c r="F634" s="480"/>
    </row>
    <row r="635" spans="5:6" ht="21" customHeight="1" x14ac:dyDescent="0.4">
      <c r="E635" s="480"/>
      <c r="F635" s="480"/>
    </row>
    <row r="636" spans="5:6" ht="21" customHeight="1" x14ac:dyDescent="0.4">
      <c r="E636" s="480"/>
      <c r="F636" s="480"/>
    </row>
    <row r="637" spans="5:6" ht="21" customHeight="1" x14ac:dyDescent="0.4">
      <c r="E637" s="480"/>
      <c r="F637" s="480"/>
    </row>
    <row r="638" spans="5:6" ht="21" customHeight="1" x14ac:dyDescent="0.4">
      <c r="E638" s="480"/>
      <c r="F638" s="480"/>
    </row>
    <row r="639" spans="5:6" ht="21" customHeight="1" x14ac:dyDescent="0.4">
      <c r="E639" s="480"/>
      <c r="F639" s="480"/>
    </row>
    <row r="640" spans="5:6" ht="21" customHeight="1" x14ac:dyDescent="0.4">
      <c r="E640" s="480"/>
      <c r="F640" s="480"/>
    </row>
    <row r="641" spans="5:6" ht="21" customHeight="1" x14ac:dyDescent="0.4">
      <c r="E641" s="480"/>
      <c r="F641" s="480"/>
    </row>
    <row r="642" spans="5:6" ht="21" customHeight="1" x14ac:dyDescent="0.4">
      <c r="E642" s="480"/>
      <c r="F642" s="480"/>
    </row>
    <row r="643" spans="5:6" ht="21" customHeight="1" x14ac:dyDescent="0.4">
      <c r="E643" s="480"/>
      <c r="F643" s="480"/>
    </row>
    <row r="644" spans="5:6" ht="21" customHeight="1" x14ac:dyDescent="0.4">
      <c r="E644" s="480"/>
      <c r="F644" s="480"/>
    </row>
    <row r="645" spans="5:6" ht="21" customHeight="1" x14ac:dyDescent="0.4">
      <c r="E645" s="480"/>
      <c r="F645" s="480"/>
    </row>
    <row r="646" spans="5:6" ht="21" customHeight="1" x14ac:dyDescent="0.4">
      <c r="E646" s="480"/>
      <c r="F646" s="480"/>
    </row>
    <row r="647" spans="5:6" ht="21" customHeight="1" x14ac:dyDescent="0.4">
      <c r="E647" s="480"/>
      <c r="F647" s="480"/>
    </row>
    <row r="648" spans="5:6" ht="21" customHeight="1" x14ac:dyDescent="0.4">
      <c r="E648" s="480"/>
      <c r="F648" s="480"/>
    </row>
    <row r="649" spans="5:6" ht="21" customHeight="1" x14ac:dyDescent="0.4">
      <c r="E649" s="480"/>
      <c r="F649" s="480"/>
    </row>
    <row r="650" spans="5:6" ht="21" customHeight="1" x14ac:dyDescent="0.4">
      <c r="E650" s="480"/>
      <c r="F650" s="480"/>
    </row>
    <row r="651" spans="5:6" ht="21" customHeight="1" x14ac:dyDescent="0.4">
      <c r="E651" s="480"/>
      <c r="F651" s="480"/>
    </row>
    <row r="652" spans="5:6" ht="21" customHeight="1" x14ac:dyDescent="0.4">
      <c r="E652" s="480"/>
      <c r="F652" s="480"/>
    </row>
    <row r="653" spans="5:6" ht="21" customHeight="1" x14ac:dyDescent="0.4">
      <c r="E653" s="480"/>
      <c r="F653" s="480"/>
    </row>
    <row r="654" spans="5:6" ht="21" customHeight="1" x14ac:dyDescent="0.4">
      <c r="E654" s="480"/>
      <c r="F654" s="480"/>
    </row>
    <row r="655" spans="5:6" ht="21" customHeight="1" x14ac:dyDescent="0.4">
      <c r="E655" s="480"/>
      <c r="F655" s="480"/>
    </row>
    <row r="656" spans="5:6" ht="21" customHeight="1" x14ac:dyDescent="0.4">
      <c r="E656" s="480"/>
      <c r="F656" s="480"/>
    </row>
    <row r="657" spans="5:6" ht="21" customHeight="1" x14ac:dyDescent="0.4">
      <c r="E657" s="480"/>
      <c r="F657" s="480"/>
    </row>
    <row r="658" spans="5:6" ht="21" customHeight="1" x14ac:dyDescent="0.4">
      <c r="E658" s="480"/>
      <c r="F658" s="480"/>
    </row>
    <row r="659" spans="5:6" ht="21" customHeight="1" x14ac:dyDescent="0.4">
      <c r="E659" s="480"/>
      <c r="F659" s="480"/>
    </row>
    <row r="660" spans="5:6" ht="21" customHeight="1" x14ac:dyDescent="0.4">
      <c r="E660" s="480"/>
      <c r="F660" s="480"/>
    </row>
    <row r="661" spans="5:6" ht="21" customHeight="1" x14ac:dyDescent="0.4">
      <c r="E661" s="480"/>
      <c r="F661" s="480"/>
    </row>
    <row r="662" spans="5:6" ht="21" customHeight="1" x14ac:dyDescent="0.4">
      <c r="E662" s="480"/>
      <c r="F662" s="480"/>
    </row>
    <row r="663" spans="5:6" ht="21" customHeight="1" x14ac:dyDescent="0.4">
      <c r="E663" s="480"/>
      <c r="F663" s="480"/>
    </row>
    <row r="664" spans="5:6" ht="21" customHeight="1" x14ac:dyDescent="0.4">
      <c r="E664" s="480"/>
      <c r="F664" s="480"/>
    </row>
    <row r="665" spans="5:6" ht="21" customHeight="1" x14ac:dyDescent="0.4">
      <c r="E665" s="480"/>
      <c r="F665" s="480"/>
    </row>
    <row r="666" spans="5:6" ht="21" customHeight="1" x14ac:dyDescent="0.4">
      <c r="E666" s="480"/>
      <c r="F666" s="480"/>
    </row>
    <row r="667" spans="5:6" ht="21" customHeight="1" x14ac:dyDescent="0.4">
      <c r="E667" s="480"/>
      <c r="F667" s="480"/>
    </row>
    <row r="668" spans="5:6" ht="21" customHeight="1" x14ac:dyDescent="0.4">
      <c r="E668" s="480"/>
      <c r="F668" s="480"/>
    </row>
    <row r="669" spans="5:6" ht="21" customHeight="1" x14ac:dyDescent="0.4">
      <c r="E669" s="480"/>
      <c r="F669" s="480"/>
    </row>
    <row r="670" spans="5:6" ht="21" customHeight="1" x14ac:dyDescent="0.4">
      <c r="E670" s="480"/>
      <c r="F670" s="480"/>
    </row>
    <row r="671" spans="5:6" ht="21" customHeight="1" x14ac:dyDescent="0.4">
      <c r="E671" s="480"/>
      <c r="F671" s="480"/>
    </row>
    <row r="672" spans="5:6" ht="21" customHeight="1" x14ac:dyDescent="0.4">
      <c r="E672" s="480"/>
      <c r="F672" s="480"/>
    </row>
    <row r="673" spans="5:6" ht="21" customHeight="1" x14ac:dyDescent="0.4">
      <c r="E673" s="480"/>
      <c r="F673" s="480"/>
    </row>
    <row r="674" spans="5:6" ht="21" customHeight="1" x14ac:dyDescent="0.4">
      <c r="E674" s="480"/>
      <c r="F674" s="480"/>
    </row>
    <row r="675" spans="5:6" ht="21" customHeight="1" x14ac:dyDescent="0.4">
      <c r="E675" s="480"/>
      <c r="F675" s="480"/>
    </row>
    <row r="676" spans="5:6" ht="21" customHeight="1" x14ac:dyDescent="0.4">
      <c r="E676" s="480"/>
      <c r="F676" s="480"/>
    </row>
    <row r="677" spans="5:6" ht="21" customHeight="1" x14ac:dyDescent="0.4">
      <c r="E677" s="480"/>
      <c r="F677" s="480"/>
    </row>
    <row r="678" spans="5:6" ht="21" customHeight="1" x14ac:dyDescent="0.4">
      <c r="E678" s="480"/>
      <c r="F678" s="480"/>
    </row>
    <row r="679" spans="5:6" ht="21" customHeight="1" x14ac:dyDescent="0.4">
      <c r="E679" s="480"/>
      <c r="F679" s="480"/>
    </row>
    <row r="680" spans="5:6" ht="21" customHeight="1" x14ac:dyDescent="0.4">
      <c r="E680" s="480"/>
      <c r="F680" s="480"/>
    </row>
    <row r="681" spans="5:6" ht="21" customHeight="1" x14ac:dyDescent="0.4">
      <c r="E681" s="480"/>
      <c r="F681" s="480"/>
    </row>
    <row r="682" spans="5:6" ht="21" customHeight="1" x14ac:dyDescent="0.4">
      <c r="E682" s="480"/>
      <c r="F682" s="480"/>
    </row>
    <row r="683" spans="5:6" ht="21" customHeight="1" x14ac:dyDescent="0.4">
      <c r="E683" s="480"/>
      <c r="F683" s="480"/>
    </row>
    <row r="684" spans="5:6" ht="21" customHeight="1" x14ac:dyDescent="0.4">
      <c r="E684" s="480"/>
      <c r="F684" s="480"/>
    </row>
    <row r="685" spans="5:6" ht="21" customHeight="1" x14ac:dyDescent="0.4">
      <c r="E685" s="480"/>
      <c r="F685" s="480"/>
    </row>
    <row r="686" spans="5:6" ht="21" customHeight="1" x14ac:dyDescent="0.4">
      <c r="E686" s="480"/>
      <c r="F686" s="480"/>
    </row>
    <row r="687" spans="5:6" ht="21" customHeight="1" x14ac:dyDescent="0.4">
      <c r="E687" s="480"/>
      <c r="F687" s="480"/>
    </row>
    <row r="688" spans="5:6" ht="21" customHeight="1" x14ac:dyDescent="0.4">
      <c r="E688" s="480"/>
      <c r="F688" s="480"/>
    </row>
    <row r="689" spans="5:6" ht="21" customHeight="1" x14ac:dyDescent="0.4">
      <c r="E689" s="480"/>
      <c r="F689" s="480"/>
    </row>
    <row r="690" spans="5:6" ht="21" customHeight="1" x14ac:dyDescent="0.4">
      <c r="E690" s="480"/>
      <c r="F690" s="480"/>
    </row>
    <row r="691" spans="5:6" ht="21" customHeight="1" x14ac:dyDescent="0.4">
      <c r="E691" s="480"/>
      <c r="F691" s="480"/>
    </row>
    <row r="692" spans="5:6" ht="21" customHeight="1" x14ac:dyDescent="0.4">
      <c r="E692" s="480"/>
      <c r="F692" s="480"/>
    </row>
    <row r="693" spans="5:6" ht="21" customHeight="1" x14ac:dyDescent="0.4">
      <c r="E693" s="480"/>
      <c r="F693" s="480"/>
    </row>
    <row r="694" spans="5:6" ht="21" customHeight="1" x14ac:dyDescent="0.4">
      <c r="E694" s="480"/>
      <c r="F694" s="480"/>
    </row>
    <row r="695" spans="5:6" ht="21" customHeight="1" x14ac:dyDescent="0.4">
      <c r="E695" s="480"/>
      <c r="F695" s="480"/>
    </row>
    <row r="696" spans="5:6" ht="21" customHeight="1" x14ac:dyDescent="0.4">
      <c r="E696" s="480"/>
      <c r="F696" s="480"/>
    </row>
    <row r="697" spans="5:6" ht="21" customHeight="1" x14ac:dyDescent="0.4">
      <c r="E697" s="480"/>
      <c r="F697" s="480"/>
    </row>
    <row r="698" spans="5:6" ht="21" customHeight="1" x14ac:dyDescent="0.4">
      <c r="E698" s="480"/>
      <c r="F698" s="480"/>
    </row>
    <row r="699" spans="5:6" ht="21" customHeight="1" x14ac:dyDescent="0.4">
      <c r="E699" s="480"/>
      <c r="F699" s="480"/>
    </row>
    <row r="700" spans="5:6" ht="21" customHeight="1" x14ac:dyDescent="0.4">
      <c r="E700" s="480"/>
      <c r="F700" s="480"/>
    </row>
    <row r="701" spans="5:6" ht="21" customHeight="1" x14ac:dyDescent="0.4">
      <c r="E701" s="480"/>
      <c r="F701" s="480"/>
    </row>
    <row r="702" spans="5:6" ht="21" customHeight="1" x14ac:dyDescent="0.4">
      <c r="E702" s="480"/>
      <c r="F702" s="480"/>
    </row>
    <row r="703" spans="5:6" ht="21" customHeight="1" x14ac:dyDescent="0.4">
      <c r="E703" s="480"/>
      <c r="F703" s="480"/>
    </row>
    <row r="704" spans="5:6" ht="21" customHeight="1" x14ac:dyDescent="0.4">
      <c r="E704" s="480"/>
      <c r="F704" s="480"/>
    </row>
    <row r="705" spans="5:6" ht="21" customHeight="1" x14ac:dyDescent="0.4">
      <c r="E705" s="480"/>
      <c r="F705" s="480"/>
    </row>
    <row r="706" spans="5:6" ht="21" customHeight="1" x14ac:dyDescent="0.4">
      <c r="E706" s="480"/>
      <c r="F706" s="480"/>
    </row>
    <row r="707" spans="5:6" ht="21" customHeight="1" x14ac:dyDescent="0.4">
      <c r="E707" s="480"/>
      <c r="F707" s="480"/>
    </row>
    <row r="708" spans="5:6" ht="21" customHeight="1" x14ac:dyDescent="0.4">
      <c r="E708" s="480"/>
      <c r="F708" s="480"/>
    </row>
    <row r="709" spans="5:6" ht="21" customHeight="1" x14ac:dyDescent="0.4">
      <c r="E709" s="480"/>
      <c r="F709" s="480"/>
    </row>
    <row r="710" spans="5:6" ht="21" customHeight="1" x14ac:dyDescent="0.4">
      <c r="E710" s="480"/>
      <c r="F710" s="480"/>
    </row>
    <row r="711" spans="5:6" ht="21" customHeight="1" x14ac:dyDescent="0.4">
      <c r="E711" s="480"/>
      <c r="F711" s="480"/>
    </row>
    <row r="712" spans="5:6" ht="21" customHeight="1" x14ac:dyDescent="0.4">
      <c r="E712" s="480"/>
      <c r="F712" s="480"/>
    </row>
    <row r="713" spans="5:6" ht="21" customHeight="1" x14ac:dyDescent="0.4">
      <c r="E713" s="480"/>
      <c r="F713" s="480"/>
    </row>
    <row r="714" spans="5:6" ht="21" customHeight="1" x14ac:dyDescent="0.4">
      <c r="E714" s="480"/>
      <c r="F714" s="480"/>
    </row>
    <row r="715" spans="5:6" ht="21" customHeight="1" x14ac:dyDescent="0.4">
      <c r="E715" s="480"/>
      <c r="F715" s="480"/>
    </row>
    <row r="716" spans="5:6" ht="21" customHeight="1" x14ac:dyDescent="0.4">
      <c r="E716" s="480"/>
      <c r="F716" s="480"/>
    </row>
    <row r="717" spans="5:6" ht="21" customHeight="1" x14ac:dyDescent="0.4">
      <c r="E717" s="480"/>
      <c r="F717" s="480"/>
    </row>
    <row r="718" spans="5:6" ht="21" customHeight="1" x14ac:dyDescent="0.4">
      <c r="E718" s="480"/>
      <c r="F718" s="480"/>
    </row>
    <row r="719" spans="5:6" ht="21" customHeight="1" x14ac:dyDescent="0.4">
      <c r="E719" s="480"/>
      <c r="F719" s="480"/>
    </row>
    <row r="720" spans="5:6" ht="21" customHeight="1" x14ac:dyDescent="0.4">
      <c r="E720" s="480"/>
      <c r="F720" s="480"/>
    </row>
    <row r="721" spans="5:6" ht="21" customHeight="1" x14ac:dyDescent="0.4">
      <c r="E721" s="480"/>
      <c r="F721" s="480"/>
    </row>
    <row r="722" spans="5:6" ht="21" customHeight="1" x14ac:dyDescent="0.4">
      <c r="E722" s="480"/>
      <c r="F722" s="480"/>
    </row>
    <row r="723" spans="5:6" ht="21" customHeight="1" x14ac:dyDescent="0.4">
      <c r="E723" s="480"/>
      <c r="F723" s="480"/>
    </row>
    <row r="724" spans="5:6" ht="21" customHeight="1" x14ac:dyDescent="0.4">
      <c r="E724" s="480"/>
      <c r="F724" s="480"/>
    </row>
    <row r="725" spans="5:6" ht="21" customHeight="1" x14ac:dyDescent="0.4">
      <c r="E725" s="480"/>
      <c r="F725" s="480"/>
    </row>
    <row r="726" spans="5:6" ht="21" customHeight="1" x14ac:dyDescent="0.4">
      <c r="E726" s="480"/>
      <c r="F726" s="480"/>
    </row>
    <row r="727" spans="5:6" ht="21" customHeight="1" x14ac:dyDescent="0.4">
      <c r="E727" s="480"/>
      <c r="F727" s="480"/>
    </row>
    <row r="728" spans="5:6" ht="21" customHeight="1" x14ac:dyDescent="0.4">
      <c r="E728" s="480"/>
      <c r="F728" s="480"/>
    </row>
    <row r="729" spans="5:6" ht="21" customHeight="1" x14ac:dyDescent="0.4">
      <c r="E729" s="480"/>
      <c r="F729" s="480"/>
    </row>
    <row r="730" spans="5:6" ht="21" customHeight="1" x14ac:dyDescent="0.4">
      <c r="E730" s="480"/>
      <c r="F730" s="480"/>
    </row>
    <row r="731" spans="5:6" ht="21" customHeight="1" x14ac:dyDescent="0.4">
      <c r="E731" s="480"/>
      <c r="F731" s="480"/>
    </row>
    <row r="732" spans="5:6" ht="21" customHeight="1" x14ac:dyDescent="0.4">
      <c r="E732" s="480"/>
      <c r="F732" s="480"/>
    </row>
    <row r="733" spans="5:6" ht="21" customHeight="1" x14ac:dyDescent="0.4">
      <c r="E733" s="480"/>
      <c r="F733" s="480"/>
    </row>
    <row r="734" spans="5:6" ht="21" customHeight="1" x14ac:dyDescent="0.4">
      <c r="E734" s="480"/>
      <c r="F734" s="480"/>
    </row>
    <row r="735" spans="5:6" ht="21" customHeight="1" x14ac:dyDescent="0.4">
      <c r="E735" s="480"/>
      <c r="F735" s="480"/>
    </row>
    <row r="736" spans="5:6" ht="21" customHeight="1" x14ac:dyDescent="0.4">
      <c r="E736" s="480"/>
      <c r="F736" s="480"/>
    </row>
    <row r="737" spans="5:6" ht="21" customHeight="1" x14ac:dyDescent="0.4">
      <c r="E737" s="480"/>
      <c r="F737" s="480"/>
    </row>
    <row r="738" spans="5:6" ht="21" customHeight="1" x14ac:dyDescent="0.4">
      <c r="E738" s="480"/>
      <c r="F738" s="480"/>
    </row>
    <row r="739" spans="5:6" ht="21" customHeight="1" x14ac:dyDescent="0.4">
      <c r="E739" s="480"/>
      <c r="F739" s="480"/>
    </row>
    <row r="740" spans="5:6" ht="21" customHeight="1" x14ac:dyDescent="0.4">
      <c r="E740" s="480"/>
      <c r="F740" s="480"/>
    </row>
    <row r="741" spans="5:6" ht="21" customHeight="1" x14ac:dyDescent="0.4">
      <c r="E741" s="480"/>
      <c r="F741" s="480"/>
    </row>
    <row r="742" spans="5:6" ht="21" customHeight="1" x14ac:dyDescent="0.4">
      <c r="E742" s="480"/>
      <c r="F742" s="480"/>
    </row>
    <row r="743" spans="5:6" ht="21" customHeight="1" x14ac:dyDescent="0.4">
      <c r="E743" s="480"/>
      <c r="F743" s="480"/>
    </row>
    <row r="744" spans="5:6" ht="21" customHeight="1" x14ac:dyDescent="0.4">
      <c r="E744" s="480"/>
      <c r="F744" s="480"/>
    </row>
    <row r="745" spans="5:6" ht="21" customHeight="1" x14ac:dyDescent="0.4">
      <c r="E745" s="480"/>
      <c r="F745" s="480"/>
    </row>
    <row r="746" spans="5:6" ht="21" customHeight="1" x14ac:dyDescent="0.4">
      <c r="E746" s="480"/>
      <c r="F746" s="480"/>
    </row>
    <row r="747" spans="5:6" ht="21" customHeight="1" x14ac:dyDescent="0.4">
      <c r="E747" s="480"/>
      <c r="F747" s="480"/>
    </row>
    <row r="748" spans="5:6" ht="21" customHeight="1" x14ac:dyDescent="0.4">
      <c r="E748" s="480"/>
      <c r="F748" s="480"/>
    </row>
    <row r="749" spans="5:6" ht="21" customHeight="1" x14ac:dyDescent="0.4">
      <c r="E749" s="480"/>
      <c r="F749" s="480"/>
    </row>
    <row r="750" spans="5:6" ht="21" customHeight="1" x14ac:dyDescent="0.4">
      <c r="E750" s="480"/>
      <c r="F750" s="480"/>
    </row>
    <row r="751" spans="5:6" ht="21" customHeight="1" x14ac:dyDescent="0.4">
      <c r="E751" s="480"/>
      <c r="F751" s="480"/>
    </row>
    <row r="752" spans="5:6" ht="21" customHeight="1" x14ac:dyDescent="0.4">
      <c r="E752" s="480"/>
      <c r="F752" s="480"/>
    </row>
    <row r="753" spans="5:6" ht="21" customHeight="1" x14ac:dyDescent="0.4">
      <c r="E753" s="480"/>
      <c r="F753" s="480"/>
    </row>
    <row r="754" spans="5:6" ht="21" customHeight="1" x14ac:dyDescent="0.4">
      <c r="E754" s="480"/>
      <c r="F754" s="480"/>
    </row>
    <row r="755" spans="5:6" ht="21" customHeight="1" x14ac:dyDescent="0.4">
      <c r="E755" s="480"/>
      <c r="F755" s="480"/>
    </row>
    <row r="756" spans="5:6" ht="21" customHeight="1" x14ac:dyDescent="0.4">
      <c r="E756" s="480"/>
      <c r="F756" s="480"/>
    </row>
    <row r="757" spans="5:6" ht="21" customHeight="1" x14ac:dyDescent="0.4">
      <c r="E757" s="480"/>
      <c r="F757" s="480"/>
    </row>
    <row r="758" spans="5:6" ht="21" customHeight="1" x14ac:dyDescent="0.4">
      <c r="E758" s="480"/>
      <c r="F758" s="480"/>
    </row>
    <row r="759" spans="5:6" ht="21" customHeight="1" x14ac:dyDescent="0.4">
      <c r="E759" s="480"/>
      <c r="F759" s="480"/>
    </row>
    <row r="760" spans="5:6" ht="21" customHeight="1" x14ac:dyDescent="0.4">
      <c r="E760" s="480"/>
      <c r="F760" s="480"/>
    </row>
    <row r="761" spans="5:6" ht="21" customHeight="1" x14ac:dyDescent="0.4">
      <c r="E761" s="480"/>
      <c r="F761" s="480"/>
    </row>
    <row r="762" spans="5:6" ht="21" customHeight="1" x14ac:dyDescent="0.4">
      <c r="E762" s="480"/>
      <c r="F762" s="480"/>
    </row>
    <row r="763" spans="5:6" ht="21" customHeight="1" x14ac:dyDescent="0.4">
      <c r="E763" s="480"/>
      <c r="F763" s="480"/>
    </row>
    <row r="764" spans="5:6" ht="21" customHeight="1" x14ac:dyDescent="0.4">
      <c r="E764" s="480"/>
      <c r="F764" s="480"/>
    </row>
    <row r="765" spans="5:6" ht="21" customHeight="1" x14ac:dyDescent="0.4">
      <c r="E765" s="480"/>
      <c r="F765" s="480"/>
    </row>
    <row r="766" spans="5:6" ht="21" customHeight="1" x14ac:dyDescent="0.4">
      <c r="E766" s="480"/>
      <c r="F766" s="480"/>
    </row>
    <row r="767" spans="5:6" ht="21" customHeight="1" x14ac:dyDescent="0.4">
      <c r="E767" s="480"/>
      <c r="F767" s="480"/>
    </row>
    <row r="768" spans="5:6" ht="21" customHeight="1" x14ac:dyDescent="0.4">
      <c r="E768" s="480"/>
      <c r="F768" s="480"/>
    </row>
    <row r="769" spans="5:6" ht="21" customHeight="1" x14ac:dyDescent="0.4">
      <c r="E769" s="480"/>
      <c r="F769" s="480"/>
    </row>
    <row r="770" spans="5:6" ht="21" customHeight="1" x14ac:dyDescent="0.4">
      <c r="E770" s="480"/>
      <c r="F770" s="480"/>
    </row>
    <row r="771" spans="5:6" ht="21" customHeight="1" x14ac:dyDescent="0.4">
      <c r="E771" s="480"/>
      <c r="F771" s="480"/>
    </row>
    <row r="772" spans="5:6" ht="21" customHeight="1" x14ac:dyDescent="0.4">
      <c r="E772" s="480"/>
      <c r="F772" s="480"/>
    </row>
    <row r="773" spans="5:6" ht="21" customHeight="1" x14ac:dyDescent="0.4">
      <c r="E773" s="480"/>
      <c r="F773" s="480"/>
    </row>
    <row r="774" spans="5:6" ht="21" customHeight="1" x14ac:dyDescent="0.4">
      <c r="E774" s="480"/>
      <c r="F774" s="480"/>
    </row>
    <row r="775" spans="5:6" ht="21" customHeight="1" x14ac:dyDescent="0.4">
      <c r="E775" s="480"/>
      <c r="F775" s="480"/>
    </row>
    <row r="776" spans="5:6" ht="21" customHeight="1" x14ac:dyDescent="0.4">
      <c r="E776" s="480"/>
      <c r="F776" s="480"/>
    </row>
    <row r="777" spans="5:6" ht="21" customHeight="1" x14ac:dyDescent="0.4">
      <c r="E777" s="480"/>
      <c r="F777" s="480"/>
    </row>
    <row r="778" spans="5:6" ht="21" customHeight="1" x14ac:dyDescent="0.4">
      <c r="E778" s="480"/>
      <c r="F778" s="480"/>
    </row>
    <row r="779" spans="5:6" ht="21" customHeight="1" x14ac:dyDescent="0.4">
      <c r="E779" s="480"/>
      <c r="F779" s="480"/>
    </row>
    <row r="780" spans="5:6" ht="21" customHeight="1" x14ac:dyDescent="0.4">
      <c r="E780" s="480"/>
      <c r="F780" s="480"/>
    </row>
    <row r="781" spans="5:6" ht="21" customHeight="1" x14ac:dyDescent="0.4">
      <c r="E781" s="480"/>
      <c r="F781" s="480"/>
    </row>
    <row r="782" spans="5:6" ht="21" customHeight="1" x14ac:dyDescent="0.4">
      <c r="E782" s="480"/>
      <c r="F782" s="480"/>
    </row>
    <row r="783" spans="5:6" ht="21" customHeight="1" x14ac:dyDescent="0.4">
      <c r="E783" s="480"/>
      <c r="F783" s="480"/>
    </row>
    <row r="784" spans="5:6" ht="21" customHeight="1" x14ac:dyDescent="0.4">
      <c r="E784" s="480"/>
      <c r="F784" s="480"/>
    </row>
    <row r="785" spans="5:6" ht="21" customHeight="1" x14ac:dyDescent="0.4">
      <c r="E785" s="480"/>
      <c r="F785" s="480"/>
    </row>
    <row r="786" spans="5:6" ht="21" customHeight="1" x14ac:dyDescent="0.4">
      <c r="E786" s="480"/>
      <c r="F786" s="480"/>
    </row>
    <row r="787" spans="5:6" ht="21" customHeight="1" x14ac:dyDescent="0.4">
      <c r="E787" s="480"/>
      <c r="F787" s="480"/>
    </row>
    <row r="788" spans="5:6" ht="21" customHeight="1" x14ac:dyDescent="0.4">
      <c r="E788" s="480"/>
      <c r="F788" s="480"/>
    </row>
    <row r="789" spans="5:6" ht="21" customHeight="1" x14ac:dyDescent="0.4">
      <c r="E789" s="480"/>
      <c r="F789" s="480"/>
    </row>
    <row r="790" spans="5:6" ht="21" customHeight="1" x14ac:dyDescent="0.4">
      <c r="E790" s="480"/>
      <c r="F790" s="480"/>
    </row>
    <row r="791" spans="5:6" ht="21" customHeight="1" x14ac:dyDescent="0.4">
      <c r="E791" s="480"/>
      <c r="F791" s="480"/>
    </row>
    <row r="792" spans="5:6" ht="21" customHeight="1" x14ac:dyDescent="0.4">
      <c r="E792" s="480"/>
      <c r="F792" s="480"/>
    </row>
    <row r="793" spans="5:6" ht="21" customHeight="1" x14ac:dyDescent="0.4">
      <c r="E793" s="480"/>
      <c r="F793" s="480"/>
    </row>
    <row r="794" spans="5:6" ht="21" customHeight="1" x14ac:dyDescent="0.4">
      <c r="E794" s="480"/>
      <c r="F794" s="480"/>
    </row>
    <row r="795" spans="5:6" ht="21" customHeight="1" x14ac:dyDescent="0.4">
      <c r="E795" s="480"/>
      <c r="F795" s="480"/>
    </row>
    <row r="796" spans="5:6" ht="21" customHeight="1" x14ac:dyDescent="0.4">
      <c r="E796" s="480"/>
      <c r="F796" s="480"/>
    </row>
    <row r="797" spans="5:6" ht="21" customHeight="1" x14ac:dyDescent="0.4">
      <c r="E797" s="480"/>
      <c r="F797" s="480"/>
    </row>
    <row r="798" spans="5:6" ht="21" customHeight="1" x14ac:dyDescent="0.4">
      <c r="E798" s="480"/>
      <c r="F798" s="480"/>
    </row>
    <row r="799" spans="5:6" ht="21" customHeight="1" x14ac:dyDescent="0.4">
      <c r="E799" s="480"/>
      <c r="F799" s="480"/>
    </row>
    <row r="800" spans="5:6" ht="21" customHeight="1" x14ac:dyDescent="0.4">
      <c r="E800" s="480"/>
      <c r="F800" s="480"/>
    </row>
    <row r="801" spans="5:6" ht="21" customHeight="1" x14ac:dyDescent="0.4">
      <c r="E801" s="480"/>
      <c r="F801" s="480"/>
    </row>
    <row r="802" spans="5:6" ht="21" customHeight="1" x14ac:dyDescent="0.4">
      <c r="E802" s="480"/>
      <c r="F802" s="480"/>
    </row>
    <row r="803" spans="5:6" ht="21" customHeight="1" x14ac:dyDescent="0.4">
      <c r="E803" s="480"/>
      <c r="F803" s="480"/>
    </row>
    <row r="804" spans="5:6" ht="21" customHeight="1" x14ac:dyDescent="0.4">
      <c r="E804" s="480"/>
      <c r="F804" s="480"/>
    </row>
    <row r="805" spans="5:6" ht="21" customHeight="1" x14ac:dyDescent="0.4">
      <c r="E805" s="480"/>
      <c r="F805" s="480"/>
    </row>
    <row r="806" spans="5:6" ht="21" customHeight="1" x14ac:dyDescent="0.4">
      <c r="E806" s="480"/>
      <c r="F806" s="480"/>
    </row>
    <row r="807" spans="5:6" ht="21" customHeight="1" x14ac:dyDescent="0.4">
      <c r="E807" s="480"/>
      <c r="F807" s="480"/>
    </row>
    <row r="808" spans="5:6" ht="21" customHeight="1" x14ac:dyDescent="0.4">
      <c r="E808" s="480"/>
      <c r="F808" s="480"/>
    </row>
    <row r="809" spans="5:6" ht="21" customHeight="1" x14ac:dyDescent="0.4">
      <c r="E809" s="480"/>
      <c r="F809" s="480"/>
    </row>
    <row r="810" spans="5:6" ht="21" customHeight="1" x14ac:dyDescent="0.4">
      <c r="E810" s="480"/>
      <c r="F810" s="480"/>
    </row>
    <row r="811" spans="5:6" ht="21" customHeight="1" x14ac:dyDescent="0.4">
      <c r="E811" s="480"/>
      <c r="F811" s="480"/>
    </row>
    <row r="812" spans="5:6" ht="21" customHeight="1" x14ac:dyDescent="0.4">
      <c r="E812" s="480"/>
      <c r="F812" s="480"/>
    </row>
    <row r="813" spans="5:6" ht="21" customHeight="1" x14ac:dyDescent="0.4">
      <c r="E813" s="480"/>
      <c r="F813" s="480"/>
    </row>
    <row r="814" spans="5:6" ht="21" customHeight="1" x14ac:dyDescent="0.4">
      <c r="E814" s="480"/>
      <c r="F814" s="480"/>
    </row>
    <row r="815" spans="5:6" ht="21" customHeight="1" x14ac:dyDescent="0.4">
      <c r="E815" s="480"/>
      <c r="F815" s="480"/>
    </row>
    <row r="816" spans="5:6" ht="21" customHeight="1" x14ac:dyDescent="0.4">
      <c r="E816" s="480"/>
      <c r="F816" s="480"/>
    </row>
    <row r="817" spans="5:6" ht="21" customHeight="1" x14ac:dyDescent="0.4">
      <c r="E817" s="480"/>
      <c r="F817" s="480"/>
    </row>
    <row r="818" spans="5:6" ht="21" customHeight="1" x14ac:dyDescent="0.4">
      <c r="E818" s="480"/>
      <c r="F818" s="480"/>
    </row>
    <row r="819" spans="5:6" ht="21" customHeight="1" x14ac:dyDescent="0.4">
      <c r="E819" s="480"/>
      <c r="F819" s="480"/>
    </row>
    <row r="820" spans="5:6" ht="21" customHeight="1" x14ac:dyDescent="0.4">
      <c r="E820" s="480"/>
      <c r="F820" s="480"/>
    </row>
    <row r="821" spans="5:6" ht="21" customHeight="1" x14ac:dyDescent="0.4">
      <c r="E821" s="480"/>
      <c r="F821" s="480"/>
    </row>
    <row r="822" spans="5:6" ht="21" customHeight="1" x14ac:dyDescent="0.4">
      <c r="E822" s="480"/>
      <c r="F822" s="480"/>
    </row>
    <row r="823" spans="5:6" ht="21" customHeight="1" x14ac:dyDescent="0.4">
      <c r="E823" s="480"/>
      <c r="F823" s="480"/>
    </row>
    <row r="824" spans="5:6" ht="21" customHeight="1" x14ac:dyDescent="0.4">
      <c r="E824" s="480"/>
      <c r="F824" s="480"/>
    </row>
    <row r="825" spans="5:6" ht="21" customHeight="1" x14ac:dyDescent="0.4">
      <c r="E825" s="480"/>
      <c r="F825" s="480"/>
    </row>
    <row r="826" spans="5:6" ht="21" customHeight="1" x14ac:dyDescent="0.4">
      <c r="E826" s="480"/>
      <c r="F826" s="480"/>
    </row>
    <row r="827" spans="5:6" ht="21" customHeight="1" x14ac:dyDescent="0.4">
      <c r="E827" s="480"/>
      <c r="F827" s="480"/>
    </row>
    <row r="828" spans="5:6" ht="21" customHeight="1" x14ac:dyDescent="0.4">
      <c r="E828" s="480"/>
      <c r="F828" s="480"/>
    </row>
    <row r="829" spans="5:6" ht="21" customHeight="1" x14ac:dyDescent="0.4">
      <c r="E829" s="480"/>
      <c r="F829" s="480"/>
    </row>
    <row r="830" spans="5:6" ht="21" customHeight="1" x14ac:dyDescent="0.4">
      <c r="E830" s="480"/>
      <c r="F830" s="480"/>
    </row>
    <row r="831" spans="5:6" ht="21" customHeight="1" x14ac:dyDescent="0.4">
      <c r="E831" s="480"/>
      <c r="F831" s="480"/>
    </row>
    <row r="832" spans="5:6" ht="21" customHeight="1" x14ac:dyDescent="0.4">
      <c r="E832" s="480"/>
      <c r="F832" s="480"/>
    </row>
    <row r="833" spans="5:6" ht="21" customHeight="1" x14ac:dyDescent="0.4">
      <c r="E833" s="480"/>
      <c r="F833" s="480"/>
    </row>
    <row r="834" spans="5:6" ht="21" customHeight="1" x14ac:dyDescent="0.4">
      <c r="E834" s="480"/>
      <c r="F834" s="480"/>
    </row>
    <row r="835" spans="5:6" ht="21" customHeight="1" x14ac:dyDescent="0.4">
      <c r="E835" s="480"/>
      <c r="F835" s="480"/>
    </row>
    <row r="836" spans="5:6" ht="21" customHeight="1" x14ac:dyDescent="0.4">
      <c r="E836" s="480"/>
      <c r="F836" s="480"/>
    </row>
    <row r="837" spans="5:6" ht="21" customHeight="1" x14ac:dyDescent="0.4">
      <c r="E837" s="480"/>
      <c r="F837" s="480"/>
    </row>
    <row r="838" spans="5:6" ht="21" customHeight="1" x14ac:dyDescent="0.4">
      <c r="E838" s="480"/>
      <c r="F838" s="480"/>
    </row>
    <row r="839" spans="5:6" ht="21" customHeight="1" x14ac:dyDescent="0.4">
      <c r="E839" s="480"/>
      <c r="F839" s="480"/>
    </row>
    <row r="840" spans="5:6" ht="21" customHeight="1" x14ac:dyDescent="0.4">
      <c r="E840" s="480"/>
      <c r="F840" s="480"/>
    </row>
    <row r="841" spans="5:6" ht="21" customHeight="1" x14ac:dyDescent="0.4">
      <c r="E841" s="480"/>
      <c r="F841" s="480"/>
    </row>
    <row r="842" spans="5:6" ht="21" customHeight="1" x14ac:dyDescent="0.4">
      <c r="E842" s="480"/>
      <c r="F842" s="480"/>
    </row>
    <row r="843" spans="5:6" ht="21" customHeight="1" x14ac:dyDescent="0.4">
      <c r="E843" s="480"/>
      <c r="F843" s="480"/>
    </row>
    <row r="844" spans="5:6" ht="21" customHeight="1" x14ac:dyDescent="0.4">
      <c r="E844" s="480"/>
      <c r="F844" s="480"/>
    </row>
    <row r="845" spans="5:6" ht="21" customHeight="1" x14ac:dyDescent="0.4">
      <c r="E845" s="480"/>
      <c r="F845" s="480"/>
    </row>
    <row r="846" spans="5:6" ht="21" customHeight="1" x14ac:dyDescent="0.4">
      <c r="E846" s="480"/>
      <c r="F846" s="480"/>
    </row>
    <row r="847" spans="5:6" ht="21" customHeight="1" x14ac:dyDescent="0.4">
      <c r="E847" s="480"/>
      <c r="F847" s="480"/>
    </row>
    <row r="848" spans="5:6" ht="21" customHeight="1" x14ac:dyDescent="0.4">
      <c r="E848" s="480"/>
      <c r="F848" s="480"/>
    </row>
    <row r="849" spans="5:6" ht="21" customHeight="1" x14ac:dyDescent="0.4">
      <c r="E849" s="480"/>
      <c r="F849" s="480"/>
    </row>
    <row r="850" spans="5:6" ht="21" customHeight="1" x14ac:dyDescent="0.4">
      <c r="E850" s="480"/>
      <c r="F850" s="480"/>
    </row>
    <row r="851" spans="5:6" ht="21" customHeight="1" x14ac:dyDescent="0.4">
      <c r="E851" s="480"/>
      <c r="F851" s="480"/>
    </row>
    <row r="852" spans="5:6" ht="21" customHeight="1" x14ac:dyDescent="0.4">
      <c r="E852" s="480"/>
      <c r="F852" s="480"/>
    </row>
    <row r="853" spans="5:6" ht="21" customHeight="1" x14ac:dyDescent="0.4">
      <c r="E853" s="480"/>
      <c r="F853" s="480"/>
    </row>
    <row r="854" spans="5:6" ht="21" customHeight="1" x14ac:dyDescent="0.4">
      <c r="E854" s="480"/>
      <c r="F854" s="480"/>
    </row>
    <row r="855" spans="5:6" ht="21" customHeight="1" x14ac:dyDescent="0.4">
      <c r="E855" s="480"/>
      <c r="F855" s="480"/>
    </row>
    <row r="856" spans="5:6" ht="21" customHeight="1" x14ac:dyDescent="0.4">
      <c r="E856" s="480"/>
      <c r="F856" s="480"/>
    </row>
    <row r="857" spans="5:6" ht="21" customHeight="1" x14ac:dyDescent="0.4">
      <c r="E857" s="480"/>
      <c r="F857" s="480"/>
    </row>
    <row r="858" spans="5:6" ht="21" customHeight="1" x14ac:dyDescent="0.4">
      <c r="E858" s="480"/>
      <c r="F858" s="480"/>
    </row>
    <row r="859" spans="5:6" ht="21" customHeight="1" x14ac:dyDescent="0.4">
      <c r="E859" s="480"/>
      <c r="F859" s="480"/>
    </row>
    <row r="860" spans="5:6" ht="21" customHeight="1" x14ac:dyDescent="0.4">
      <c r="E860" s="480"/>
      <c r="F860" s="480"/>
    </row>
    <row r="861" spans="5:6" ht="21" customHeight="1" x14ac:dyDescent="0.4">
      <c r="E861" s="480"/>
      <c r="F861" s="480"/>
    </row>
    <row r="862" spans="5:6" ht="21" customHeight="1" x14ac:dyDescent="0.4">
      <c r="E862" s="480"/>
      <c r="F862" s="480"/>
    </row>
    <row r="863" spans="5:6" ht="21" customHeight="1" x14ac:dyDescent="0.4">
      <c r="E863" s="480"/>
      <c r="F863" s="480"/>
    </row>
    <row r="864" spans="5:6" ht="21" customHeight="1" x14ac:dyDescent="0.4">
      <c r="E864" s="480"/>
      <c r="F864" s="480"/>
    </row>
    <row r="865" spans="5:6" ht="21" customHeight="1" x14ac:dyDescent="0.4">
      <c r="E865" s="480"/>
      <c r="F865" s="480"/>
    </row>
    <row r="866" spans="5:6" ht="21" customHeight="1" x14ac:dyDescent="0.4">
      <c r="E866" s="480"/>
      <c r="F866" s="480"/>
    </row>
    <row r="867" spans="5:6" ht="21" customHeight="1" x14ac:dyDescent="0.4">
      <c r="E867" s="480"/>
      <c r="F867" s="480"/>
    </row>
    <row r="868" spans="5:6" ht="21" customHeight="1" x14ac:dyDescent="0.4">
      <c r="E868" s="480"/>
      <c r="F868" s="480"/>
    </row>
    <row r="869" spans="5:6" ht="21" customHeight="1" x14ac:dyDescent="0.4">
      <c r="E869" s="480"/>
      <c r="F869" s="480"/>
    </row>
    <row r="870" spans="5:6" ht="21" customHeight="1" x14ac:dyDescent="0.4">
      <c r="E870" s="480"/>
      <c r="F870" s="480"/>
    </row>
    <row r="871" spans="5:6" ht="21" customHeight="1" x14ac:dyDescent="0.4">
      <c r="E871" s="480"/>
      <c r="F871" s="480"/>
    </row>
    <row r="872" spans="5:6" ht="21" customHeight="1" x14ac:dyDescent="0.4">
      <c r="E872" s="480"/>
      <c r="F872" s="480"/>
    </row>
    <row r="873" spans="5:6" ht="21" customHeight="1" x14ac:dyDescent="0.4">
      <c r="E873" s="480"/>
      <c r="F873" s="480"/>
    </row>
    <row r="874" spans="5:6" ht="21" customHeight="1" x14ac:dyDescent="0.4">
      <c r="E874" s="480"/>
      <c r="F874" s="480"/>
    </row>
    <row r="875" spans="5:6" ht="21" customHeight="1" x14ac:dyDescent="0.4">
      <c r="E875" s="480"/>
      <c r="F875" s="480"/>
    </row>
    <row r="876" spans="5:6" ht="21" customHeight="1" x14ac:dyDescent="0.4">
      <c r="E876" s="480"/>
      <c r="F876" s="480"/>
    </row>
    <row r="877" spans="5:6" ht="21" customHeight="1" x14ac:dyDescent="0.4">
      <c r="E877" s="480"/>
      <c r="F877" s="480"/>
    </row>
    <row r="878" spans="5:6" ht="21" customHeight="1" x14ac:dyDescent="0.4">
      <c r="E878" s="480"/>
      <c r="F878" s="480"/>
    </row>
    <row r="879" spans="5:6" ht="21" customHeight="1" x14ac:dyDescent="0.4">
      <c r="E879" s="480"/>
      <c r="F879" s="480"/>
    </row>
    <row r="880" spans="5:6" ht="21" customHeight="1" x14ac:dyDescent="0.4">
      <c r="E880" s="480"/>
      <c r="F880" s="480"/>
    </row>
    <row r="881" spans="5:6" ht="21" customHeight="1" x14ac:dyDescent="0.4">
      <c r="E881" s="480"/>
      <c r="F881" s="480"/>
    </row>
    <row r="882" spans="5:6" ht="21" customHeight="1" x14ac:dyDescent="0.4">
      <c r="E882" s="480"/>
      <c r="F882" s="480"/>
    </row>
    <row r="883" spans="5:6" ht="21" customHeight="1" x14ac:dyDescent="0.4">
      <c r="E883" s="480"/>
      <c r="F883" s="480"/>
    </row>
    <row r="884" spans="5:6" ht="21" customHeight="1" x14ac:dyDescent="0.4">
      <c r="E884" s="480"/>
      <c r="F884" s="480"/>
    </row>
    <row r="885" spans="5:6" ht="21" customHeight="1" x14ac:dyDescent="0.4">
      <c r="E885" s="480"/>
      <c r="F885" s="480"/>
    </row>
    <row r="886" spans="5:6" ht="21" customHeight="1" x14ac:dyDescent="0.4">
      <c r="E886" s="480"/>
      <c r="F886" s="480"/>
    </row>
    <row r="887" spans="5:6" ht="21" customHeight="1" x14ac:dyDescent="0.4">
      <c r="E887" s="480"/>
      <c r="F887" s="480"/>
    </row>
    <row r="888" spans="5:6" ht="21" customHeight="1" x14ac:dyDescent="0.4">
      <c r="E888" s="480"/>
      <c r="F888" s="480"/>
    </row>
    <row r="889" spans="5:6" ht="21" customHeight="1" x14ac:dyDescent="0.4">
      <c r="E889" s="480"/>
      <c r="F889" s="480"/>
    </row>
    <row r="890" spans="5:6" ht="21" customHeight="1" x14ac:dyDescent="0.4">
      <c r="E890" s="480"/>
      <c r="F890" s="480"/>
    </row>
    <row r="891" spans="5:6" ht="21" customHeight="1" x14ac:dyDescent="0.4">
      <c r="E891" s="480"/>
      <c r="F891" s="480"/>
    </row>
    <row r="892" spans="5:6" ht="21" customHeight="1" x14ac:dyDescent="0.4">
      <c r="E892" s="480"/>
      <c r="F892" s="480"/>
    </row>
    <row r="893" spans="5:6" ht="21" customHeight="1" x14ac:dyDescent="0.4">
      <c r="E893" s="480"/>
      <c r="F893" s="480"/>
    </row>
    <row r="894" spans="5:6" ht="21" customHeight="1" x14ac:dyDescent="0.4">
      <c r="E894" s="480"/>
      <c r="F894" s="480"/>
    </row>
    <row r="895" spans="5:6" ht="21" customHeight="1" x14ac:dyDescent="0.4">
      <c r="E895" s="480"/>
      <c r="F895" s="480"/>
    </row>
    <row r="896" spans="5:6" ht="21" customHeight="1" x14ac:dyDescent="0.4">
      <c r="E896" s="480"/>
      <c r="F896" s="480"/>
    </row>
    <row r="897" spans="5:6" ht="21" customHeight="1" x14ac:dyDescent="0.4">
      <c r="E897" s="480"/>
      <c r="F897" s="480"/>
    </row>
    <row r="898" spans="5:6" ht="21" customHeight="1" x14ac:dyDescent="0.4">
      <c r="E898" s="480"/>
      <c r="F898" s="480"/>
    </row>
    <row r="899" spans="5:6" ht="21" customHeight="1" x14ac:dyDescent="0.4">
      <c r="E899" s="480"/>
      <c r="F899" s="480"/>
    </row>
    <row r="900" spans="5:6" ht="21" customHeight="1" x14ac:dyDescent="0.4">
      <c r="E900" s="480"/>
      <c r="F900" s="480"/>
    </row>
    <row r="901" spans="5:6" ht="21" customHeight="1" x14ac:dyDescent="0.4">
      <c r="E901" s="480"/>
      <c r="F901" s="480"/>
    </row>
    <row r="902" spans="5:6" ht="21" customHeight="1" x14ac:dyDescent="0.4">
      <c r="E902" s="480"/>
      <c r="F902" s="480"/>
    </row>
    <row r="903" spans="5:6" ht="21" customHeight="1" x14ac:dyDescent="0.4">
      <c r="E903" s="480"/>
      <c r="F903" s="480"/>
    </row>
    <row r="904" spans="5:6" ht="21" customHeight="1" x14ac:dyDescent="0.4">
      <c r="E904" s="480"/>
      <c r="F904" s="480"/>
    </row>
    <row r="905" spans="5:6" ht="21" customHeight="1" x14ac:dyDescent="0.4">
      <c r="E905" s="480"/>
      <c r="F905" s="480"/>
    </row>
    <row r="906" spans="5:6" ht="21" customHeight="1" x14ac:dyDescent="0.4">
      <c r="E906" s="480"/>
      <c r="F906" s="480"/>
    </row>
    <row r="907" spans="5:6" ht="21" customHeight="1" x14ac:dyDescent="0.4">
      <c r="E907" s="480"/>
      <c r="F907" s="480"/>
    </row>
    <row r="908" spans="5:6" ht="21" customHeight="1" x14ac:dyDescent="0.4">
      <c r="E908" s="480"/>
      <c r="F908" s="480"/>
    </row>
    <row r="909" spans="5:6" ht="21" customHeight="1" x14ac:dyDescent="0.4">
      <c r="E909" s="480"/>
      <c r="F909" s="480"/>
    </row>
    <row r="910" spans="5:6" ht="21" customHeight="1" x14ac:dyDescent="0.4">
      <c r="E910" s="480"/>
      <c r="F910" s="480"/>
    </row>
    <row r="911" spans="5:6" ht="21" customHeight="1" x14ac:dyDescent="0.4">
      <c r="E911" s="480"/>
      <c r="F911" s="480"/>
    </row>
    <row r="912" spans="5:6" ht="21" customHeight="1" x14ac:dyDescent="0.4">
      <c r="E912" s="480"/>
      <c r="F912" s="480"/>
    </row>
    <row r="913" spans="5:6" ht="21" customHeight="1" x14ac:dyDescent="0.4">
      <c r="E913" s="480"/>
      <c r="F913" s="480"/>
    </row>
    <row r="914" spans="5:6" ht="21" customHeight="1" x14ac:dyDescent="0.4">
      <c r="E914" s="480"/>
      <c r="F914" s="480"/>
    </row>
    <row r="915" spans="5:6" ht="21" customHeight="1" x14ac:dyDescent="0.4">
      <c r="E915" s="480"/>
      <c r="F915" s="480"/>
    </row>
    <row r="916" spans="5:6" ht="21" customHeight="1" x14ac:dyDescent="0.4">
      <c r="E916" s="480"/>
      <c r="F916" s="480"/>
    </row>
    <row r="917" spans="5:6" ht="21" customHeight="1" x14ac:dyDescent="0.4">
      <c r="E917" s="480"/>
      <c r="F917" s="480"/>
    </row>
    <row r="918" spans="5:6" ht="21" customHeight="1" x14ac:dyDescent="0.4">
      <c r="E918" s="480"/>
      <c r="F918" s="480"/>
    </row>
    <row r="919" spans="5:6" ht="21" customHeight="1" x14ac:dyDescent="0.4">
      <c r="E919" s="480"/>
      <c r="F919" s="480"/>
    </row>
    <row r="920" spans="5:6" ht="21" customHeight="1" x14ac:dyDescent="0.4">
      <c r="E920" s="480"/>
      <c r="F920" s="480"/>
    </row>
    <row r="921" spans="5:6" ht="21" customHeight="1" x14ac:dyDescent="0.4">
      <c r="E921" s="480"/>
      <c r="F921" s="480"/>
    </row>
    <row r="922" spans="5:6" ht="21" customHeight="1" x14ac:dyDescent="0.4">
      <c r="E922" s="480"/>
      <c r="F922" s="480"/>
    </row>
    <row r="923" spans="5:6" ht="21" customHeight="1" x14ac:dyDescent="0.4">
      <c r="E923" s="480"/>
      <c r="F923" s="480"/>
    </row>
    <row r="924" spans="5:6" ht="21" customHeight="1" x14ac:dyDescent="0.4">
      <c r="E924" s="480"/>
      <c r="F924" s="480"/>
    </row>
    <row r="925" spans="5:6" ht="21" customHeight="1" x14ac:dyDescent="0.4">
      <c r="E925" s="480"/>
      <c r="F925" s="480"/>
    </row>
    <row r="926" spans="5:6" ht="21" customHeight="1" x14ac:dyDescent="0.4">
      <c r="E926" s="480"/>
      <c r="F926" s="480"/>
    </row>
    <row r="927" spans="5:6" ht="21" customHeight="1" x14ac:dyDescent="0.4">
      <c r="E927" s="480"/>
      <c r="F927" s="480"/>
    </row>
    <row r="928" spans="5:6" ht="21" customHeight="1" x14ac:dyDescent="0.4">
      <c r="E928" s="480"/>
      <c r="F928" s="480"/>
    </row>
    <row r="929" spans="5:6" ht="21" customHeight="1" x14ac:dyDescent="0.4">
      <c r="E929" s="480"/>
      <c r="F929" s="480"/>
    </row>
    <row r="930" spans="5:6" ht="21" customHeight="1" x14ac:dyDescent="0.4">
      <c r="E930" s="480"/>
      <c r="F930" s="480"/>
    </row>
    <row r="931" spans="5:6" ht="21" customHeight="1" x14ac:dyDescent="0.4">
      <c r="E931" s="480"/>
      <c r="F931" s="480"/>
    </row>
    <row r="932" spans="5:6" ht="21" customHeight="1" x14ac:dyDescent="0.4">
      <c r="E932" s="480"/>
      <c r="F932" s="480"/>
    </row>
    <row r="933" spans="5:6" ht="21" customHeight="1" x14ac:dyDescent="0.4">
      <c r="E933" s="480"/>
      <c r="F933" s="480"/>
    </row>
    <row r="934" spans="5:6" ht="21" customHeight="1" x14ac:dyDescent="0.4">
      <c r="E934" s="480"/>
      <c r="F934" s="480"/>
    </row>
    <row r="935" spans="5:6" ht="21" customHeight="1" x14ac:dyDescent="0.4">
      <c r="E935" s="480"/>
      <c r="F935" s="480"/>
    </row>
    <row r="936" spans="5:6" ht="21" customHeight="1" x14ac:dyDescent="0.4">
      <c r="E936" s="480"/>
      <c r="F936" s="480"/>
    </row>
    <row r="937" spans="5:6" ht="21" customHeight="1" x14ac:dyDescent="0.4">
      <c r="E937" s="480"/>
      <c r="F937" s="480"/>
    </row>
    <row r="938" spans="5:6" ht="21" customHeight="1" x14ac:dyDescent="0.4">
      <c r="E938" s="480"/>
      <c r="F938" s="480"/>
    </row>
    <row r="939" spans="5:6" ht="21" customHeight="1" x14ac:dyDescent="0.4">
      <c r="E939" s="480"/>
      <c r="F939" s="480"/>
    </row>
    <row r="940" spans="5:6" ht="21" customHeight="1" x14ac:dyDescent="0.4">
      <c r="E940" s="480"/>
      <c r="F940" s="480"/>
    </row>
    <row r="941" spans="5:6" ht="21" customHeight="1" x14ac:dyDescent="0.4">
      <c r="E941" s="480"/>
      <c r="F941" s="480"/>
    </row>
    <row r="942" spans="5:6" ht="21" customHeight="1" x14ac:dyDescent="0.4">
      <c r="E942" s="480"/>
      <c r="F942" s="480"/>
    </row>
    <row r="943" spans="5:6" ht="21" customHeight="1" x14ac:dyDescent="0.4">
      <c r="E943" s="480"/>
      <c r="F943" s="480"/>
    </row>
    <row r="944" spans="5:6" ht="21" customHeight="1" x14ac:dyDescent="0.4">
      <c r="E944" s="480"/>
      <c r="F944" s="480"/>
    </row>
    <row r="945" spans="5:6" ht="21" customHeight="1" x14ac:dyDescent="0.4">
      <c r="E945" s="480"/>
      <c r="F945" s="480"/>
    </row>
    <row r="946" spans="5:6" ht="21" customHeight="1" x14ac:dyDescent="0.4">
      <c r="E946" s="480"/>
      <c r="F946" s="480"/>
    </row>
    <row r="947" spans="5:6" ht="21" customHeight="1" x14ac:dyDescent="0.4">
      <c r="E947" s="480"/>
      <c r="F947" s="480"/>
    </row>
    <row r="948" spans="5:6" ht="21" customHeight="1" x14ac:dyDescent="0.4">
      <c r="E948" s="480"/>
      <c r="F948" s="480"/>
    </row>
    <row r="949" spans="5:6" ht="21" customHeight="1" x14ac:dyDescent="0.4">
      <c r="E949" s="480"/>
      <c r="F949" s="480"/>
    </row>
    <row r="950" spans="5:6" ht="21" customHeight="1" x14ac:dyDescent="0.4">
      <c r="E950" s="480"/>
      <c r="F950" s="480"/>
    </row>
    <row r="951" spans="5:6" ht="21" customHeight="1" x14ac:dyDescent="0.4">
      <c r="E951" s="480"/>
      <c r="F951" s="480"/>
    </row>
    <row r="952" spans="5:6" ht="21" customHeight="1" x14ac:dyDescent="0.4">
      <c r="E952" s="480"/>
      <c r="F952" s="480"/>
    </row>
    <row r="953" spans="5:6" ht="21" customHeight="1" x14ac:dyDescent="0.4">
      <c r="E953" s="480"/>
      <c r="F953" s="480"/>
    </row>
    <row r="954" spans="5:6" ht="21" customHeight="1" x14ac:dyDescent="0.4">
      <c r="E954" s="480"/>
      <c r="F954" s="480"/>
    </row>
    <row r="955" spans="5:6" ht="21" customHeight="1" x14ac:dyDescent="0.4">
      <c r="E955" s="480"/>
      <c r="F955" s="480"/>
    </row>
    <row r="956" spans="5:6" ht="21" customHeight="1" x14ac:dyDescent="0.4">
      <c r="E956" s="480"/>
      <c r="F956" s="480"/>
    </row>
    <row r="957" spans="5:6" ht="21" customHeight="1" x14ac:dyDescent="0.4">
      <c r="E957" s="480"/>
      <c r="F957" s="480"/>
    </row>
    <row r="958" spans="5:6" ht="21" customHeight="1" x14ac:dyDescent="0.4">
      <c r="E958" s="480"/>
      <c r="F958" s="480"/>
    </row>
    <row r="959" spans="5:6" ht="21" customHeight="1" x14ac:dyDescent="0.4">
      <c r="E959" s="480"/>
      <c r="F959" s="480"/>
    </row>
    <row r="960" spans="5:6" ht="21" customHeight="1" x14ac:dyDescent="0.4">
      <c r="E960" s="480"/>
      <c r="F960" s="480"/>
    </row>
    <row r="961" spans="5:6" ht="21" customHeight="1" x14ac:dyDescent="0.4">
      <c r="E961" s="480"/>
      <c r="F961" s="480"/>
    </row>
    <row r="962" spans="5:6" ht="21" customHeight="1" x14ac:dyDescent="0.4">
      <c r="E962" s="480"/>
      <c r="F962" s="480"/>
    </row>
    <row r="963" spans="5:6" ht="21" customHeight="1" x14ac:dyDescent="0.4">
      <c r="E963" s="480"/>
      <c r="F963" s="480"/>
    </row>
    <row r="964" spans="5:6" ht="21" customHeight="1" x14ac:dyDescent="0.4">
      <c r="E964" s="480"/>
      <c r="F964" s="480"/>
    </row>
    <row r="965" spans="5:6" ht="21" customHeight="1" x14ac:dyDescent="0.4">
      <c r="E965" s="480"/>
      <c r="F965" s="480"/>
    </row>
    <row r="966" spans="5:6" ht="21" customHeight="1" x14ac:dyDescent="0.4">
      <c r="E966" s="480"/>
      <c r="F966" s="480"/>
    </row>
    <row r="967" spans="5:6" ht="21" customHeight="1" x14ac:dyDescent="0.4">
      <c r="E967" s="480"/>
      <c r="F967" s="480"/>
    </row>
    <row r="968" spans="5:6" ht="21" customHeight="1" x14ac:dyDescent="0.4">
      <c r="E968" s="480"/>
      <c r="F968" s="480"/>
    </row>
    <row r="969" spans="5:6" ht="21" customHeight="1" x14ac:dyDescent="0.4">
      <c r="E969" s="480"/>
      <c r="F969" s="480"/>
    </row>
    <row r="970" spans="5:6" ht="21" customHeight="1" x14ac:dyDescent="0.4">
      <c r="E970" s="480"/>
      <c r="F970" s="480"/>
    </row>
    <row r="971" spans="5:6" ht="21" customHeight="1" x14ac:dyDescent="0.4">
      <c r="E971" s="480"/>
      <c r="F971" s="480"/>
    </row>
    <row r="972" spans="5:6" ht="21" customHeight="1" x14ac:dyDescent="0.4">
      <c r="E972" s="480"/>
      <c r="F972" s="480"/>
    </row>
    <row r="973" spans="5:6" ht="21" customHeight="1" x14ac:dyDescent="0.4">
      <c r="E973" s="480"/>
      <c r="F973" s="480"/>
    </row>
    <row r="974" spans="5:6" ht="21" customHeight="1" x14ac:dyDescent="0.4">
      <c r="E974" s="480"/>
      <c r="F974" s="480"/>
    </row>
    <row r="975" spans="5:6" ht="21" customHeight="1" x14ac:dyDescent="0.4">
      <c r="E975" s="480"/>
      <c r="F975" s="480"/>
    </row>
    <row r="976" spans="5:6" ht="21" customHeight="1" x14ac:dyDescent="0.4">
      <c r="E976" s="480"/>
      <c r="F976" s="480"/>
    </row>
    <row r="977" spans="5:6" ht="21" customHeight="1" x14ac:dyDescent="0.4">
      <c r="E977" s="480"/>
      <c r="F977" s="480"/>
    </row>
    <row r="978" spans="5:6" ht="21" customHeight="1" x14ac:dyDescent="0.4">
      <c r="E978" s="480"/>
      <c r="F978" s="480"/>
    </row>
    <row r="979" spans="5:6" ht="21" customHeight="1" x14ac:dyDescent="0.4">
      <c r="E979" s="480"/>
      <c r="F979" s="480"/>
    </row>
    <row r="980" spans="5:6" ht="21" customHeight="1" x14ac:dyDescent="0.4">
      <c r="E980" s="480"/>
      <c r="F980" s="480"/>
    </row>
    <row r="981" spans="5:6" ht="21" customHeight="1" x14ac:dyDescent="0.4">
      <c r="E981" s="480"/>
      <c r="F981" s="480"/>
    </row>
    <row r="982" spans="5:6" ht="21" customHeight="1" x14ac:dyDescent="0.4">
      <c r="E982" s="480"/>
      <c r="F982" s="480"/>
    </row>
    <row r="983" spans="5:6" ht="21" customHeight="1" x14ac:dyDescent="0.4">
      <c r="E983" s="480"/>
      <c r="F983" s="480"/>
    </row>
    <row r="984" spans="5:6" ht="21" customHeight="1" x14ac:dyDescent="0.4">
      <c r="E984" s="480"/>
      <c r="F984" s="480"/>
    </row>
    <row r="985" spans="5:6" ht="21" customHeight="1" x14ac:dyDescent="0.4">
      <c r="E985" s="480"/>
      <c r="F985" s="480"/>
    </row>
    <row r="986" spans="5:6" ht="21" customHeight="1" x14ac:dyDescent="0.4">
      <c r="E986" s="480"/>
      <c r="F986" s="480"/>
    </row>
    <row r="987" spans="5:6" ht="21" customHeight="1" x14ac:dyDescent="0.4">
      <c r="E987" s="480"/>
      <c r="F987" s="480"/>
    </row>
    <row r="988" spans="5:6" ht="21" customHeight="1" x14ac:dyDescent="0.4">
      <c r="E988" s="480"/>
      <c r="F988" s="480"/>
    </row>
    <row r="989" spans="5:6" ht="21" customHeight="1" x14ac:dyDescent="0.4">
      <c r="E989" s="480"/>
      <c r="F989" s="480"/>
    </row>
    <row r="990" spans="5:6" ht="21" customHeight="1" x14ac:dyDescent="0.4">
      <c r="E990" s="480"/>
      <c r="F990" s="480"/>
    </row>
    <row r="991" spans="5:6" ht="21" customHeight="1" x14ac:dyDescent="0.4">
      <c r="E991" s="480"/>
      <c r="F991" s="480"/>
    </row>
    <row r="992" spans="5:6" ht="21" customHeight="1" x14ac:dyDescent="0.4">
      <c r="E992" s="480"/>
      <c r="F992" s="480"/>
    </row>
    <row r="993" spans="5:6" ht="21" customHeight="1" x14ac:dyDescent="0.4">
      <c r="E993" s="480"/>
      <c r="F993" s="480"/>
    </row>
    <row r="994" spans="5:6" ht="21" customHeight="1" x14ac:dyDescent="0.4">
      <c r="E994" s="480"/>
      <c r="F994" s="480"/>
    </row>
    <row r="995" spans="5:6" ht="21" customHeight="1" x14ac:dyDescent="0.4">
      <c r="E995" s="480"/>
      <c r="F995" s="480"/>
    </row>
    <row r="996" spans="5:6" ht="21" customHeight="1" x14ac:dyDescent="0.4">
      <c r="E996" s="480"/>
      <c r="F996" s="480"/>
    </row>
    <row r="997" spans="5:6" ht="21" customHeight="1" x14ac:dyDescent="0.4">
      <c r="E997" s="480"/>
      <c r="F997" s="480"/>
    </row>
    <row r="998" spans="5:6" ht="21" customHeight="1" x14ac:dyDescent="0.4">
      <c r="E998" s="480"/>
      <c r="F998" s="480"/>
    </row>
    <row r="999" spans="5:6" ht="21" customHeight="1" x14ac:dyDescent="0.4">
      <c r="E999" s="480"/>
      <c r="F999" s="480"/>
    </row>
    <row r="1000" spans="5:6" ht="21" customHeight="1" x14ac:dyDescent="0.4">
      <c r="E1000" s="480"/>
      <c r="F1000" s="480"/>
    </row>
    <row r="1001" spans="5:6" ht="21" customHeight="1" x14ac:dyDescent="0.4">
      <c r="E1001" s="480"/>
      <c r="F1001" s="480"/>
    </row>
  </sheetData>
  <sheetProtection password="DF7C" sheet="1" objects="1" scenarios="1"/>
  <autoFilter ref="A2:BC211"/>
  <mergeCells count="42">
    <mergeCell ref="B195:C195"/>
    <mergeCell ref="B199:C199"/>
    <mergeCell ref="B203:C203"/>
    <mergeCell ref="B206:C206"/>
    <mergeCell ref="B209:C209"/>
    <mergeCell ref="B143:C143"/>
    <mergeCell ref="B148:C148"/>
    <mergeCell ref="B153:C153"/>
    <mergeCell ref="B186:C186"/>
    <mergeCell ref="B192:C192"/>
    <mergeCell ref="B160:C160"/>
    <mergeCell ref="B166:C166"/>
    <mergeCell ref="B171:C171"/>
    <mergeCell ref="B172:C172"/>
    <mergeCell ref="B175:C175"/>
    <mergeCell ref="B179:C179"/>
    <mergeCell ref="B184:C184"/>
    <mergeCell ref="B105:C105"/>
    <mergeCell ref="B125:C125"/>
    <mergeCell ref="B130:C130"/>
    <mergeCell ref="B131:C131"/>
    <mergeCell ref="B140:C140"/>
    <mergeCell ref="B87:C87"/>
    <mergeCell ref="B91:C91"/>
    <mergeCell ref="B92:C92"/>
    <mergeCell ref="B99:C99"/>
    <mergeCell ref="B102:C102"/>
    <mergeCell ref="B39:C39"/>
    <mergeCell ref="B44:C44"/>
    <mergeCell ref="B52:C52"/>
    <mergeCell ref="B57:C57"/>
    <mergeCell ref="B77:C77"/>
    <mergeCell ref="B23:C23"/>
    <mergeCell ref="B26:C26"/>
    <mergeCell ref="B31:C31"/>
    <mergeCell ref="B32:C32"/>
    <mergeCell ref="B36:C36"/>
    <mergeCell ref="B2:C2"/>
    <mergeCell ref="B3:C3"/>
    <mergeCell ref="B4:C4"/>
    <mergeCell ref="B12:C12"/>
    <mergeCell ref="B16:C16"/>
  </mergeCells>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67"/>
  <sheetViews>
    <sheetView topLeftCell="A7" zoomScale="60" zoomScaleNormal="60" workbookViewId="0">
      <selection activeCell="P16" sqref="P16"/>
    </sheetView>
  </sheetViews>
  <sheetFormatPr baseColWidth="10" defaultRowHeight="14.4" x14ac:dyDescent="0.3"/>
  <cols>
    <col min="3" max="3" width="22.21875" customWidth="1"/>
    <col min="4" max="4" width="26.6640625" customWidth="1"/>
    <col min="5" max="5" width="26.109375" customWidth="1"/>
    <col min="6" max="6" width="19.88671875" customWidth="1"/>
    <col min="7" max="7" width="31.44140625" customWidth="1"/>
    <col min="8" max="8" width="34" customWidth="1"/>
    <col min="9" max="9" width="25.6640625" customWidth="1"/>
    <col min="10" max="10" width="13" bestFit="1" customWidth="1"/>
    <col min="16" max="16" width="30.109375" customWidth="1"/>
  </cols>
  <sheetData>
    <row r="2" spans="3:16" ht="15" thickBot="1" x14ac:dyDescent="0.35"/>
    <row r="3" spans="3:16" ht="30" customHeight="1" thickBot="1" x14ac:dyDescent="0.35">
      <c r="C3" s="1613" t="s">
        <v>1490</v>
      </c>
      <c r="D3" s="1614"/>
      <c r="E3" s="1614"/>
      <c r="F3" s="1614"/>
      <c r="G3" s="1614"/>
      <c r="H3" s="1614"/>
      <c r="I3" s="1615"/>
      <c r="J3" s="1681" t="s">
        <v>1523</v>
      </c>
      <c r="K3" s="1682"/>
    </row>
    <row r="4" spans="3:16" ht="44.4" customHeight="1" thickBot="1" x14ac:dyDescent="0.35">
      <c r="C4" s="142" t="s">
        <v>1491</v>
      </c>
      <c r="D4" s="11" t="s">
        <v>1492</v>
      </c>
      <c r="E4" s="11" t="s">
        <v>1493</v>
      </c>
      <c r="F4" s="11" t="s">
        <v>1494</v>
      </c>
      <c r="G4" s="968" t="s">
        <v>1495</v>
      </c>
      <c r="H4" s="969" t="s">
        <v>2462</v>
      </c>
      <c r="I4" s="975" t="s">
        <v>1496</v>
      </c>
      <c r="J4" s="1683"/>
      <c r="K4" s="1684"/>
    </row>
    <row r="5" spans="3:16" ht="37.200000000000003" customHeight="1" thickBot="1" x14ac:dyDescent="0.35">
      <c r="C5" s="143" t="s">
        <v>1497</v>
      </c>
      <c r="D5" s="12" t="s">
        <v>1498</v>
      </c>
      <c r="E5" s="12" t="s">
        <v>1499</v>
      </c>
      <c r="F5" s="12" t="s">
        <v>1500</v>
      </c>
      <c r="G5" s="939" t="s">
        <v>1501</v>
      </c>
      <c r="H5" s="970" t="s">
        <v>2467</v>
      </c>
      <c r="I5" s="976" t="s">
        <v>1498</v>
      </c>
      <c r="J5" s="1683"/>
      <c r="K5" s="1684"/>
    </row>
    <row r="6" spans="3:16" ht="43.2" customHeight="1" thickBot="1" x14ac:dyDescent="0.35">
      <c r="C6" s="144" t="s">
        <v>1502</v>
      </c>
      <c r="D6" s="13" t="s">
        <v>1503</v>
      </c>
      <c r="E6" s="13" t="s">
        <v>1504</v>
      </c>
      <c r="F6" s="13" t="s">
        <v>1505</v>
      </c>
      <c r="G6" s="940" t="s">
        <v>1506</v>
      </c>
      <c r="H6" s="971" t="s">
        <v>2466</v>
      </c>
      <c r="I6" s="977" t="s">
        <v>1503</v>
      </c>
      <c r="J6" s="1683"/>
      <c r="K6" s="1684"/>
    </row>
    <row r="7" spans="3:16" ht="35.4" customHeight="1" thickBot="1" x14ac:dyDescent="0.35">
      <c r="C7" s="145" t="s">
        <v>1507</v>
      </c>
      <c r="D7" s="14" t="s">
        <v>1508</v>
      </c>
      <c r="E7" s="14" t="s">
        <v>1509</v>
      </c>
      <c r="F7" s="14" t="s">
        <v>1510</v>
      </c>
      <c r="G7" s="941" t="s">
        <v>1511</v>
      </c>
      <c r="H7" s="972" t="s">
        <v>2465</v>
      </c>
      <c r="I7" s="978" t="s">
        <v>1508</v>
      </c>
      <c r="J7" s="1683"/>
      <c r="K7" s="1684"/>
    </row>
    <row r="8" spans="3:16" ht="36" customHeight="1" thickBot="1" x14ac:dyDescent="0.35">
      <c r="C8" s="146" t="s">
        <v>1512</v>
      </c>
      <c r="D8" s="15" t="s">
        <v>1513</v>
      </c>
      <c r="E8" s="15" t="s">
        <v>1514</v>
      </c>
      <c r="F8" s="15" t="s">
        <v>1515</v>
      </c>
      <c r="G8" s="942" t="s">
        <v>1516</v>
      </c>
      <c r="H8" s="973" t="s">
        <v>2464</v>
      </c>
      <c r="I8" s="979" t="s">
        <v>1513</v>
      </c>
      <c r="J8" s="1683"/>
      <c r="K8" s="1684"/>
      <c r="P8" s="824"/>
    </row>
    <row r="9" spans="3:16" ht="35.4" customHeight="1" thickBot="1" x14ac:dyDescent="0.35">
      <c r="C9" s="147" t="s">
        <v>1517</v>
      </c>
      <c r="D9" s="16" t="s">
        <v>1518</v>
      </c>
      <c r="E9" s="16" t="s">
        <v>1519</v>
      </c>
      <c r="F9" s="16" t="s">
        <v>1520</v>
      </c>
      <c r="G9" s="943" t="s">
        <v>1521</v>
      </c>
      <c r="H9" s="974" t="s">
        <v>2463</v>
      </c>
      <c r="I9" s="980" t="s">
        <v>1522</v>
      </c>
      <c r="J9" s="1683"/>
      <c r="K9" s="1684"/>
    </row>
    <row r="10" spans="3:16" ht="15" thickBot="1" x14ac:dyDescent="0.35">
      <c r="J10" s="1683"/>
      <c r="K10" s="1684"/>
    </row>
    <row r="11" spans="3:16" ht="49.2" customHeight="1" thickBot="1" x14ac:dyDescent="0.35">
      <c r="D11" s="695"/>
      <c r="E11" s="696" t="s">
        <v>2283</v>
      </c>
      <c r="F11" s="1603" t="s">
        <v>2482</v>
      </c>
      <c r="G11" s="1604"/>
      <c r="J11" s="1683"/>
      <c r="K11" s="1684"/>
    </row>
    <row r="12" spans="3:16" ht="68.400000000000006" customHeight="1" x14ac:dyDescent="0.3">
      <c r="D12" s="1605" t="s">
        <v>1981</v>
      </c>
      <c r="E12" s="1695">
        <f>+'PLAN DE DESARROLLO 2024 - 2027'!K3</f>
        <v>0.84057533830791298</v>
      </c>
      <c r="F12" s="1697" t="s">
        <v>2423</v>
      </c>
      <c r="G12" s="1698"/>
      <c r="I12" s="4"/>
      <c r="J12" s="1683"/>
      <c r="K12" s="1684"/>
      <c r="O12" s="866"/>
      <c r="P12" s="6"/>
    </row>
    <row r="13" spans="3:16" ht="15" customHeight="1" thickBot="1" x14ac:dyDescent="0.35">
      <c r="D13" s="1606"/>
      <c r="E13" s="1696"/>
      <c r="F13" s="1699"/>
      <c r="G13" s="1700"/>
      <c r="J13" s="1685"/>
      <c r="K13" s="1686"/>
    </row>
    <row r="14" spans="3:16" ht="15" thickBot="1" x14ac:dyDescent="0.35"/>
    <row r="15" spans="3:16" ht="30.6" hidden="1" customHeight="1" thickBot="1" x14ac:dyDescent="0.35"/>
    <row r="16" spans="3:16" ht="50.4" customHeight="1" thickBot="1" x14ac:dyDescent="0.35">
      <c r="C16" s="58" t="s">
        <v>1524</v>
      </c>
      <c r="D16" s="59" t="s">
        <v>1525</v>
      </c>
      <c r="E16" s="59" t="s">
        <v>1526</v>
      </c>
      <c r="F16" s="688" t="str">
        <f>+I27</f>
        <v>ESPERADO ACUMULADO A  DICIEMBRE 2025</v>
      </c>
      <c r="G16" s="60" t="s">
        <v>2483</v>
      </c>
      <c r="H16" s="61" t="s">
        <v>2484</v>
      </c>
      <c r="J16" s="1681" t="s">
        <v>2581</v>
      </c>
      <c r="K16" s="1682"/>
      <c r="O16" s="866"/>
      <c r="P16" s="6"/>
    </row>
    <row r="17" spans="3:16" ht="14.4" customHeight="1" x14ac:dyDescent="0.3">
      <c r="C17" s="1616" t="s">
        <v>1527</v>
      </c>
      <c r="D17" s="1618"/>
      <c r="E17" s="1620" t="s">
        <v>1528</v>
      </c>
      <c r="F17" s="1622" t="s">
        <v>2451</v>
      </c>
      <c r="G17" s="1687">
        <f>+'PLAN DE DESARROLLO 2024 - 2027'!N3</f>
        <v>0.4849477038031102</v>
      </c>
      <c r="H17" s="1690" t="s">
        <v>2499</v>
      </c>
      <c r="J17" s="1683"/>
      <c r="K17" s="1684"/>
      <c r="O17" s="885"/>
    </row>
    <row r="18" spans="3:16" ht="15" customHeight="1" thickBot="1" x14ac:dyDescent="0.35">
      <c r="C18" s="1617"/>
      <c r="D18" s="1619"/>
      <c r="E18" s="1621"/>
      <c r="F18" s="1623"/>
      <c r="G18" s="1688"/>
      <c r="H18" s="1691"/>
      <c r="J18" s="1683"/>
      <c r="K18" s="1684"/>
      <c r="O18" s="885"/>
    </row>
    <row r="19" spans="3:16" ht="24.6" customHeight="1" x14ac:dyDescent="0.3">
      <c r="C19" s="1616" t="s">
        <v>1529</v>
      </c>
      <c r="D19" s="1630"/>
      <c r="E19" s="1620" t="s">
        <v>1530</v>
      </c>
      <c r="F19" s="1632" t="s">
        <v>2450</v>
      </c>
      <c r="G19" s="1688"/>
      <c r="H19" s="1691"/>
      <c r="J19" s="1683"/>
      <c r="K19" s="1684"/>
      <c r="P19" s="6"/>
    </row>
    <row r="20" spans="3:16" ht="15" customHeight="1" thickBot="1" x14ac:dyDescent="0.35">
      <c r="C20" s="1617"/>
      <c r="D20" s="1631"/>
      <c r="E20" s="1621"/>
      <c r="F20" s="1633"/>
      <c r="G20" s="1688"/>
      <c r="H20" s="1691"/>
      <c r="J20" s="1683"/>
      <c r="K20" s="1684"/>
    </row>
    <row r="21" spans="3:16" ht="27" thickBot="1" x14ac:dyDescent="0.35">
      <c r="C21" s="823" t="s">
        <v>1507</v>
      </c>
      <c r="D21" s="17"/>
      <c r="E21" s="21" t="s">
        <v>1531</v>
      </c>
      <c r="F21" s="148" t="s">
        <v>2449</v>
      </c>
      <c r="G21" s="1688"/>
      <c r="H21" s="1691"/>
      <c r="J21" s="1683"/>
      <c r="K21" s="1684"/>
      <c r="P21" s="824"/>
    </row>
    <row r="22" spans="3:16" ht="27" thickBot="1" x14ac:dyDescent="0.35">
      <c r="C22" s="823" t="s">
        <v>1532</v>
      </c>
      <c r="D22" s="19"/>
      <c r="E22" s="18" t="s">
        <v>1533</v>
      </c>
      <c r="F22" s="869" t="s">
        <v>2448</v>
      </c>
      <c r="G22" s="1688"/>
      <c r="H22" s="1691"/>
      <c r="J22" s="1683"/>
      <c r="K22" s="1684"/>
      <c r="P22" s="6"/>
    </row>
    <row r="23" spans="3:16" ht="37.200000000000003" customHeight="1" thickBot="1" x14ac:dyDescent="0.35">
      <c r="C23" s="823" t="s">
        <v>1534</v>
      </c>
      <c r="D23" s="20"/>
      <c r="E23" s="18" t="s">
        <v>1535</v>
      </c>
      <c r="F23" s="149">
        <f>+I29*0.299</f>
        <v>0.14769629270955212</v>
      </c>
      <c r="G23" s="1689"/>
      <c r="H23" s="1692"/>
      <c r="J23" s="1685"/>
      <c r="K23" s="1686"/>
      <c r="O23" s="6"/>
      <c r="P23" s="6"/>
    </row>
    <row r="24" spans="3:16" x14ac:dyDescent="0.3">
      <c r="F24" s="91"/>
    </row>
    <row r="25" spans="3:16" ht="15" thickBot="1" x14ac:dyDescent="0.35">
      <c r="F25" s="107"/>
      <c r="G25" s="107"/>
      <c r="H25" s="712"/>
      <c r="I25" s="107"/>
      <c r="O25" s="107"/>
    </row>
    <row r="26" spans="3:16" ht="49.8" customHeight="1" thickBot="1" x14ac:dyDescent="0.35">
      <c r="C26" s="50" t="s">
        <v>1524</v>
      </c>
      <c r="D26" s="51" t="s">
        <v>1525</v>
      </c>
      <c r="E26" s="52" t="s">
        <v>1526</v>
      </c>
      <c r="H26" s="92"/>
      <c r="M26" s="6"/>
      <c r="N26" s="6"/>
      <c r="P26" s="697"/>
    </row>
    <row r="27" spans="3:16" ht="20.399999999999999" customHeight="1" x14ac:dyDescent="0.3">
      <c r="C27" s="1642" t="s">
        <v>1527</v>
      </c>
      <c r="D27" s="1618"/>
      <c r="E27" s="1620" t="s">
        <v>1528</v>
      </c>
      <c r="G27" s="1634" t="s">
        <v>1976</v>
      </c>
      <c r="H27" s="1634" t="s">
        <v>1977</v>
      </c>
      <c r="I27" s="1634" t="s">
        <v>1983</v>
      </c>
    </row>
    <row r="28" spans="3:16" ht="28.2" customHeight="1" thickBot="1" x14ac:dyDescent="0.35">
      <c r="C28" s="1643"/>
      <c r="D28" s="1619"/>
      <c r="E28" s="1621"/>
      <c r="G28" s="1635"/>
      <c r="H28" s="1635"/>
      <c r="I28" s="1635"/>
      <c r="M28" s="107"/>
    </row>
    <row r="29" spans="3:16" ht="26.4" customHeight="1" x14ac:dyDescent="0.3">
      <c r="C29" s="1642" t="s">
        <v>1529</v>
      </c>
      <c r="D29" s="1630"/>
      <c r="E29" s="1620" t="s">
        <v>1530</v>
      </c>
      <c r="G29" s="1693">
        <v>0.2014</v>
      </c>
      <c r="H29" s="1636">
        <f>+'SEGUIMIENTO DEL PLAN DE DESARRO'!E3</f>
        <v>0.29256753414565928</v>
      </c>
      <c r="I29" s="1636">
        <f>+G29+H29</f>
        <v>0.4939675341456593</v>
      </c>
      <c r="K29" s="6"/>
      <c r="N29" s="6"/>
    </row>
    <row r="30" spans="3:16" ht="25.8" customHeight="1" thickBot="1" x14ac:dyDescent="0.35">
      <c r="C30" s="1643"/>
      <c r="D30" s="1631"/>
      <c r="E30" s="1621"/>
      <c r="G30" s="1694"/>
      <c r="H30" s="1637"/>
      <c r="I30" s="1637"/>
    </row>
    <row r="31" spans="3:16" ht="27" thickBot="1" x14ac:dyDescent="0.35">
      <c r="C31" s="53" t="s">
        <v>1507</v>
      </c>
      <c r="D31" s="17"/>
      <c r="E31" s="54" t="s">
        <v>1531</v>
      </c>
      <c r="L31" s="697"/>
    </row>
    <row r="32" spans="3:16" ht="27" customHeight="1" thickBot="1" x14ac:dyDescent="0.35">
      <c r="C32" s="53" t="s">
        <v>1532</v>
      </c>
      <c r="D32" s="19"/>
      <c r="E32" s="54" t="s">
        <v>1533</v>
      </c>
      <c r="G32" s="1634" t="s">
        <v>1978</v>
      </c>
      <c r="H32" s="1636">
        <f>+H29/4</f>
        <v>7.314188353641482E-2</v>
      </c>
      <c r="J32" s="1664" t="s">
        <v>2271</v>
      </c>
      <c r="K32" s="1665"/>
      <c r="L32" s="1666"/>
      <c r="M32" s="1670">
        <v>0.23949999999999999</v>
      </c>
      <c r="N32" s="1671"/>
    </row>
    <row r="33" spans="3:20" ht="15" customHeight="1" thickBot="1" x14ac:dyDescent="0.35">
      <c r="C33" s="55" t="s">
        <v>1534</v>
      </c>
      <c r="D33" s="56"/>
      <c r="E33" s="57" t="s">
        <v>1535</v>
      </c>
      <c r="G33" s="1635"/>
      <c r="H33" s="1637"/>
      <c r="J33" s="1667"/>
      <c r="K33" s="1668"/>
      <c r="L33" s="1669"/>
      <c r="M33" s="1672"/>
      <c r="N33" s="1673"/>
      <c r="P33" s="6"/>
      <c r="T33" s="697"/>
    </row>
    <row r="34" spans="3:20" ht="14.4" customHeight="1" x14ac:dyDescent="0.3">
      <c r="G34" s="1634" t="s">
        <v>1979</v>
      </c>
      <c r="H34" s="1678">
        <f>+M32-G29</f>
        <v>3.8099999999999995E-2</v>
      </c>
      <c r="J34" s="1664" t="s">
        <v>2314</v>
      </c>
      <c r="K34" s="1665"/>
      <c r="L34" s="1666"/>
      <c r="M34" s="1670">
        <v>0.3135</v>
      </c>
      <c r="N34" s="1671"/>
    </row>
    <row r="35" spans="3:20" ht="15" thickBot="1" x14ac:dyDescent="0.35">
      <c r="G35" s="1638"/>
      <c r="H35" s="1679"/>
      <c r="J35" s="1667"/>
      <c r="K35" s="1668"/>
      <c r="L35" s="1669"/>
      <c r="M35" s="1672"/>
      <c r="N35" s="1673"/>
    </row>
    <row r="36" spans="3:20" ht="15" customHeight="1" thickBot="1" x14ac:dyDescent="0.35">
      <c r="G36" s="1635"/>
      <c r="H36" s="1680"/>
      <c r="J36" s="1664" t="s">
        <v>2343</v>
      </c>
      <c r="K36" s="1665"/>
      <c r="L36" s="1666"/>
      <c r="M36" s="1670">
        <v>0.38419999999999999</v>
      </c>
      <c r="N36" s="1671"/>
    </row>
    <row r="37" spans="3:20" ht="15" customHeight="1" thickBot="1" x14ac:dyDescent="0.35">
      <c r="G37" s="1634" t="s">
        <v>2284</v>
      </c>
      <c r="H37" s="1662">
        <f>+M34-M32</f>
        <v>7.400000000000001E-2</v>
      </c>
      <c r="J37" s="1667"/>
      <c r="K37" s="1668"/>
      <c r="L37" s="1669"/>
      <c r="M37" s="1672"/>
      <c r="N37" s="1673"/>
    </row>
    <row r="38" spans="3:20" ht="24.6" customHeight="1" thickBot="1" x14ac:dyDescent="0.35">
      <c r="G38" s="1635"/>
      <c r="H38" s="1663"/>
      <c r="I38" s="6"/>
      <c r="J38" s="1664" t="s">
        <v>2485</v>
      </c>
      <c r="K38" s="1665"/>
      <c r="L38" s="1666"/>
      <c r="M38" s="1674">
        <f>+G17</f>
        <v>0.4849477038031102</v>
      </c>
      <c r="N38" s="1675"/>
    </row>
    <row r="39" spans="3:20" ht="24.6" customHeight="1" thickBot="1" x14ac:dyDescent="0.35">
      <c r="G39" s="1634" t="s">
        <v>2443</v>
      </c>
      <c r="H39" s="1660">
        <f>+M36-M34</f>
        <v>7.0699999999999985E-2</v>
      </c>
      <c r="I39" s="6"/>
      <c r="J39" s="1667"/>
      <c r="K39" s="1668"/>
      <c r="L39" s="1669"/>
      <c r="M39" s="1676"/>
      <c r="N39" s="1677"/>
    </row>
    <row r="40" spans="3:20" ht="24.6" customHeight="1" thickBot="1" x14ac:dyDescent="0.35">
      <c r="G40" s="1635"/>
      <c r="H40" s="1661"/>
      <c r="I40" s="6"/>
      <c r="K40" s="697"/>
      <c r="L40" s="6"/>
      <c r="Q40" s="6"/>
    </row>
    <row r="41" spans="3:20" ht="24.6" customHeight="1" x14ac:dyDescent="0.3">
      <c r="G41" s="1634" t="s">
        <v>2490</v>
      </c>
      <c r="H41" s="1660">
        <f>+M38-M36</f>
        <v>0.10074770380311021</v>
      </c>
      <c r="I41" s="6"/>
      <c r="K41" s="697"/>
      <c r="L41" s="6"/>
      <c r="Q41" s="697"/>
    </row>
    <row r="42" spans="3:20" ht="24.6" customHeight="1" thickBot="1" x14ac:dyDescent="0.35">
      <c r="G42" s="1635"/>
      <c r="H42" s="1661"/>
      <c r="I42" s="6"/>
      <c r="K42" s="697"/>
      <c r="L42" s="6"/>
      <c r="N42" s="6"/>
      <c r="P42" s="6"/>
    </row>
    <row r="43" spans="3:20" ht="38.4" customHeight="1" thickBot="1" x14ac:dyDescent="0.35">
      <c r="G43" s="1634" t="s">
        <v>1980</v>
      </c>
      <c r="H43" s="1658">
        <f>+H34-H32</f>
        <v>-3.5041883536414825E-2</v>
      </c>
      <c r="J43" s="6"/>
      <c r="M43" s="697"/>
      <c r="N43" s="6"/>
    </row>
    <row r="44" spans="3:20" ht="36.6" customHeight="1" thickBot="1" x14ac:dyDescent="0.45">
      <c r="G44" s="1635"/>
      <c r="H44" s="1659"/>
      <c r="J44" s="811"/>
      <c r="K44" s="1654" t="s">
        <v>2489</v>
      </c>
      <c r="L44" s="1655"/>
      <c r="M44" s="1652">
        <v>0.43159999999999998</v>
      </c>
      <c r="N44" s="1653"/>
    </row>
    <row r="45" spans="3:20" ht="36" customHeight="1" x14ac:dyDescent="0.3">
      <c r="G45" s="1634" t="s">
        <v>2285</v>
      </c>
      <c r="H45" s="1656">
        <f>H37-H32</f>
        <v>8.5811646358519011E-4</v>
      </c>
      <c r="K45" s="712"/>
      <c r="M45" s="697"/>
    </row>
    <row r="46" spans="3:20" ht="15" customHeight="1" thickBot="1" x14ac:dyDescent="0.35">
      <c r="G46" s="1635"/>
      <c r="H46" s="1657"/>
    </row>
    <row r="47" spans="3:20" ht="31.2" customHeight="1" x14ac:dyDescent="0.3">
      <c r="G47" s="1634" t="s">
        <v>2444</v>
      </c>
      <c r="H47" s="1658">
        <f>+H39-H32</f>
        <v>-2.441883536414835E-3</v>
      </c>
      <c r="J47" s="107"/>
      <c r="K47" s="107"/>
      <c r="M47" s="6"/>
      <c r="N47" s="6"/>
    </row>
    <row r="48" spans="3:20" ht="15" thickBot="1" x14ac:dyDescent="0.35">
      <c r="G48" s="1635"/>
      <c r="H48" s="1659"/>
    </row>
    <row r="49" spans="7:8" ht="14.4" customHeight="1" x14ac:dyDescent="0.3">
      <c r="G49" s="1634" t="s">
        <v>2486</v>
      </c>
      <c r="H49" s="1656">
        <f>+H41-H32</f>
        <v>2.7605820266695391E-2</v>
      </c>
    </row>
    <row r="50" spans="7:8" ht="44.4" customHeight="1" thickBot="1" x14ac:dyDescent="0.35">
      <c r="G50" s="1635"/>
      <c r="H50" s="1657"/>
    </row>
    <row r="61" spans="7:8" x14ac:dyDescent="0.3">
      <c r="H61" s="87"/>
    </row>
    <row r="63" spans="7:8" x14ac:dyDescent="0.3">
      <c r="H63" s="87"/>
    </row>
    <row r="67" spans="8:8" x14ac:dyDescent="0.3">
      <c r="H67" s="87"/>
    </row>
  </sheetData>
  <mergeCells count="57">
    <mergeCell ref="J3:K13"/>
    <mergeCell ref="J32:L33"/>
    <mergeCell ref="G32:G33"/>
    <mergeCell ref="H32:H33"/>
    <mergeCell ref="G17:G23"/>
    <mergeCell ref="H17:H23"/>
    <mergeCell ref="G27:G28"/>
    <mergeCell ref="G29:G30"/>
    <mergeCell ref="H27:H28"/>
    <mergeCell ref="H29:H30"/>
    <mergeCell ref="I27:I28"/>
    <mergeCell ref="C3:I3"/>
    <mergeCell ref="D12:D13"/>
    <mergeCell ref="E12:E13"/>
    <mergeCell ref="F11:G11"/>
    <mergeCell ref="F12:G13"/>
    <mergeCell ref="C29:C30"/>
    <mergeCell ref="D29:D30"/>
    <mergeCell ref="E29:E30"/>
    <mergeCell ref="M32:N33"/>
    <mergeCell ref="J16:K23"/>
    <mergeCell ref="F17:F18"/>
    <mergeCell ref="F19:F20"/>
    <mergeCell ref="C17:C18"/>
    <mergeCell ref="E27:E28"/>
    <mergeCell ref="I29:I30"/>
    <mergeCell ref="D17:D18"/>
    <mergeCell ref="E17:E18"/>
    <mergeCell ref="C19:C20"/>
    <mergeCell ref="D19:D20"/>
    <mergeCell ref="E19:E20"/>
    <mergeCell ref="C27:C28"/>
    <mergeCell ref="M34:N35"/>
    <mergeCell ref="J38:L39"/>
    <mergeCell ref="M38:N39"/>
    <mergeCell ref="G34:G36"/>
    <mergeCell ref="H34:H36"/>
    <mergeCell ref="J36:L37"/>
    <mergeCell ref="M36:N37"/>
    <mergeCell ref="G39:G40"/>
    <mergeCell ref="H39:H40"/>
    <mergeCell ref="M44:N44"/>
    <mergeCell ref="K44:L44"/>
    <mergeCell ref="G49:G50"/>
    <mergeCell ref="H49:H50"/>
    <mergeCell ref="D27:D28"/>
    <mergeCell ref="G47:G48"/>
    <mergeCell ref="H47:H48"/>
    <mergeCell ref="H43:H44"/>
    <mergeCell ref="G43:G44"/>
    <mergeCell ref="G41:G42"/>
    <mergeCell ref="H41:H42"/>
    <mergeCell ref="G45:G46"/>
    <mergeCell ref="H45:H46"/>
    <mergeCell ref="G37:G38"/>
    <mergeCell ref="H37:H38"/>
    <mergeCell ref="J34:L3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S155"/>
  <sheetViews>
    <sheetView topLeftCell="A76" zoomScale="40" zoomScaleNormal="40" workbookViewId="0">
      <selection activeCell="C81" sqref="C81:E93"/>
    </sheetView>
  </sheetViews>
  <sheetFormatPr baseColWidth="10" defaultRowHeight="14.4" x14ac:dyDescent="0.3"/>
  <cols>
    <col min="3" max="3" width="58.6640625" customWidth="1"/>
    <col min="4" max="4" width="39" customWidth="1"/>
    <col min="5" max="5" width="57.109375" style="87" customWidth="1"/>
    <col min="6" max="6" width="38.6640625" customWidth="1"/>
    <col min="7" max="9" width="51.33203125" customWidth="1"/>
    <col min="10" max="10" width="29.33203125" customWidth="1"/>
    <col min="11" max="11" width="42.6640625" customWidth="1"/>
    <col min="17" max="17" width="63.5546875" customWidth="1"/>
    <col min="18" max="18" width="38.5546875" customWidth="1"/>
    <col min="19" max="19" width="39.109375" customWidth="1"/>
  </cols>
  <sheetData>
    <row r="2" spans="3:19" ht="14.4" customHeight="1" x14ac:dyDescent="0.3">
      <c r="C2" s="1707" t="s">
        <v>2589</v>
      </c>
      <c r="D2" s="1707"/>
      <c r="E2" s="1707"/>
      <c r="F2" s="1707"/>
      <c r="Q2" s="1701" t="s">
        <v>2591</v>
      </c>
      <c r="R2" s="1702"/>
      <c r="S2" s="1703"/>
    </row>
    <row r="3" spans="3:19" ht="52.95" customHeight="1" x14ac:dyDescent="0.3">
      <c r="C3" s="1707"/>
      <c r="D3" s="1707"/>
      <c r="E3" s="1707"/>
      <c r="F3" s="1707"/>
      <c r="Q3" s="1704"/>
      <c r="R3" s="1705"/>
      <c r="S3" s="1706"/>
    </row>
    <row r="4" spans="3:19" ht="57.6" customHeight="1" x14ac:dyDescent="0.3">
      <c r="C4" s="1289"/>
      <c r="D4" s="1290" t="s">
        <v>2586</v>
      </c>
      <c r="E4" s="1290" t="s">
        <v>2603</v>
      </c>
      <c r="F4" s="1290" t="s">
        <v>2590</v>
      </c>
      <c r="Q4" s="66"/>
      <c r="R4" s="67" t="s">
        <v>2601</v>
      </c>
      <c r="S4" s="67" t="s">
        <v>2592</v>
      </c>
    </row>
    <row r="5" spans="3:19" ht="19.8" x14ac:dyDescent="0.35">
      <c r="C5" s="921" t="str">
        <f>+'PLAN DE DESARROLLO 2024 - 2027'!B4</f>
        <v xml:space="preserve"> SEGURIDAD HUMANA
</v>
      </c>
      <c r="D5" s="1317">
        <f>+'PLAN DE DESARROLLO 2024 - 2027'!H4</f>
        <v>0.79931262285361604</v>
      </c>
      <c r="E5" s="1314">
        <f>+'PLAN DE DESARROLLO 2024 - 2027'!O4</f>
        <v>0.55531722153017071</v>
      </c>
      <c r="F5" s="1315">
        <f>+'PLAN DE DESARROLLO 2024 - 2027'!N4</f>
        <v>0.52039961510956811</v>
      </c>
      <c r="Q5" s="65" t="str">
        <f t="shared" ref="Q5:Q10" si="0">+C5</f>
        <v xml:space="preserve"> SEGURIDAD HUMANA
</v>
      </c>
      <c r="R5" s="1285">
        <f>+'PLAN DE DESARROLLO 2024 - 2027'!I4+'PLAN DE DESARROLLO 2024 - 2027'!J4</f>
        <v>0.44946141749228297</v>
      </c>
      <c r="S5" s="84">
        <f>+'PLAN DE DESARROLLO 2024 - 2027'!R4</f>
        <v>0.52120742165003209</v>
      </c>
    </row>
    <row r="6" spans="3:19" ht="19.8" x14ac:dyDescent="0.3">
      <c r="C6" s="1291" t="str">
        <f>+'PLAN DE DESARROLLO 2024 - 2027'!B5</f>
        <v xml:space="preserve"> Seguridad Ciudadana y Orden Público 
</v>
      </c>
      <c r="D6" s="1318">
        <f>+'PLAN DE DESARROLLO 2024 - 2027'!H5</f>
        <v>0.88249604373855894</v>
      </c>
      <c r="E6" s="1314">
        <f>+'PLAN DE DESARROLLO 2024 - 2027'!O5</f>
        <v>0.65510371930358957</v>
      </c>
      <c r="F6" s="1315">
        <f>+'PLAN DE DESARROLLO 2024 - 2027'!N5</f>
        <v>0.64063194152581171</v>
      </c>
      <c r="Q6" s="2" t="str">
        <f t="shared" si="0"/>
        <v xml:space="preserve"> Seguridad Ciudadana y Orden Público 
</v>
      </c>
      <c r="R6" s="1286">
        <f>+'PLAN DE DESARROLLO 2024 - 2027'!I5+'PLAN DE DESARROLLO 2024 - 2027'!J5</f>
        <v>0.63330030900374967</v>
      </c>
      <c r="S6" s="84">
        <f>+'PLAN DE DESARROLLO 2024 - 2027'!R5</f>
        <v>0.57576906657050364</v>
      </c>
    </row>
    <row r="7" spans="3:19" ht="19.8" x14ac:dyDescent="0.3">
      <c r="C7" s="1291" t="str">
        <f>+'PLAN DE DESARROLLO 2024 - 2027'!B11</f>
        <v xml:space="preserve">Construccion de paz, Derechos Humanos y Convivencia
</v>
      </c>
      <c r="D7" s="1318">
        <f>+'PLAN DE DESARROLLO 2024 - 2027'!H11</f>
        <v>0.79066222089425975</v>
      </c>
      <c r="E7" s="1314">
        <f>+'PLAN DE DESARROLLO 2024 - 2027'!O11</f>
        <v>0.55721489320920936</v>
      </c>
      <c r="F7" s="1315">
        <f>+'PLAN DE DESARROLLO 2024 - 2027'!N11</f>
        <v>0.51564037674127183</v>
      </c>
      <c r="Q7" s="73" t="str">
        <f t="shared" si="0"/>
        <v xml:space="preserve">Construccion de paz, Derechos Humanos y Convivencia
</v>
      </c>
      <c r="R7" s="1286">
        <f>+'PLAN DE DESARROLLO 2024 - 2027'!I11+'PLAN DE DESARROLLO 2024 - 2027'!J11</f>
        <v>0.43724234496124026</v>
      </c>
      <c r="S7" s="84">
        <f>+'PLAN DE DESARROLLO 2024 - 2027'!R11</f>
        <v>0.54219734284707533</v>
      </c>
    </row>
    <row r="8" spans="3:19" ht="19.8" x14ac:dyDescent="0.3">
      <c r="C8" s="1291" t="str">
        <f>+'PLAN DE DESARROLLO 2024 - 2027'!B20</f>
        <v xml:space="preserve"> Salud Pública y Aseguramiento
</v>
      </c>
      <c r="D8" s="1318">
        <f>+'PLAN DE DESARROLLO 2024 - 2027'!H20</f>
        <v>0.7032139679102718</v>
      </c>
      <c r="E8" s="1316">
        <f>+'PLAN DE DESARROLLO 2024 - 2027'!O20</f>
        <v>0.47089768099188162</v>
      </c>
      <c r="F8" s="1315">
        <f>+'PLAN DE DESARROLLO 2024 - 2027'!N20</f>
        <v>0.43842939618684557</v>
      </c>
      <c r="Q8" s="2" t="str">
        <f t="shared" si="0"/>
        <v xml:space="preserve"> Salud Pública y Aseguramiento
</v>
      </c>
      <c r="R8" s="1286">
        <f>+'PLAN DE DESARROLLO 2024 - 2027'!I20+'PLAN DE DESARROLLO 2024 - 2027'!J20</f>
        <v>0.52883823529411766</v>
      </c>
      <c r="S8" s="84">
        <f>+'PLAN DE DESARROLLO 2024 - 2027'!R20</f>
        <v>0.47208931869570703</v>
      </c>
    </row>
    <row r="9" spans="3:19" ht="19.8" x14ac:dyDescent="0.3">
      <c r="C9" s="1291" t="str">
        <f>+'PLAN DE DESARROLLO 2024 - 2027'!B26</f>
        <v xml:space="preserve">Atención Integral a Grupos de Especial Protección
</v>
      </c>
      <c r="D9" s="1318">
        <f>+'PLAN DE DESARROLLO 2024 - 2027'!H26</f>
        <v>0.91385788056208472</v>
      </c>
      <c r="E9" s="1314">
        <f>+'PLAN DE DESARROLLO 2024 - 2027'!O26</f>
        <v>0.6882798055588667</v>
      </c>
      <c r="F9" s="1315">
        <f>+'PLAN DE DESARROLLO 2024 - 2027'!N26</f>
        <v>0.62883910107787166</v>
      </c>
      <c r="Q9" s="2" t="str">
        <f t="shared" si="0"/>
        <v xml:space="preserve">Atención Integral a Grupos de Especial Protección
</v>
      </c>
      <c r="R9" s="1286">
        <f>+'PLAN DE DESARROLLO 2024 - 2027'!I26+'PLAN DE DESARROLLO 2024 - 2027'!J26</f>
        <v>0.49009351856437344</v>
      </c>
      <c r="S9" s="84">
        <f>+'PLAN DE DESARROLLO 2024 - 2027'!R26</f>
        <v>0.52726154508305056</v>
      </c>
    </row>
    <row r="10" spans="3:19" ht="19.8" x14ac:dyDescent="0.3">
      <c r="C10" s="1291" t="str">
        <f>+'PLAN DE DESARROLLO 2024 - 2027'!B34</f>
        <v xml:space="preserve">Superación de la pobreza extrema y soberanía alimentaria
</v>
      </c>
      <c r="D10" s="1318">
        <f>+'PLAN DE DESARROLLO 2024 - 2027'!H34</f>
        <v>0.79616715845974406</v>
      </c>
      <c r="E10" s="1316">
        <f>+'PLAN DE DESARROLLO 2024 - 2027'!O34</f>
        <v>0.50341569509571538</v>
      </c>
      <c r="F10" s="1315">
        <f>+'PLAN DE DESARROLLO 2024 - 2027'!N34</f>
        <v>0.46829141731287866</v>
      </c>
      <c r="Q10" s="2" t="str">
        <f t="shared" si="0"/>
        <v xml:space="preserve">Superación de la pobreza extrema y soberanía alimentaria
</v>
      </c>
      <c r="R10" s="1286">
        <f>+'PLAN DE DESARROLLO 2024 - 2027'!I34+'PLAN DE DESARROLLO 2024 - 2027'!J34</f>
        <v>0.43445002459917403</v>
      </c>
      <c r="S10" s="84">
        <f>+'PLAN DE DESARROLLO 2024 - 2027'!R34</f>
        <v>0.50644210731584249</v>
      </c>
    </row>
    <row r="12" spans="3:19" x14ac:dyDescent="0.3">
      <c r="D12" s="87"/>
      <c r="F12" s="87"/>
    </row>
    <row r="13" spans="3:19" x14ac:dyDescent="0.3">
      <c r="D13" s="87"/>
      <c r="F13" s="87"/>
    </row>
    <row r="29" spans="3:9" x14ac:dyDescent="0.3">
      <c r="D29" s="87"/>
    </row>
    <row r="31" spans="3:9" ht="81.599999999999994" customHeight="1" x14ac:dyDescent="0.3">
      <c r="C31" s="2"/>
      <c r="D31" s="1293" t="s">
        <v>2593</v>
      </c>
      <c r="E31" s="701" t="s">
        <v>2594</v>
      </c>
    </row>
    <row r="32" spans="3:9" ht="31.2" x14ac:dyDescent="0.5">
      <c r="C32" s="63" t="str">
        <f>+'PLAN DE DESARROLLO 2024 - 2027'!B5</f>
        <v xml:space="preserve"> Seguridad Ciudadana y Orden Público 
</v>
      </c>
      <c r="D32" s="1292">
        <f>+S6</f>
        <v>0.57576906657050364</v>
      </c>
      <c r="E32" s="1294">
        <f>+'PLAN DE DESARROLLO 2024 - 2027'!O5</f>
        <v>0.65510371930358957</v>
      </c>
      <c r="G32" s="64" t="s">
        <v>1585</v>
      </c>
      <c r="H32" s="100"/>
      <c r="I32" s="100"/>
    </row>
    <row r="33" spans="3:6" ht="34.950000000000003" customHeight="1" x14ac:dyDescent="0.3">
      <c r="C33" s="68" t="str">
        <f>+'PLAN DE DESARROLLO 2024 - 2027'!B6</f>
        <v xml:space="preserve"> PLAN ESTRATÉGICO DE SEGURIDAD INTEGRAL TITAN 24</v>
      </c>
      <c r="D33" s="1298">
        <f>+'PLAN DE DESARROLLO 2024 - 2027'!R6</f>
        <v>0.40312500000000007</v>
      </c>
      <c r="E33" s="1299">
        <f>+'PLAN DE DESARROLLO 2024 - 2027'!O6</f>
        <v>0.43249999999999994</v>
      </c>
    </row>
    <row r="34" spans="3:6" ht="30" customHeight="1" x14ac:dyDescent="0.3">
      <c r="C34" s="68" t="str">
        <f>+'PLAN DE DESARROLLO 2024 - 2027'!B7</f>
        <v>EL CUERPO DE BOMBEROS AVANZA</v>
      </c>
      <c r="D34" s="1298">
        <f>+'PLAN DE DESARROLLO 2024 - 2027'!R7</f>
        <v>0.64999999999999991</v>
      </c>
      <c r="E34" s="1300">
        <f>+'PLAN DE DESARROLLO 2024 - 2027'!O7</f>
        <v>0.66666666666666663</v>
      </c>
    </row>
    <row r="35" spans="3:6" ht="43.2" x14ac:dyDescent="0.3">
      <c r="C35" s="68" t="str">
        <f>+'PLAN DE DESARROLLO 2024 - 2027'!B8</f>
        <v>SEGURIDAD YA CON DOTACIÓN A LOS ORGANISMOS DE SEGURIDAD, SOCORRO, JUSTICIA Y CONVIVENCIA Y TECNOLOGÍA PARA LA PREVENCIÓN</v>
      </c>
      <c r="D35" s="1298">
        <f>+'PLAN DE DESARROLLO 2024 - 2027'!R8</f>
        <v>0.60071725893871608</v>
      </c>
      <c r="E35" s="1300">
        <f>+'PLAN DE DESARROLLO 2024 - 2027'!O8</f>
        <v>0.70675054096239232</v>
      </c>
    </row>
    <row r="36" spans="3:6" ht="31.95" customHeight="1" x14ac:dyDescent="0.3">
      <c r="C36" s="68" t="str">
        <f>+'PLAN DE DESARROLLO 2024 - 2027'!B9</f>
        <v xml:space="preserve"> SEGURIDAD YA EN LAS PLAYAS DE CARTAGENA</v>
      </c>
      <c r="D36" s="1298">
        <f>+'PLAN DE DESARROLLO 2024 - 2027'!R9</f>
        <v>0.85</v>
      </c>
      <c r="E36" s="1006">
        <f>+'PLAN DE DESARROLLO 2024 - 2027'!O9</f>
        <v>0.75</v>
      </c>
    </row>
    <row r="37" spans="3:6" ht="38.4" customHeight="1" x14ac:dyDescent="0.3">
      <c r="C37" s="68" t="str">
        <f>+'PLAN DE DESARROLLO 2024 - 2027'!B10</f>
        <v xml:space="preserve"> EDUCACIÓN, CULTURA Y SEGURIDAD VIAL PARA AVANZAR</v>
      </c>
      <c r="D37" s="1298">
        <f>+'PLAN DE DESARROLLO 2024 - 2027'!R10</f>
        <v>0.71960138888888892</v>
      </c>
      <c r="E37" s="1300">
        <f>+'PLAN DE DESARROLLO 2024 - 2027'!O10</f>
        <v>0.71960138888888892</v>
      </c>
    </row>
    <row r="47" spans="3:6" ht="76.2" customHeight="1" x14ac:dyDescent="0.3">
      <c r="C47" s="2"/>
      <c r="D47" s="1293" t="s">
        <v>2593</v>
      </c>
      <c r="E47" s="701" t="s">
        <v>2595</v>
      </c>
      <c r="F47" s="62" t="s">
        <v>1585</v>
      </c>
    </row>
    <row r="48" spans="3:6" ht="55.95" customHeight="1" x14ac:dyDescent="0.3">
      <c r="C48" s="1297" t="str">
        <f>+Q7</f>
        <v xml:space="preserve">Construccion de paz, Derechos Humanos y Convivencia
</v>
      </c>
      <c r="D48" s="1295">
        <f>+S7</f>
        <v>0.54219734284707533</v>
      </c>
      <c r="E48" s="1296">
        <f>+'PLAN DE DESARROLLO 2024 - 2027'!O11</f>
        <v>0.55721489320920936</v>
      </c>
    </row>
    <row r="49" spans="3:5" ht="24" customHeight="1" x14ac:dyDescent="0.3">
      <c r="C49" s="68" t="str">
        <f>+'PLAN DE DESARROLLO 2024 - 2027'!B12</f>
        <v xml:space="preserve"> UNA VIDA LIBRE DE VIOLENCIA PARA LAS MUJERES</v>
      </c>
      <c r="D49" s="5">
        <f>+'PLAN DE DESARROLLO 2024 - 2027'!R12</f>
        <v>0.95291999999999999</v>
      </c>
      <c r="E49" s="1006">
        <f>+'PLAN DE DESARROLLO 2024 - 2027'!O12</f>
        <v>0.89826666666666666</v>
      </c>
    </row>
    <row r="50" spans="3:5" ht="31.2" customHeight="1" x14ac:dyDescent="0.3">
      <c r="C50" s="68" t="str">
        <f>+'PLAN DE DESARROLLO 2024 - 2027'!B13</f>
        <v xml:space="preserve"> DERECHO A LA PAZ Y CONVIVENCIA CON EQUIDAD DE GÉNERO</v>
      </c>
      <c r="D50" s="5">
        <f>+'PLAN DE DESARROLLO 2024 - 2027'!R13</f>
        <v>0.57599999999999996</v>
      </c>
      <c r="E50" s="1299">
        <f>+'PLAN DE DESARROLLO 2024 - 2027'!O13</f>
        <v>0.54749999999999999</v>
      </c>
    </row>
    <row r="51" spans="3:5" ht="18" customHeight="1" x14ac:dyDescent="0.3">
      <c r="C51" s="68" t="str">
        <f>+'PLAN DE DESARROLLO 2024 - 2027'!B14</f>
        <v>CARTAGENA AVANZA EN CONVIVENCIA</v>
      </c>
      <c r="D51" s="5">
        <f>+'PLAN DE DESARROLLO 2024 - 2027'!R14</f>
        <v>0.63749999999999996</v>
      </c>
      <c r="E51" s="1300">
        <f>+'PLAN DE DESARROLLO 2024 - 2027'!O14</f>
        <v>0.6875</v>
      </c>
    </row>
    <row r="52" spans="3:5" ht="28.8" x14ac:dyDescent="0.3">
      <c r="C52" s="68" t="str">
        <f>+'PLAN DE DESARROLLO 2024 - 2027'!B15</f>
        <v xml:space="preserve"> AVANZANDO EN EL FORTALECIMIENTO DE CASAS DE JUSTICIA, COMISARÍAS DE FAMILIA E INSPECCIONES DE POLICÍA</v>
      </c>
      <c r="D52" s="5">
        <f>+'PLAN DE DESARROLLO 2024 - 2027'!R15</f>
        <v>0.30189393939393938</v>
      </c>
      <c r="E52" s="1299">
        <f>+'PLAN DE DESARROLLO 2024 - 2027'!O15</f>
        <v>0.4312770562770562</v>
      </c>
    </row>
    <row r="53" spans="3:5" ht="39.6" customHeight="1" x14ac:dyDescent="0.3">
      <c r="C53" s="68" t="str">
        <f>+'PLAN DE DESARROLLO 2024 - 2027'!B16</f>
        <v xml:space="preserve"> ATENCIÓN INTEGRAL A JÓVENES EN SITUACIÓN DE RIESGO SOCIAL</v>
      </c>
      <c r="D53" s="5">
        <f>+'PLAN DE DESARROLLO 2024 - 2027'!R16</f>
        <v>0.51910000000000001</v>
      </c>
      <c r="E53" s="1299">
        <f>+'PLAN DE DESARROLLO 2024 - 2027'!O16</f>
        <v>0.51910000000000001</v>
      </c>
    </row>
    <row r="54" spans="3:5" ht="28.8" x14ac:dyDescent="0.3">
      <c r="C54" s="68" t="str">
        <f>+'PLAN DE DESARROLLO 2024 - 2027'!B17</f>
        <v>ASISTENCIA, ATENCIÓN Y REPARACIÓN EFECTIVA E INTEGRAL A LAS VÍCTIMAS DEL CONFLICTO ARMADO</v>
      </c>
      <c r="D54" s="5">
        <f>+'PLAN DE DESARROLLO 2024 - 2027'!R17</f>
        <v>0.35152500000000009</v>
      </c>
      <c r="E54" s="1301">
        <f>+'PLAN DE DESARROLLO 2024 - 2027'!O17</f>
        <v>0.34340789473684213</v>
      </c>
    </row>
    <row r="55" spans="3:5" ht="18" customHeight="1" x14ac:dyDescent="0.3">
      <c r="C55" s="68" t="str">
        <f>+'PLAN DE DESARROLLO 2024 - 2027'!B18</f>
        <v>DERECHOS HUMANOS PARA LA VIDA DIGNA</v>
      </c>
      <c r="D55" s="5">
        <f>+'PLAN DE DESARROLLO 2024 - 2027'!R18</f>
        <v>0.65691085271317839</v>
      </c>
      <c r="E55" s="1300">
        <f>+'PLAN DE DESARROLLO 2024 - 2027'!O18</f>
        <v>0.65344530577088733</v>
      </c>
    </row>
    <row r="56" spans="3:5" ht="28.8" x14ac:dyDescent="0.3">
      <c r="C56" s="68" t="str">
        <f>+'PLAN DE DESARROLLO 2024 - 2027'!B19</f>
        <v>SISTEMA PENITENCIARIO Y CARCELARIO EN EL MARCO DE LOS DERECHOS HUMANOS</v>
      </c>
      <c r="D56" s="5">
        <f>+'PLAN DE DESARROLLO 2024 - 2027'!R19</f>
        <v>0.22041666666666668</v>
      </c>
      <c r="E56" s="1301">
        <f>+'PLAN DE DESARROLLO 2024 - 2027'!O19</f>
        <v>0.37722222222222224</v>
      </c>
    </row>
    <row r="59" spans="3:5" ht="74.400000000000006" customHeight="1" x14ac:dyDescent="0.3">
      <c r="C59" s="2"/>
      <c r="D59" s="67" t="s">
        <v>2593</v>
      </c>
      <c r="E59" s="700" t="s">
        <v>2596</v>
      </c>
    </row>
    <row r="60" spans="3:5" ht="36" x14ac:dyDescent="0.35">
      <c r="C60" s="70" t="str">
        <f>+Q8</f>
        <v xml:space="preserve"> Salud Pública y Aseguramiento
</v>
      </c>
      <c r="D60" s="1302">
        <f>+S8</f>
        <v>0.47208931869570703</v>
      </c>
      <c r="E60" s="1303">
        <f>+'PLAN DE DESARROLLO 2024 - 2027'!O20</f>
        <v>0.47089768099188162</v>
      </c>
    </row>
    <row r="61" spans="3:5" ht="26.4" customHeight="1" x14ac:dyDescent="0.3">
      <c r="C61" s="68" t="str">
        <f>+'PLAN DE DESARROLLO 2024 - 2027'!B21</f>
        <v xml:space="preserve"> SALUD CON COBERTURA, ACCESIBILIDAD, CALIDAD E INCLUSIÓN</v>
      </c>
      <c r="D61" s="816">
        <f>+'PLAN DE DESARROLLO 2024 - 2027'!R21</f>
        <v>0.41792820200213243</v>
      </c>
      <c r="E61" s="1299">
        <f>+'PLAN DE DESARROLLO 2024 - 2027'!O21</f>
        <v>0.51613215854031502</v>
      </c>
    </row>
    <row r="62" spans="3:5" ht="24.6" customHeight="1" x14ac:dyDescent="0.3">
      <c r="C62" s="68" t="str">
        <f>+'PLAN DE DESARROLLO 2024 - 2027'!B22</f>
        <v xml:space="preserve"> DERECHOS EN SALUD Y PROMOCIÓN SOCIAL</v>
      </c>
      <c r="D62" s="816">
        <f>+'PLAN DE DESARROLLO 2024 - 2027'!R22</f>
        <v>0.5475000000000001</v>
      </c>
      <c r="E62" s="1299">
        <f>+'PLAN DE DESARROLLO 2024 - 2027'!O22</f>
        <v>0.53748333333333331</v>
      </c>
    </row>
    <row r="63" spans="3:5" ht="43.2" x14ac:dyDescent="0.3">
      <c r="C63" s="68" t="str">
        <f>+'PLAN DE DESARROLLO 2024 - 2027'!B23</f>
        <v xml:space="preserve"> FORTALECIMIENTO DEL CENTRO REGULADOR DE URGENCIAS, EMERGENCIAS Y DESASTRES EN EL DISTRITO DE CARTAGENA - CRUED</v>
      </c>
      <c r="D63" s="816">
        <f>+'PLAN DE DESARROLLO 2024 - 2027'!R23</f>
        <v>0.31034482758620691</v>
      </c>
      <c r="E63" s="1299">
        <f>+'PLAN DE DESARROLLO 2024 - 2027'!O23</f>
        <v>0.40086206896551724</v>
      </c>
    </row>
    <row r="64" spans="3:5" ht="28.8" customHeight="1" x14ac:dyDescent="0.3">
      <c r="C64" s="68" t="str">
        <f>+'PLAN DE DESARROLLO 2024 - 2027'!B24</f>
        <v>SALUD PÚBLICA</v>
      </c>
      <c r="D64" s="816">
        <f>+'PLAN DE DESARROLLO 2024 - 2027'!R24</f>
        <v>0.55694991309084985</v>
      </c>
      <c r="E64" s="1300">
        <f>+'PLAN DE DESARROLLO 2024 - 2027'!O24</f>
        <v>0.56876084412024253</v>
      </c>
    </row>
    <row r="65" spans="3:6" ht="33.6" customHeight="1" x14ac:dyDescent="0.3">
      <c r="C65" s="68" t="str">
        <f>+'PLAN DE DESARROLLO 2024 - 2027'!B25</f>
        <v>CEMENTERIOS</v>
      </c>
      <c r="D65" s="816">
        <f>+'PLAN DE DESARROLLO 2024 - 2027'!R25</f>
        <v>0.34499999999999997</v>
      </c>
      <c r="E65" s="1301">
        <f>+'PLAN DE DESARROLLO 2024 - 2027'!O25</f>
        <v>0.33124999999999999</v>
      </c>
    </row>
    <row r="69" spans="3:6" ht="72" customHeight="1" x14ac:dyDescent="0.3">
      <c r="C69" s="2"/>
      <c r="D69" s="67" t="s">
        <v>2593</v>
      </c>
      <c r="E69" s="700" t="s">
        <v>2597</v>
      </c>
      <c r="F69" s="62" t="s">
        <v>1585</v>
      </c>
    </row>
    <row r="70" spans="3:6" ht="69" customHeight="1" x14ac:dyDescent="0.35">
      <c r="C70" s="70" t="str">
        <f>+Q9</f>
        <v xml:space="preserve">Atención Integral a Grupos de Especial Protección
</v>
      </c>
      <c r="D70" s="1302">
        <f>+S9</f>
        <v>0.52726154508305056</v>
      </c>
      <c r="E70" s="1296">
        <f>+'PLAN DE DESARROLLO 2024 - 2027'!O26</f>
        <v>0.6882798055588667</v>
      </c>
    </row>
    <row r="71" spans="3:6" ht="39.6" customHeight="1" x14ac:dyDescent="0.3">
      <c r="C71" s="68" t="str">
        <f>+'PLAN DE DESARROLLO 2024 - 2027'!B27</f>
        <v xml:space="preserve"> FORTALECIMIENTO A LA PROTECCIÓN DIGNA DE LAS PERSONAS MAYORES EN EL DISTRITO DE CARTAGENA</v>
      </c>
      <c r="D71" s="816">
        <f>+'PLAN DE DESARROLLO 2024 - 2027'!R27</f>
        <v>0.50317642713369037</v>
      </c>
      <c r="E71" s="1300">
        <f>+'PLAN DE DESARROLLO 2024 - 2027'!O27</f>
        <v>0.64396646705585314</v>
      </c>
    </row>
    <row r="72" spans="3:6" ht="60" customHeight="1" x14ac:dyDescent="0.3">
      <c r="C72" s="68" t="str">
        <f>+'PLAN DE DESARROLLO 2024 - 2027'!B28</f>
        <v xml:space="preserve"> ASISTENCIA SOCIAL E INCLUYENTE A LAS PERSONAS CON DISCAPACIDAD Y/O SU FAMILIA O CUIDADORES PARA LA SEGURIDAD HUMANA Y BIENESTAR SOCIAL</v>
      </c>
      <c r="D72" s="816">
        <f>+'PLAN DE DESARROLLO 2024 - 2027'!R28</f>
        <v>0.60402665121668608</v>
      </c>
      <c r="E72" s="1300">
        <f>+'PLAN DE DESARROLLO 2024 - 2027'!O28</f>
        <v>0.55779258400927001</v>
      </c>
    </row>
    <row r="73" spans="3:6" ht="28.8" x14ac:dyDescent="0.3">
      <c r="C73" s="68" t="str">
        <f>+'PLAN DE DESARROLLO 2024 - 2027'!B29</f>
        <v xml:space="preserve"> UNIDOS PARA LA INCLUSIÓN PRODUCTIVA DE LAS PERSONAS CON DISCAPACIDAD</v>
      </c>
      <c r="D73" s="816">
        <f>+'PLAN DE DESARROLLO 2024 - 2027'!R29</f>
        <v>0.503</v>
      </c>
      <c r="E73" s="1299">
        <f>+'PLAN DE DESARROLLO 2024 - 2027'!O29</f>
        <v>0.50708333333333333</v>
      </c>
    </row>
    <row r="74" spans="3:6" ht="38.4" customHeight="1" x14ac:dyDescent="0.3">
      <c r="C74" s="68" t="str">
        <f>+'PLAN DE DESARROLLO 2024 - 2027'!B30</f>
        <v xml:space="preserve"> CIUDADANOS HABITANTES DE CALLE CON PROTECCIÓN SOCIAL Y GARANTÍA DE DERECHOS</v>
      </c>
      <c r="D74" s="816">
        <f>+'PLAN DE DESARROLLO 2024 - 2027'!R30</f>
        <v>0.49249999999999999</v>
      </c>
      <c r="E74" s="1300">
        <f>+'PLAN DE DESARROLLO 2024 - 2027'!O30</f>
        <v>0.62812500000000004</v>
      </c>
    </row>
    <row r="75" spans="3:6" ht="20.399999999999999" customHeight="1" x14ac:dyDescent="0.3">
      <c r="C75" s="68" t="str">
        <f>+'PLAN DE DESARROLLO 2024 - 2027'!B31</f>
        <v xml:space="preserve"> ATENCIÓN INTEGRAL AL MIGRANTE</v>
      </c>
      <c r="D75" s="816">
        <f>+'PLAN DE DESARROLLO 2024 - 2027'!R31</f>
        <v>0.67261858825950505</v>
      </c>
      <c r="E75" s="1300">
        <f>+'PLAN DE DESARROLLO 2024 - 2027'!O31</f>
        <v>0.65341144895474268</v>
      </c>
    </row>
    <row r="76" spans="3:6" ht="24" customHeight="1" x14ac:dyDescent="0.3">
      <c r="C76" s="68" t="str">
        <f>+'PLAN DE DESARROLLO 2024 - 2027'!B32</f>
        <v xml:space="preserve"> CARTAGENA DIVERSA</v>
      </c>
      <c r="D76" s="816">
        <f>+'PLAN DE DESARROLLO 2024 - 2027'!R32</f>
        <v>0.49520000000000008</v>
      </c>
      <c r="E76" s="1300">
        <f>+'PLAN DE DESARROLLO 2024 - 2027'!O32</f>
        <v>0.63680000000000003</v>
      </c>
    </row>
    <row r="81" spans="3:6" ht="76.2" customHeight="1" x14ac:dyDescent="0.3">
      <c r="C81" s="2"/>
      <c r="D81" s="67" t="s">
        <v>2593</v>
      </c>
      <c r="E81" s="700" t="s">
        <v>2598</v>
      </c>
      <c r="F81" s="62" t="s">
        <v>1585</v>
      </c>
    </row>
    <row r="82" spans="3:6" ht="54" x14ac:dyDescent="0.35">
      <c r="C82" s="70" t="str">
        <f>+'PLAN DE DESARROLLO 2024 - 2027'!B34</f>
        <v xml:space="preserve">Superación de la pobreza extrema y soberanía alimentaria
</v>
      </c>
      <c r="D82" s="1302">
        <f>+S10</f>
        <v>0.50644210731584249</v>
      </c>
      <c r="E82" s="1303">
        <f>+'PLAN DE DESARROLLO 2024 - 2027'!O34</f>
        <v>0.50341569509571538</v>
      </c>
    </row>
    <row r="83" spans="3:6" ht="28.8" customHeight="1" x14ac:dyDescent="0.3">
      <c r="C83" s="68" t="str">
        <f>+'PLAN DE DESARROLLO 2024 - 2027'!B35</f>
        <v xml:space="preserve"> IDENTIFICACIÓN PARA LA SUPERACIÓN DE LA POBREZA EXTREMA</v>
      </c>
      <c r="D83" s="816">
        <f>+'PLAN DE DESARROLLO 2024 - 2027'!R35</f>
        <v>0.36021249999999994</v>
      </c>
      <c r="E83" s="1301">
        <f>+'PLAN DE DESARROLLO 2024 - 2027'!O35</f>
        <v>0.36443749999999997</v>
      </c>
    </row>
    <row r="84" spans="3:6" ht="37.200000000000003" customHeight="1" x14ac:dyDescent="0.3">
      <c r="C84" s="68" t="str">
        <f>+'PLAN DE DESARROLLO 2024 - 2027'!B36</f>
        <v xml:space="preserve"> SALUD PARA LA SUPERACIÓN DE LA POBREZA EXTREMA</v>
      </c>
      <c r="D84" s="816">
        <f>+'PLAN DE DESARROLLO 2024 - 2027'!R36</f>
        <v>0.81911</v>
      </c>
      <c r="E84" s="1006">
        <f>+'PLAN DE DESARROLLO 2024 - 2027'!O36</f>
        <v>0.82507777777777769</v>
      </c>
    </row>
    <row r="85" spans="3:6" ht="49.2" customHeight="1" x14ac:dyDescent="0.3">
      <c r="C85" s="68" t="str">
        <f>+'PLAN DE DESARROLLO 2024 - 2027'!B37</f>
        <v xml:space="preserve"> EDUCACIÓN PARA LA SUPERACIÓN DE LA POBREZA EXTREMA</v>
      </c>
      <c r="D85" s="816">
        <f>+'PLAN DE DESARROLLO 2024 - 2027'!R37</f>
        <v>0.55898957297130514</v>
      </c>
      <c r="E85" s="1299">
        <f>+'PLAN DE DESARROLLO 2024 - 2027'!O37</f>
        <v>0.53296018049984573</v>
      </c>
    </row>
    <row r="86" spans="3:6" ht="30" customHeight="1" x14ac:dyDescent="0.3">
      <c r="C86" s="68" t="str">
        <f>+'PLAN DE DESARROLLO 2024 - 2027'!B38</f>
        <v xml:space="preserve"> HABITABILIDAD PARA LA SUPERACIÓN DE LA POBREZA EXTREMA</v>
      </c>
      <c r="D86" s="816">
        <f>+'PLAN DE DESARROLLO 2024 - 2027'!R38</f>
        <v>2.5000000000000001E-2</v>
      </c>
      <c r="E86" s="1307">
        <f>+'PLAN DE DESARROLLO 2024 - 2027'!O38</f>
        <v>2.5000000000000001E-2</v>
      </c>
    </row>
    <row r="87" spans="3:6" ht="28.8" x14ac:dyDescent="0.3">
      <c r="C87" s="68" t="str">
        <f>+'PLAN DE DESARROLLO 2024 - 2027'!B39</f>
        <v xml:space="preserve"> INGRESO Y TRABAJO PARA LA SUPERACIÓN DE LA POBREZA EXTREMA</v>
      </c>
      <c r="D87" s="816">
        <f>+'PLAN DE DESARROLLO 2024 - 2027'!R39</f>
        <v>0.59690822368421048</v>
      </c>
      <c r="E87" s="1300">
        <f>+'PLAN DE DESARROLLO 2024 - 2027'!O39</f>
        <v>0.60002302631578952</v>
      </c>
    </row>
    <row r="88" spans="3:6" ht="34.799999999999997" customHeight="1" x14ac:dyDescent="0.3">
      <c r="C88" s="68" t="str">
        <f>+'PLAN DE DESARROLLO 2024 - 2027'!B40</f>
        <v xml:space="preserve"> BANCARIZACIÓN PARA LA SUPERACIÓN DE LA POBREZA EXTREMA</v>
      </c>
      <c r="D88" s="816">
        <f>+'PLAN DE DESARROLLO 2024 - 2027'!R40</f>
        <v>0.13547666666666666</v>
      </c>
      <c r="E88" s="1307">
        <f>+'PLAN DE DESARROLLO 2024 - 2027'!O40</f>
        <v>0.12068333333333334</v>
      </c>
    </row>
    <row r="89" spans="3:6" ht="28.8" x14ac:dyDescent="0.3">
      <c r="C89" s="68" t="str">
        <f>+'PLAN DE DESARROLLO 2024 - 2027'!B41</f>
        <v xml:space="preserve"> DINÁMICA FAMILIAR PARA LA SUPERACIÓN DE LA POBREZA EXTREMA</v>
      </c>
      <c r="D89" s="816">
        <f>+'PLAN DE DESARROLLO 2024 - 2027'!R41</f>
        <v>0.74387545787545784</v>
      </c>
      <c r="E89" s="1300">
        <f>+'PLAN DE DESARROLLO 2024 - 2027'!O41</f>
        <v>0.69858363858363859</v>
      </c>
    </row>
    <row r="90" spans="3:6" ht="28.8" x14ac:dyDescent="0.3">
      <c r="C90" s="68" t="str">
        <f>+'PLAN DE DESARROLLO 2024 - 2027'!B42</f>
        <v xml:space="preserve"> SEGURIDAD ALIMENTARIA Y NUTRICIÓN PARA LA SUPERACIÓN DE LA POBREZA EXTREMA</v>
      </c>
      <c r="D90" s="816">
        <f>+'PLAN DE DESARROLLO 2024 - 2027'!R42</f>
        <v>0.41186666666666666</v>
      </c>
      <c r="E90" s="1299">
        <f>+'PLAN DE DESARROLLO 2024 - 2027'!O42</f>
        <v>0.43686111111111109</v>
      </c>
    </row>
    <row r="91" spans="3:6" ht="28.8" x14ac:dyDescent="0.3">
      <c r="C91" s="68" t="str">
        <f>+'PLAN DE DESARROLLO 2024 - 2027'!B43</f>
        <v xml:space="preserve"> ACCESO A LA JUSTICIA PARA LA SUPERACIÓN DE LA POBREZA EXTREMA</v>
      </c>
      <c r="D91" s="816">
        <f>+'PLAN DE DESARROLLO 2024 - 2027'!R43</f>
        <v>0.59558823529411775</v>
      </c>
      <c r="E91" s="1300">
        <f>+'PLAN DE DESARROLLO 2024 - 2027'!O43</f>
        <v>0.57352941176470584</v>
      </c>
    </row>
    <row r="92" spans="3:6" ht="32.4" customHeight="1" x14ac:dyDescent="0.3">
      <c r="C92" s="68" t="str">
        <f>+'PLAN DE DESARROLLO 2024 - 2027'!B44</f>
        <v xml:space="preserve"> FORTALECIMIENTO INSTITUCIONAL PARA LA SUPERACIÓN DE LA POBREZA EXTREMA</v>
      </c>
      <c r="D92" s="816">
        <f>+'PLAN DE DESARROLLO 2024 - 2027'!R44</f>
        <v>0.57000000000000006</v>
      </c>
      <c r="E92" s="1300">
        <f>+'PLAN DE DESARROLLO 2024 - 2027'!O44</f>
        <v>0.6</v>
      </c>
    </row>
    <row r="93" spans="3:6" ht="43.2" x14ac:dyDescent="0.3">
      <c r="C93" s="68" t="str">
        <f>+'PLAN DE DESARROLLO 2024 - 2027'!B45</f>
        <v xml:space="preserve"> FORTALECIMIENTO INSTITUCIONAL DE RENTA CIUDADANA, RENTA JOVEN Y COLOMBIA MAYOR PARA LA SUPERACIÓN DE LA POBREZA EXTREMA</v>
      </c>
      <c r="D93" s="816">
        <f>+'PLAN DE DESARROLLO 2024 - 2027'!R45</f>
        <v>0.71250000000000002</v>
      </c>
      <c r="E93" s="1006">
        <f>+'PLAN DE DESARROLLO 2024 - 2027'!O45</f>
        <v>0.76041666666666674</v>
      </c>
    </row>
    <row r="95" spans="3:6" x14ac:dyDescent="0.3">
      <c r="E95"/>
    </row>
    <row r="96" spans="3:6" ht="75.599999999999994" customHeight="1" x14ac:dyDescent="0.3">
      <c r="C96" s="2"/>
      <c r="D96" s="700" t="s">
        <v>2599</v>
      </c>
      <c r="E96"/>
    </row>
    <row r="97" spans="3:5" ht="36" x14ac:dyDescent="0.35">
      <c r="C97" s="70" t="str">
        <f t="shared" ref="C97:C102" si="1">+C5</f>
        <v xml:space="preserve"> SEGURIDAD HUMANA
</v>
      </c>
      <c r="D97" s="1308">
        <f>+'PLAN DE DESARROLLO 2024 - 2027'!L4</f>
        <v>0.19121125187168028</v>
      </c>
      <c r="E97"/>
    </row>
    <row r="98" spans="3:5" ht="18" x14ac:dyDescent="0.35">
      <c r="C98" s="2" t="str">
        <f t="shared" si="1"/>
        <v xml:space="preserve"> Seguridad Ciudadana y Orden Público 
</v>
      </c>
      <c r="D98" s="1309">
        <f>+'PLAN DE DESARROLLO 2024 - 2027'!L5</f>
        <v>2.600938597354862E-2</v>
      </c>
      <c r="E98"/>
    </row>
    <row r="99" spans="3:5" ht="18" x14ac:dyDescent="0.35">
      <c r="C99" s="2" t="str">
        <f t="shared" si="1"/>
        <v xml:space="preserve">Construccion de paz, Derechos Humanos y Convivencia
</v>
      </c>
      <c r="D99" s="1310">
        <f>+'PLAN DE DESARROLLO 2024 - 2027'!L11</f>
        <v>8.0256403164495699E-2</v>
      </c>
      <c r="E99"/>
    </row>
    <row r="100" spans="3:5" ht="18" x14ac:dyDescent="0.35">
      <c r="C100" s="2" t="str">
        <f t="shared" si="1"/>
        <v xml:space="preserve"> Salud Pública y Aseguramiento
</v>
      </c>
      <c r="D100" s="1311">
        <f>+'PLAN DE DESARROLLO 2024 - 2027'!L20</f>
        <v>0.21561724085353823</v>
      </c>
      <c r="E100"/>
    </row>
    <row r="101" spans="3:5" ht="18" x14ac:dyDescent="0.35">
      <c r="C101" s="2" t="str">
        <f t="shared" si="1"/>
        <v xml:space="preserve">Atención Integral a Grupos de Especial Protección
</v>
      </c>
      <c r="D101" s="1311">
        <f>+'PLAN DE DESARROLLO 2024 - 2027'!L26</f>
        <v>0.21435420408027589</v>
      </c>
      <c r="E101"/>
    </row>
    <row r="102" spans="3:5" ht="18" x14ac:dyDescent="0.35">
      <c r="C102" s="2" t="str">
        <f t="shared" si="1"/>
        <v xml:space="preserve">Superación de la pobreza extrema y soberanía alimentaria
</v>
      </c>
      <c r="D102" s="1312">
        <f>+'PLAN DE DESARROLLO 2024 - 2027'!L34</f>
        <v>0.17870705917192112</v>
      </c>
      <c r="E102"/>
    </row>
    <row r="103" spans="3:5" x14ac:dyDescent="0.3">
      <c r="E103"/>
    </row>
    <row r="104" spans="3:5" x14ac:dyDescent="0.3">
      <c r="E104"/>
    </row>
    <row r="110" spans="3:5" x14ac:dyDescent="0.3">
      <c r="E110"/>
    </row>
    <row r="111" spans="3:5" x14ac:dyDescent="0.3">
      <c r="E111"/>
    </row>
    <row r="112" spans="3:5" x14ac:dyDescent="0.3">
      <c r="E112"/>
    </row>
    <row r="113" spans="3:5" x14ac:dyDescent="0.3">
      <c r="E113"/>
    </row>
    <row r="114" spans="3:5" x14ac:dyDescent="0.3">
      <c r="E114"/>
    </row>
    <row r="115" spans="3:5" x14ac:dyDescent="0.3">
      <c r="E115"/>
    </row>
    <row r="116" spans="3:5" x14ac:dyDescent="0.3">
      <c r="E116"/>
    </row>
    <row r="117" spans="3:5" x14ac:dyDescent="0.3">
      <c r="E117"/>
    </row>
    <row r="118" spans="3:5" x14ac:dyDescent="0.3">
      <c r="E118"/>
    </row>
    <row r="119" spans="3:5" ht="15" customHeight="1" x14ac:dyDescent="0.3">
      <c r="E119"/>
    </row>
    <row r="120" spans="3:5" x14ac:dyDescent="0.3">
      <c r="E120"/>
    </row>
    <row r="121" spans="3:5" ht="32.4" customHeight="1" x14ac:dyDescent="0.3">
      <c r="E121"/>
    </row>
    <row r="122" spans="3:5" ht="32.4" customHeight="1" x14ac:dyDescent="0.3">
      <c r="E122"/>
    </row>
    <row r="123" spans="3:5" ht="29.4" customHeight="1" x14ac:dyDescent="0.3">
      <c r="E123"/>
    </row>
    <row r="124" spans="3:5" x14ac:dyDescent="0.3">
      <c r="C124" s="1708" t="s">
        <v>1844</v>
      </c>
      <c r="D124" s="1708"/>
      <c r="E124" s="1708"/>
    </row>
    <row r="125" spans="3:5" x14ac:dyDescent="0.3">
      <c r="C125" s="1708"/>
      <c r="D125" s="1708"/>
      <c r="E125" s="1708"/>
    </row>
    <row r="126" spans="3:5" ht="60" customHeight="1" x14ac:dyDescent="0.3">
      <c r="C126" s="98" t="s">
        <v>2261</v>
      </c>
      <c r="D126" s="1304" t="s">
        <v>2600</v>
      </c>
      <c r="E126" s="1305" t="s">
        <v>1586</v>
      </c>
    </row>
    <row r="127" spans="3:5" ht="36" customHeight="1" x14ac:dyDescent="0.3">
      <c r="C127" s="879" t="s">
        <v>1635</v>
      </c>
      <c r="D127" s="1307">
        <f>+E86</f>
        <v>2.5000000000000001E-2</v>
      </c>
      <c r="E127" s="880" t="s">
        <v>2328</v>
      </c>
    </row>
    <row r="128" spans="3:5" ht="58.8" customHeight="1" x14ac:dyDescent="0.3">
      <c r="C128" s="879" t="s">
        <v>1623</v>
      </c>
      <c r="D128" s="1307">
        <f>+E88</f>
        <v>0.12068333333333334</v>
      </c>
      <c r="E128" s="880" t="s">
        <v>2328</v>
      </c>
    </row>
    <row r="129" spans="3:5" ht="28.8" x14ac:dyDescent="0.3">
      <c r="C129" s="68" t="s">
        <v>1603</v>
      </c>
      <c r="D129" s="1301">
        <v>0.34340789473684213</v>
      </c>
      <c r="E129" s="880" t="s">
        <v>12</v>
      </c>
    </row>
    <row r="130" spans="3:5" ht="28.8" x14ac:dyDescent="0.3">
      <c r="C130" s="68" t="s">
        <v>1605</v>
      </c>
      <c r="D130" s="1301">
        <v>0.37722222222222224</v>
      </c>
      <c r="E130" s="880" t="s">
        <v>12</v>
      </c>
    </row>
    <row r="131" spans="3:5" ht="18" x14ac:dyDescent="0.3">
      <c r="C131" s="68" t="s">
        <v>1630</v>
      </c>
      <c r="D131" s="1301">
        <v>0.33124999999999999</v>
      </c>
      <c r="E131" s="880" t="s">
        <v>516</v>
      </c>
    </row>
    <row r="132" spans="3:5" ht="18" x14ac:dyDescent="0.3">
      <c r="C132" s="68" t="s">
        <v>1618</v>
      </c>
      <c r="D132" s="1301">
        <v>0.36443749999999997</v>
      </c>
      <c r="E132" s="880" t="s">
        <v>2328</v>
      </c>
    </row>
    <row r="135" spans="3:5" x14ac:dyDescent="0.3">
      <c r="E135"/>
    </row>
    <row r="136" spans="3:5" x14ac:dyDescent="0.3">
      <c r="E136"/>
    </row>
    <row r="137" spans="3:5" x14ac:dyDescent="0.3">
      <c r="E137"/>
    </row>
    <row r="138" spans="3:5" x14ac:dyDescent="0.3">
      <c r="E138"/>
    </row>
    <row r="139" spans="3:5" x14ac:dyDescent="0.3">
      <c r="E139"/>
    </row>
    <row r="147" spans="5:5" x14ac:dyDescent="0.3">
      <c r="E147"/>
    </row>
    <row r="148" spans="5:5" x14ac:dyDescent="0.3">
      <c r="E148"/>
    </row>
    <row r="149" spans="5:5" x14ac:dyDescent="0.3">
      <c r="E149"/>
    </row>
    <row r="150" spans="5:5" x14ac:dyDescent="0.3">
      <c r="E150"/>
    </row>
    <row r="151" spans="5:5" x14ac:dyDescent="0.3">
      <c r="E151"/>
    </row>
    <row r="152" spans="5:5" x14ac:dyDescent="0.3">
      <c r="E152"/>
    </row>
    <row r="153" spans="5:5" x14ac:dyDescent="0.3">
      <c r="E153"/>
    </row>
    <row r="154" spans="5:5" x14ac:dyDescent="0.3">
      <c r="E154"/>
    </row>
    <row r="155" spans="5:5" x14ac:dyDescent="0.3">
      <c r="E155"/>
    </row>
  </sheetData>
  <mergeCells count="3">
    <mergeCell ref="Q2:S3"/>
    <mergeCell ref="C2:F3"/>
    <mergeCell ref="C124:E12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53"/>
  <sheetViews>
    <sheetView topLeftCell="A115" zoomScale="40" zoomScaleNormal="40" workbookViewId="0">
      <selection activeCell="G146" sqref="G146"/>
    </sheetView>
  </sheetViews>
  <sheetFormatPr baseColWidth="10" defaultRowHeight="14.4" x14ac:dyDescent="0.3"/>
  <cols>
    <col min="3" max="3" width="58.6640625" customWidth="1"/>
    <col min="4" max="4" width="44.88671875" customWidth="1"/>
    <col min="5" max="5" width="65.77734375" customWidth="1"/>
    <col min="6" max="6" width="43.109375" customWidth="1"/>
    <col min="7" max="7" width="60" customWidth="1"/>
    <col min="8" max="8" width="29.33203125" customWidth="1"/>
    <col min="9" max="9" width="42.6640625" customWidth="1"/>
    <col min="13" max="13" width="41.5546875" customWidth="1"/>
    <col min="14" max="14" width="40.33203125" customWidth="1"/>
    <col min="15" max="15" width="40" customWidth="1"/>
  </cols>
  <sheetData>
    <row r="2" spans="3:15" ht="14.4" customHeight="1" x14ac:dyDescent="0.3">
      <c r="C2" s="1715" t="s">
        <v>2602</v>
      </c>
      <c r="D2" s="1716"/>
      <c r="E2" s="1716"/>
      <c r="F2" s="1717"/>
    </row>
    <row r="3" spans="3:15" ht="51.6" customHeight="1" x14ac:dyDescent="0.3">
      <c r="C3" s="1718"/>
      <c r="D3" s="1719"/>
      <c r="E3" s="1719"/>
      <c r="F3" s="1720"/>
      <c r="M3" s="1709" t="s">
        <v>2605</v>
      </c>
      <c r="N3" s="1710"/>
      <c r="O3" s="1711"/>
    </row>
    <row r="4" spans="3:15" ht="57.6" customHeight="1" x14ac:dyDescent="0.3">
      <c r="C4" s="66"/>
      <c r="D4" s="1284" t="s">
        <v>2586</v>
      </c>
      <c r="E4" s="1284" t="s">
        <v>2603</v>
      </c>
      <c r="F4" s="1284" t="s">
        <v>2604</v>
      </c>
      <c r="M4" s="1712"/>
      <c r="N4" s="1713"/>
      <c r="O4" s="1714"/>
    </row>
    <row r="5" spans="3:15" ht="55.95" customHeight="1" x14ac:dyDescent="0.35">
      <c r="C5" s="65" t="str">
        <f>+'PLAN DE DESARROLLO 2024 - 2027'!B46</f>
        <v xml:space="preserve"> VIDA DIGNA
</v>
      </c>
      <c r="D5" s="1320">
        <f>+'PLAN DE DESARROLLO 2024 - 2027'!H46</f>
        <v>0.82276088820641258</v>
      </c>
      <c r="E5" s="1296">
        <f>+'PLAN DE DESARROLLO 2024 - 2027'!O46</f>
        <v>0.56537558510342345</v>
      </c>
      <c r="F5" s="1321">
        <v>0.5127485650474547</v>
      </c>
      <c r="G5" s="697"/>
      <c r="M5" s="66"/>
      <c r="N5" s="67" t="s">
        <v>2601</v>
      </c>
      <c r="O5" s="67" t="s">
        <v>2606</v>
      </c>
    </row>
    <row r="6" spans="3:15" ht="23.4" x14ac:dyDescent="0.35">
      <c r="C6" s="63" t="str">
        <f>+'PLAN DE DESARROLLO 2024 - 2027'!B47</f>
        <v xml:space="preserve"> Educación
</v>
      </c>
      <c r="D6" s="1313">
        <f>+'PLAN DE DESARROLLO 2024 - 2027'!H47</f>
        <v>0.77414858915772211</v>
      </c>
      <c r="E6" s="1326">
        <f>+'PLAN DE DESARROLLO 2024 - 2027'!O47</f>
        <v>0.54582005569608971</v>
      </c>
      <c r="F6" s="1319">
        <v>0.50550379134463475</v>
      </c>
      <c r="G6" s="697"/>
      <c r="M6" s="65" t="str">
        <f t="shared" ref="M6:M12" si="0">+C5</f>
        <v xml:space="preserve"> VIDA DIGNA
</v>
      </c>
      <c r="N6" s="96">
        <f>+'PLAN DE DESARROLLO 2024 - 2027'!I46+'PLAN DE DESARROLLO 2024 - 2027'!J46</f>
        <v>0.46592771805295358</v>
      </c>
      <c r="O6" s="96">
        <f>+'PLAN DE DESARROLLO 2024 - 2027'!R46</f>
        <v>0.53288230613882503</v>
      </c>
    </row>
    <row r="7" spans="3:15" ht="23.4" x14ac:dyDescent="0.35">
      <c r="C7" s="63" t="str">
        <f>+'PLAN DE DESARROLLO 2024 - 2027'!B64</f>
        <v xml:space="preserve"> Acceso a Servicios Básicos
</v>
      </c>
      <c r="D7" s="1313">
        <f>+'PLAN DE DESARROLLO 2024 - 2027'!H64</f>
        <v>0.8285663941096183</v>
      </c>
      <c r="E7" s="1326">
        <f>+'PLAN DE DESARROLLO 2024 - 2027'!O64</f>
        <v>0.51462158645123768</v>
      </c>
      <c r="F7" s="1319">
        <v>0.36954161861032914</v>
      </c>
      <c r="G7" s="697"/>
      <c r="M7" s="2" t="str">
        <f t="shared" si="0"/>
        <v xml:space="preserve"> Educación
</v>
      </c>
      <c r="N7" s="84">
        <f>+'PLAN DE DESARROLLO 2024 - 2027'!I47+'PLAN DE DESARROLLO 2024 - 2027'!J47</f>
        <v>0.58697744868725876</v>
      </c>
      <c r="O7" s="84">
        <f>+'PLAN DE DESARROLLO 2024 - 2027'!R47</f>
        <v>0.49742369396749242</v>
      </c>
    </row>
    <row r="8" spans="3:15" ht="23.4" x14ac:dyDescent="0.35">
      <c r="C8" s="63" t="str">
        <f>+'PLAN DE DESARROLLO 2024 - 2027'!B68</f>
        <v xml:space="preserve"> Vivienda Digna y Hábitat
</v>
      </c>
      <c r="D8" s="1313">
        <f>+'PLAN DE DESARROLLO 2024 - 2027'!H68</f>
        <v>0.58509444444444447</v>
      </c>
      <c r="E8" s="1323">
        <f>+'PLAN DE DESARROLLO 2024 - 2027'!O68</f>
        <v>0.25251470588235292</v>
      </c>
      <c r="F8" s="1319">
        <v>0.2397588235294118</v>
      </c>
      <c r="G8" s="697"/>
      <c r="M8" s="73" t="str">
        <f t="shared" si="0"/>
        <v xml:space="preserve"> Acceso a Servicios Básicos
</v>
      </c>
      <c r="N8" s="84">
        <f>+'PLAN DE DESARROLLO 2024 - 2027'!I64+'PLAN DE DESARROLLO 2024 - 2027'!J64</f>
        <v>0.33422682157751127</v>
      </c>
      <c r="O8" s="84">
        <f>+'PLAN DE DESARROLLO 2024 - 2027'!R64</f>
        <v>0.50564363336259133</v>
      </c>
    </row>
    <row r="9" spans="3:15" ht="23.4" x14ac:dyDescent="0.35">
      <c r="C9" s="63" t="str">
        <f>+'PLAN DE DESARROLLO 2024 - 2027'!B73</f>
        <v xml:space="preserve">Artes, Cultura y Patrimonio
</v>
      </c>
      <c r="D9" s="1313">
        <f>+'PLAN DE DESARROLLO 2024 - 2027'!H73</f>
        <v>0.9703589812832929</v>
      </c>
      <c r="E9" s="1324">
        <f>+'PLAN DE DESARROLLO 2024 - 2027'!O73</f>
        <v>0.68989500147009652</v>
      </c>
      <c r="F9" s="1319">
        <v>0.67944991280412703</v>
      </c>
      <c r="G9" s="697"/>
      <c r="M9" s="2" t="str">
        <f t="shared" si="0"/>
        <v xml:space="preserve"> Vivienda Digna y Hábitat
</v>
      </c>
      <c r="N9" s="84">
        <f>+'PLAN DE DESARROLLO 2024 - 2027'!I68+'PLAN DE DESARROLLO 2024 - 2027'!J68</f>
        <v>0.32045196078431371</v>
      </c>
      <c r="O9" s="84">
        <f>+'PLAN DE DESARROLLO 2024 - 2027'!R68</f>
        <v>0.23122964705882354</v>
      </c>
    </row>
    <row r="10" spans="3:15" ht="23.4" x14ac:dyDescent="0.35">
      <c r="C10" s="63" t="str">
        <f>+'PLAN DE DESARROLLO 2024 - 2027'!B80</f>
        <v xml:space="preserve">Deporte y Recreación
</v>
      </c>
      <c r="D10" s="1313">
        <f>+'PLAN DE DESARROLLO 2024 - 2027'!H80</f>
        <v>0.85953944293246254</v>
      </c>
      <c r="E10" s="1324">
        <f>+'PLAN DE DESARROLLO 2024 - 2027'!O80</f>
        <v>0.6398917654659394</v>
      </c>
      <c r="F10" s="1319">
        <v>0.58130025930285478</v>
      </c>
      <c r="G10" s="697"/>
      <c r="M10" s="2" t="str">
        <f t="shared" si="0"/>
        <v xml:space="preserve">Artes, Cultura y Patrimonio
</v>
      </c>
      <c r="N10" s="84">
        <f>+'PLAN DE DESARROLLO 2024 - 2027'!I73+'PLAN DE DESARROLLO 2024 - 2027'!J73</f>
        <v>0.66691442644710563</v>
      </c>
      <c r="O10" s="84">
        <f>+'PLAN DE DESARROLLO 2024 - 2027'!R73</f>
        <v>0.54159010199257906</v>
      </c>
    </row>
    <row r="11" spans="3:15" ht="23.4" x14ac:dyDescent="0.35">
      <c r="C11" s="63" t="str">
        <f>+'PLAN DE DESARROLLO 2024 - 2027'!B88</f>
        <v xml:space="preserve"> Infancia, Adolescencia y Familia
</v>
      </c>
      <c r="D11" s="1313">
        <f>+'PLAN DE DESARROLLO 2024 - 2027'!H88</f>
        <v>0.91885747731093426</v>
      </c>
      <c r="E11" s="1325">
        <f>+'PLAN DE DESARROLLO 2024 - 2027'!O88</f>
        <v>0.74951039565482447</v>
      </c>
      <c r="F11" s="1319">
        <v>0.70093698469337029</v>
      </c>
      <c r="G11" s="697"/>
      <c r="M11" s="2" t="str">
        <f t="shared" si="0"/>
        <v xml:space="preserve">Deporte y Recreación
</v>
      </c>
      <c r="N11" s="84">
        <f>+'PLAN DE DESARROLLO 2024 - 2027'!I80+'PLAN DE DESARROLLO 2024 - 2027'!J80</f>
        <v>0.51072814095047869</v>
      </c>
      <c r="O11" s="84">
        <f>+'PLAN DE DESARROLLO 2024 - 2027'!R80</f>
        <v>0.57005983057417897</v>
      </c>
    </row>
    <row r="12" spans="3:15" x14ac:dyDescent="0.3">
      <c r="M12" s="2" t="str">
        <f t="shared" si="0"/>
        <v xml:space="preserve"> Infancia, Adolescencia y Familia
</v>
      </c>
      <c r="N12" s="84">
        <f>+'PLAN DE DESARROLLO 2024 - 2027'!I88+'PLAN DE DESARROLLO 2024 - 2027'!J88</f>
        <v>0.46651797413887564</v>
      </c>
      <c r="O12" s="84">
        <f>+'PLAN DE DESARROLLO 2024 - 2027'!R88</f>
        <v>0.7647825899514209</v>
      </c>
    </row>
    <row r="33" spans="3:7" x14ac:dyDescent="0.3">
      <c r="G33" t="s">
        <v>1585</v>
      </c>
    </row>
    <row r="34" spans="3:7" ht="34.950000000000003" customHeight="1" x14ac:dyDescent="0.3"/>
    <row r="36" spans="3:7" ht="50.4" customHeight="1" x14ac:dyDescent="0.3">
      <c r="C36" s="2"/>
      <c r="D36" s="67" t="s">
        <v>2607</v>
      </c>
      <c r="E36" s="700" t="s">
        <v>2608</v>
      </c>
    </row>
    <row r="37" spans="3:7" ht="28.8" customHeight="1" x14ac:dyDescent="0.5">
      <c r="C37" s="63" t="str">
        <f>+M7</f>
        <v xml:space="preserve"> Educación
</v>
      </c>
      <c r="D37" s="1331">
        <f>+O7</f>
        <v>0.49742369396749242</v>
      </c>
      <c r="E37" s="1332">
        <f>+'PLAN DE DESARROLLO 2024 - 2027'!O47</f>
        <v>0.54582005569608971</v>
      </c>
      <c r="F37" s="702"/>
    </row>
    <row r="38" spans="3:7" ht="48.6" customHeight="1" x14ac:dyDescent="0.4">
      <c r="C38" s="101" t="str">
        <f>+'PLAN DE DESARROLLO 2024 - 2027'!B48</f>
        <v xml:space="preserve"> MODERNIZACIÓN DE LA INFRAESTRUCTURA EDUCATIVA</v>
      </c>
      <c r="D38" s="1327">
        <f>+'PLAN DE DESARROLLO 2024 - 2027'!R48</f>
        <v>0.38286666666666669</v>
      </c>
      <c r="E38" s="1333">
        <f>+'PLAN DE DESARROLLO 2024 - 2027'!O48</f>
        <v>0.33427777777777773</v>
      </c>
      <c r="F38" s="702"/>
    </row>
    <row r="39" spans="3:7" ht="33" customHeight="1" x14ac:dyDescent="0.4">
      <c r="C39" s="101" t="str">
        <f>+'PLAN DE DESARROLLO 2024 - 2027'!B49</f>
        <v xml:space="preserve"> AVANZANDO DESDE EL COMIENZO</v>
      </c>
      <c r="D39" s="1327">
        <f>+'PLAN DE DESARROLLO 2024 - 2027'!R49</f>
        <v>0.73452380952380958</v>
      </c>
      <c r="E39" s="1334">
        <f>+'PLAN DE DESARROLLO 2024 - 2027'!O49</f>
        <v>0.69940476190476186</v>
      </c>
      <c r="F39" s="702"/>
    </row>
    <row r="40" spans="3:7" ht="28.8" customHeight="1" x14ac:dyDescent="0.4">
      <c r="C40" s="101" t="str">
        <f>+'PLAN DE DESARROLLO 2024 - 2027'!B50</f>
        <v xml:space="preserve"> ME QUEDO PORQUE ME QUEDO</v>
      </c>
      <c r="D40" s="1327">
        <f>+'PLAN DE DESARROLLO 2024 - 2027'!R50</f>
        <v>0.53328957991303627</v>
      </c>
      <c r="E40" s="1328">
        <f>+'PLAN DE DESARROLLO 2024 - 2027'!O50</f>
        <v>0.4717285462696495</v>
      </c>
      <c r="F40" s="702"/>
    </row>
    <row r="41" spans="3:7" ht="22.8" customHeight="1" x14ac:dyDescent="0.4">
      <c r="C41" s="101" t="str">
        <f>+'PLAN DE DESARROLLO 2024 - 2027'!B51</f>
        <v xml:space="preserve"> YO CUENTO</v>
      </c>
      <c r="D41" s="1327">
        <f>+'PLAN DE DESARROLLO 2024 - 2027'!R51</f>
        <v>0.67562312072525499</v>
      </c>
      <c r="E41" s="1334">
        <f>+'PLAN DE DESARROLLO 2024 - 2027'!O51</f>
        <v>0.66380860664048824</v>
      </c>
      <c r="F41" s="702"/>
    </row>
    <row r="42" spans="3:7" ht="27.6" customHeight="1" x14ac:dyDescent="0.4">
      <c r="C42" s="101" t="str">
        <f>+'PLAN DE DESARROLLO 2024 - 2027'!B52</f>
        <v xml:space="preserve"> ESCUELA HOGAR</v>
      </c>
      <c r="D42" s="1327">
        <f>+'PLAN DE DESARROLLO 2024 - 2027'!R52</f>
        <v>0.90011682242990654</v>
      </c>
      <c r="E42" s="1329">
        <f>+'PLAN DE DESARROLLO 2024 - 2027'!O52</f>
        <v>0.89077102803738317</v>
      </c>
      <c r="F42" s="702"/>
    </row>
    <row r="43" spans="3:7" ht="39" customHeight="1" x14ac:dyDescent="0.4">
      <c r="C43" s="101" t="str">
        <f>+'PLAN DE DESARROLLO 2024 - 2027'!B53</f>
        <v xml:space="preserve"> CARTAGENA TERRITORIO PLURILINGÜE</v>
      </c>
      <c r="D43" s="1327">
        <f>+'PLAN DE DESARROLLO 2024 - 2027'!R53</f>
        <v>0.71393939393939398</v>
      </c>
      <c r="E43" s="1334">
        <f>+'PLAN DE DESARROLLO 2024 - 2027'!O53</f>
        <v>0.64242424242424245</v>
      </c>
      <c r="F43" s="702"/>
    </row>
    <row r="44" spans="3:7" ht="22.8" customHeight="1" x14ac:dyDescent="0.4">
      <c r="C44" s="101" t="str">
        <f>+'PLAN DE DESARROLLO 2024 - 2027'!B54</f>
        <v xml:space="preserve"> CARTAGENA MEJOR EDUCADA</v>
      </c>
      <c r="D44" s="1327">
        <f>+'PLAN DE DESARROLLO 2024 - 2027'!R54</f>
        <v>0.57991048593350381</v>
      </c>
      <c r="E44" s="1334">
        <f>+'PLAN DE DESARROLLO 2024 - 2027'!O54</f>
        <v>0.7199403239556692</v>
      </c>
      <c r="F44" s="702"/>
    </row>
    <row r="45" spans="3:7" ht="33" customHeight="1" x14ac:dyDescent="0.4">
      <c r="C45" s="101" t="str">
        <f>+'PLAN DE DESARROLLO 2024 - 2027'!B55</f>
        <v xml:space="preserve"> LEVANTEMOS LA VOZ</v>
      </c>
      <c r="D45" s="1327">
        <f>+'PLAN DE DESARROLLO 2024 - 2027'!R55</f>
        <v>0.56065490510558669</v>
      </c>
      <c r="E45" s="1334">
        <f>+'PLAN DE DESARROLLO 2024 - 2027'!O55</f>
        <v>0.58843090082865535</v>
      </c>
      <c r="F45" s="702"/>
    </row>
    <row r="46" spans="3:7" ht="33" customHeight="1" x14ac:dyDescent="0.4">
      <c r="C46" s="101" t="s">
        <v>1985</v>
      </c>
      <c r="D46" s="1327">
        <f>+'PLAN DE DESARROLLO 2024 - 2027'!R56</f>
        <v>0.33333333333333331</v>
      </c>
      <c r="E46" s="1333">
        <f>+'PLAN DE DESARROLLO 2024 - 2027'!O56</f>
        <v>0.33333333333333331</v>
      </c>
      <c r="F46" s="702"/>
    </row>
    <row r="47" spans="3:7" ht="29.4" customHeight="1" x14ac:dyDescent="0.4">
      <c r="C47" s="101" t="str">
        <f>+'PLAN DE DESARROLLO 2024 - 2027'!B57</f>
        <v xml:space="preserve"> FORMACIÓN Y CUALIFICACIÓN DE DOCENTES Y DIRECTIVOS DOCENTES</v>
      </c>
      <c r="D47" s="1327">
        <f>+'PLAN DE DESARROLLO 2024 - 2027'!R57</f>
        <v>0.90074999999999994</v>
      </c>
      <c r="E47" s="1329">
        <f>+'PLAN DE DESARROLLO 2024 - 2027'!O57</f>
        <v>0.81716666666666671</v>
      </c>
      <c r="F47" s="702"/>
    </row>
    <row r="48" spans="3:7" ht="39.6" customHeight="1" x14ac:dyDescent="0.4">
      <c r="C48" s="101" t="str">
        <f>+'PLAN DE DESARROLLO 2024 - 2027'!B58</f>
        <v xml:space="preserve"> FORTALECIMIENTO DE LA GESTIÓN ESCOLAR EN LAS INSTITUCIONES EDUCATIVAS OFICIALES</v>
      </c>
      <c r="D48" s="1327">
        <f>+'PLAN DE DESARROLLO 2024 - 2027'!R58</f>
        <v>0.45887850467289726</v>
      </c>
      <c r="E48" s="1333">
        <f>+'PLAN DE DESARROLLO 2024 - 2027'!O58</f>
        <v>0.35591900311526481</v>
      </c>
      <c r="F48" s="702"/>
    </row>
    <row r="49" spans="3:6" ht="39.6" customHeight="1" x14ac:dyDescent="0.4">
      <c r="C49" s="101" t="str">
        <f>+'PLAN DE DESARROLLO 2024 - 2027'!B59</f>
        <v xml:space="preserve"> UNIDOS POR EL SUEÑO SUPERIOR</v>
      </c>
      <c r="D49" s="1327">
        <f>+'PLAN DE DESARROLLO 2024 - 2027'!R59</f>
        <v>0.36099477124183005</v>
      </c>
      <c r="E49" s="1333">
        <f>+'PLAN DE DESARROLLO 2024 - 2027'!O59</f>
        <v>0.34188258636788049</v>
      </c>
      <c r="F49" s="702"/>
    </row>
    <row r="50" spans="3:6" ht="36.6" customHeight="1" x14ac:dyDescent="0.4">
      <c r="C50" s="101" t="str">
        <f>+'PLAN DE DESARROLLO 2024 - 2027'!B60</f>
        <v xml:space="preserve"> AVANZAMOS EN EL FORTALECIMIENTO INSTITUCIONAL DE LA SECRETARÍA DE EDUCACIÓN</v>
      </c>
      <c r="D50" s="1327">
        <f>+'PLAN DE DESARROLLO 2024 - 2027'!R60</f>
        <v>0.50581578947368422</v>
      </c>
      <c r="E50" s="1328">
        <f>+'PLAN DE DESARROLLO 2024 - 2027'!O60</f>
        <v>0.45382894736842105</v>
      </c>
      <c r="F50" s="702"/>
    </row>
    <row r="51" spans="3:6" ht="32.4" customHeight="1" x14ac:dyDescent="0.4">
      <c r="C51" s="101" t="str">
        <f>+'PLAN DE DESARROLLO 2024 - 2027'!B61</f>
        <v xml:space="preserve"> CARTAGENA, TERRITORIO DIGITAL</v>
      </c>
      <c r="D51" s="1327">
        <f>+'PLAN DE DESARROLLO 2024 - 2027'!R61</f>
        <v>0.4882352941176471</v>
      </c>
      <c r="E51" s="1328">
        <f>+'PLAN DE DESARROLLO 2024 - 2027'!O61</f>
        <v>0.51470588235294124</v>
      </c>
      <c r="F51" s="702"/>
    </row>
    <row r="52" spans="3:6" ht="30" customHeight="1" x14ac:dyDescent="0.4">
      <c r="C52" s="101" t="str">
        <f>+'PLAN DE DESARROLLO 2024 - 2027'!B62</f>
        <v xml:space="preserve"> OFERTA ACADÉMICA SUPERIOR CON CALIDAD</v>
      </c>
      <c r="D52" s="1327">
        <f>+'PLAN DE DESARROLLO 2024 - 2027'!R62</f>
        <v>9.6897940913160258E-2</v>
      </c>
      <c r="E52" s="1330">
        <f>+'PLAN DE DESARROLLO 2024 - 2027'!O62</f>
        <v>0.10991495076096687</v>
      </c>
      <c r="F52" s="702"/>
    </row>
    <row r="53" spans="3:6" ht="28.8" customHeight="1" x14ac:dyDescent="0.4">
      <c r="C53" s="101" t="str">
        <f>+'PLAN DE DESARROLLO 2024 - 2027'!B63</f>
        <v xml:space="preserve"> FORMACIÓN TÉCNICA Y COMPLEMENTARIA EN OFICIOS</v>
      </c>
      <c r="D53" s="1327">
        <f>+'PLAN DE DESARROLLO 2024 - 2027'!R63</f>
        <v>0.74558333333333326</v>
      </c>
      <c r="E53" s="1329">
        <f>+'PLAN DE DESARROLLO 2024 - 2027'!O63</f>
        <v>0.79558333333333331</v>
      </c>
      <c r="F53" s="703"/>
    </row>
    <row r="54" spans="3:6" ht="54" customHeight="1" x14ac:dyDescent="0.3">
      <c r="F54" s="702"/>
    </row>
    <row r="56" spans="3:6" ht="54.6" customHeight="1" x14ac:dyDescent="0.3">
      <c r="C56" s="2"/>
      <c r="D56" s="67" t="s">
        <v>2607</v>
      </c>
      <c r="E56" s="700" t="s">
        <v>2609</v>
      </c>
    </row>
    <row r="57" spans="3:6" ht="36" x14ac:dyDescent="0.35">
      <c r="C57" s="70" t="str">
        <f>+'PLAN DE DESARROLLO 2024 - 2027'!B64</f>
        <v xml:space="preserve"> Acceso a Servicios Básicos
</v>
      </c>
      <c r="D57" s="1302">
        <f>+O8</f>
        <v>0.50564363336259133</v>
      </c>
      <c r="E57" s="1303">
        <f>+'PLAN DE DESARROLLO 2024 - 2027'!O64</f>
        <v>0.51462158645123768</v>
      </c>
    </row>
    <row r="58" spans="3:6" ht="36" customHeight="1" x14ac:dyDescent="0.3">
      <c r="C58" s="101" t="str">
        <f>+'PLAN DE DESARROLLO 2024 - 2027'!B65</f>
        <v xml:space="preserve"> ACCESO AL AGUA POTABLE Y SANEAMIENTO BÁSICO</v>
      </c>
      <c r="D58" s="1335">
        <f>+'PLAN DE DESARROLLO 2024 - 2027'!R65</f>
        <v>0.47510073817883236</v>
      </c>
      <c r="E58" s="1337">
        <f>+'PLAN DE DESARROLLO 2024 - 2027'!O65</f>
        <v>0.55263341014736389</v>
      </c>
    </row>
    <row r="59" spans="3:6" ht="28.95" customHeight="1" x14ac:dyDescent="0.3">
      <c r="C59" s="101" t="str">
        <f>+'PLAN DE DESARROLLO 2024 - 2027'!B66</f>
        <v xml:space="preserve"> AVANZAMOS POR UNA CARTAGENA ILUMINADA Y LA TRANSICIÓN ENERGÉTICA</v>
      </c>
      <c r="D59" s="1335">
        <f>+'PLAN DE DESARROLLO 2024 - 2027'!R66</f>
        <v>0.54849107142857145</v>
      </c>
      <c r="E59" s="1337">
        <f>+'PLAN DE DESARROLLO 2024 - 2027'!O66</f>
        <v>0.54849107142857145</v>
      </c>
    </row>
    <row r="60" spans="3:6" ht="30.6" customHeight="1" x14ac:dyDescent="0.4">
      <c r="C60" s="101" t="str">
        <f>+'PLAN DE DESARROLLO 2024 - 2027'!B67</f>
        <v xml:space="preserve"> UNIDOS POR LA GESTIÓN DE LOS RESIDUOS Y EL DESARROLLO SOSTENIBLE</v>
      </c>
      <c r="D60" s="1335">
        <f>+'PLAN DE DESARROLLO 2024 - 2027'!R67</f>
        <v>0.49128833333333338</v>
      </c>
      <c r="E60" s="1328">
        <f>+'PLAN DE DESARROLLO 2024 - 2027'!O67</f>
        <v>0.44274027777777775</v>
      </c>
    </row>
    <row r="61" spans="3:6" x14ac:dyDescent="0.3">
      <c r="C61" s="74"/>
      <c r="D61" s="99"/>
      <c r="E61" s="99"/>
    </row>
    <row r="62" spans="3:6" x14ac:dyDescent="0.3">
      <c r="C62" s="74"/>
      <c r="D62" s="99"/>
      <c r="E62" s="99"/>
    </row>
    <row r="63" spans="3:6" x14ac:dyDescent="0.3">
      <c r="C63" s="74"/>
      <c r="D63" s="99"/>
      <c r="E63" s="99"/>
    </row>
    <row r="64" spans="3:6" x14ac:dyDescent="0.3">
      <c r="C64" s="74"/>
      <c r="D64" s="99"/>
      <c r="E64" s="99"/>
    </row>
    <row r="65" spans="3:6" x14ac:dyDescent="0.3">
      <c r="C65" s="74"/>
      <c r="D65" s="99"/>
      <c r="E65" s="99"/>
    </row>
    <row r="66" spans="3:6" x14ac:dyDescent="0.3">
      <c r="D66" s="99"/>
      <c r="E66" s="99"/>
    </row>
    <row r="71" spans="3:6" ht="55.2" customHeight="1" x14ac:dyDescent="0.3">
      <c r="C71" s="2"/>
      <c r="D71" s="67" t="s">
        <v>2607</v>
      </c>
      <c r="E71" s="700" t="s">
        <v>2610</v>
      </c>
    </row>
    <row r="72" spans="3:6" ht="69" customHeight="1" x14ac:dyDescent="0.35">
      <c r="C72" s="70" t="str">
        <f>+'PLAN DE DESARROLLO 2024 - 2027'!B68</f>
        <v xml:space="preserve"> Vivienda Digna y Hábitat
</v>
      </c>
      <c r="D72" s="1302">
        <f>+O9</f>
        <v>0.23122964705882354</v>
      </c>
      <c r="E72" s="1322">
        <f>+'PLAN DE DESARROLLO 2024 - 2027'!O68</f>
        <v>0.25251470588235292</v>
      </c>
    </row>
    <row r="73" spans="3:6" ht="19.8" x14ac:dyDescent="0.3">
      <c r="C73" s="101" t="str">
        <f>+'PLAN DE DESARROLLO 2024 - 2027'!B69</f>
        <v xml:space="preserve"> UNIDOS POR UNA VIVIENDA PARA TI</v>
      </c>
      <c r="D73" s="1335">
        <f>+'PLAN DE DESARROLLO 2024 - 2027'!R69</f>
        <v>8.6699999999999999E-2</v>
      </c>
      <c r="E73" s="1339">
        <f>+'PLAN DE DESARROLLO 2024 - 2027'!O69</f>
        <v>8.6699999999999999E-2</v>
      </c>
    </row>
    <row r="74" spans="3:6" ht="24.6" customHeight="1" x14ac:dyDescent="0.3">
      <c r="C74" s="101" t="str">
        <f>+'PLAN DE DESARROLLO 2024 - 2027'!B70</f>
        <v xml:space="preserve"> MI CASA AVANZA</v>
      </c>
      <c r="D74" s="1335">
        <f>+'PLAN DE DESARROLLO 2024 - 2027'!R70</f>
        <v>0.28572549019607846</v>
      </c>
      <c r="E74" s="1340">
        <f>+'PLAN DE DESARROLLO 2024 - 2027'!O70</f>
        <v>0.28572549019607846</v>
      </c>
    </row>
    <row r="75" spans="3:6" ht="19.8" x14ac:dyDescent="0.3">
      <c r="C75" s="101" t="str">
        <f>+'PLAN DE DESARROLLO 2024 - 2027'!B71</f>
        <v xml:space="preserve"> MI CASA CON PROPIEDAD</v>
      </c>
      <c r="D75" s="1335">
        <f>+'PLAN DE DESARROLLO 2024 - 2027'!R71</f>
        <v>0.31440000000000001</v>
      </c>
      <c r="E75" s="1340">
        <f>+'PLAN DE DESARROLLO 2024 - 2027'!O71</f>
        <v>0.31440000000000001</v>
      </c>
    </row>
    <row r="76" spans="3:6" ht="19.8" x14ac:dyDescent="0.3">
      <c r="C76" s="101" t="str">
        <f>+'PLAN DE DESARROLLO 2024 - 2027'!B72</f>
        <v xml:space="preserve"> MI TERRITORIO EN ORDEN</v>
      </c>
      <c r="D76" s="1335">
        <f>+'PLAN DE DESARROLLO 2024 - 2027'!R72</f>
        <v>0.28311000000000003</v>
      </c>
      <c r="E76" s="1340">
        <f>+'PLAN DE DESARROLLO 2024 - 2027'!O72</f>
        <v>0.32323333333333332</v>
      </c>
    </row>
    <row r="80" spans="3:6" ht="58.95" customHeight="1" x14ac:dyDescent="0.3">
      <c r="C80" s="2"/>
      <c r="D80" s="67" t="s">
        <v>2607</v>
      </c>
      <c r="E80" s="700" t="s">
        <v>2611</v>
      </c>
      <c r="F80" s="62" t="s">
        <v>1585</v>
      </c>
    </row>
    <row r="81" spans="3:6" ht="36" x14ac:dyDescent="0.35">
      <c r="C81" s="70" t="str">
        <f>+'PLAN DE DESARROLLO 2024 - 2027'!B73</f>
        <v xml:space="preserve">Artes, Cultura y Patrimonio
</v>
      </c>
      <c r="D81" s="1342">
        <f>+O10</f>
        <v>0.54159010199257906</v>
      </c>
      <c r="E81" s="1296">
        <f>+'PLAN DE DESARROLLO 2024 - 2027'!O73</f>
        <v>0.68989500147009652</v>
      </c>
    </row>
    <row r="82" spans="3:6" ht="33" customHeight="1" x14ac:dyDescent="0.3">
      <c r="C82" s="101" t="str">
        <f>+'PLAN DE DESARROLLO 2024 - 2027'!B74</f>
        <v xml:space="preserve"> ESCENARIOS CULTURALES VIVOS PARA TRANSFORMAR</v>
      </c>
      <c r="D82" s="1341">
        <f>+'PLAN DE DESARROLLO 2024 - 2027'!R74</f>
        <v>0.53086108071600402</v>
      </c>
      <c r="E82" s="1344">
        <f>+'PLAN DE DESARROLLO 2024 - 2027'!O74</f>
        <v>0.60702611846159371</v>
      </c>
    </row>
    <row r="83" spans="3:6" ht="55.2" customHeight="1" x14ac:dyDescent="0.3">
      <c r="C83" s="101" t="str">
        <f>+'PLAN DE DESARROLLO 2024 - 2027'!B75</f>
        <v xml:space="preserve"> DEMOCRATIZACIÓN DE LA CULTURA: ESTÍMULOS PARA EL FOMENTO Y DESARROLLO ARTÍSTICO, CULTURAL Y CREATIVO.</v>
      </c>
      <c r="D83" s="1341">
        <f>+'PLAN DE DESARROLLO 2024 - 2027'!R75</f>
        <v>0.99</v>
      </c>
      <c r="E83" s="1336">
        <f>+'PLAN DE DESARROLLO 2024 - 2027'!O75</f>
        <v>0.99</v>
      </c>
    </row>
    <row r="84" spans="3:6" ht="22.95" customHeight="1" x14ac:dyDescent="0.3">
      <c r="C84" s="101" t="str">
        <f>+'PLAN DE DESARROLLO 2024 - 2027'!B76</f>
        <v xml:space="preserve"> FORMACIÓN ARTÍSTICA Y CULTURAL</v>
      </c>
      <c r="D84" s="1341">
        <f>+'PLAN DE DESARROLLO 2024 - 2027'!R76</f>
        <v>0.59612777777777781</v>
      </c>
      <c r="E84" s="1344">
        <f>+'PLAN DE DESARROLLO 2024 - 2027'!O76</f>
        <v>0.67138888888888892</v>
      </c>
    </row>
    <row r="85" spans="3:6" ht="34.950000000000003" customHeight="1" x14ac:dyDescent="0.3">
      <c r="C85" s="101" t="str">
        <f>+'PLAN DE DESARROLLO 2024 - 2027'!B77</f>
        <v xml:space="preserve"> DERECHOS CULTURALES Y FORTALECIMIENTO INSTITUCIONAL PARA LA GOBERNANZA</v>
      </c>
      <c r="D85" s="1341">
        <f>+'PLAN DE DESARROLLO 2024 - 2027'!R77</f>
        <v>0.66539999999999999</v>
      </c>
      <c r="E85" s="1344">
        <f>+'PLAN DE DESARROLLO 2024 - 2027'!O77</f>
        <v>0.6654000000000001</v>
      </c>
    </row>
    <row r="86" spans="3:6" ht="30.6" customHeight="1" x14ac:dyDescent="0.3">
      <c r="C86" s="101" t="str">
        <f>+'PLAN DE DESARROLLO 2024 - 2027'!B78</f>
        <v xml:space="preserve"> CARTAGENA BRILLA CON SU CULTURA Y PATRIMONIO MATERIAL E INMATERIAL</v>
      </c>
      <c r="D86" s="1341">
        <f>+'PLAN DE DESARROLLO 2024 - 2027'!R78</f>
        <v>0.63483000000000012</v>
      </c>
      <c r="E86" s="1337">
        <f>+'PLAN DE DESARROLLO 2024 - 2027'!O78</f>
        <v>0.51566000000000001</v>
      </c>
    </row>
    <row r="91" spans="3:6" ht="82.95" customHeight="1" x14ac:dyDescent="0.3">
      <c r="C91" s="2"/>
      <c r="D91" s="67" t="s">
        <v>2607</v>
      </c>
      <c r="E91" s="700" t="s">
        <v>2612</v>
      </c>
      <c r="F91" s="62" t="s">
        <v>1585</v>
      </c>
    </row>
    <row r="92" spans="3:6" ht="45" customHeight="1" x14ac:dyDescent="0.35">
      <c r="C92" s="70" t="str">
        <f>+'PLAN DE DESARROLLO 2024 - 2027'!B80</f>
        <v xml:space="preserve">Deporte y Recreación
</v>
      </c>
      <c r="D92" s="1302">
        <f>+O11</f>
        <v>0.57005983057417897</v>
      </c>
      <c r="E92" s="1296">
        <f>+'PLAN DE DESARROLLO 2024 - 2027'!O80</f>
        <v>0.6398917654659394</v>
      </c>
    </row>
    <row r="93" spans="3:6" ht="82.8" customHeight="1" x14ac:dyDescent="0.3">
      <c r="C93" s="101" t="str">
        <f>+'PLAN DE DESARROLLO 2024 - 2027'!B81</f>
        <v xml:space="preserve"> FORTALECIMIENTO Y MANTENIMIENTO DE LA RED DE INFRAESTRUCTURA DEPORTIVA DEL DISTRITO</v>
      </c>
      <c r="D93" s="1335">
        <f>+'PLAN DE DESARROLLO 2024 - 2027'!R81</f>
        <v>0.51874999999999993</v>
      </c>
      <c r="E93" s="1337">
        <f>+'PLAN DE DESARROLLO 2024 - 2027'!O81</f>
        <v>0.51874999999999993</v>
      </c>
    </row>
    <row r="94" spans="3:6" ht="30.6" customHeight="1" x14ac:dyDescent="0.3">
      <c r="C94" s="101" t="str">
        <f>+'PLAN DE DESARROLLO 2024 - 2027'!B82</f>
        <v xml:space="preserve"> FOMENTO AL DEPORTE DE ALTO RENDIMIENTO</v>
      </c>
      <c r="D94" s="1335">
        <f>+'PLAN DE DESARROLLO 2024 - 2027'!R82</f>
        <v>0.37106007067137808</v>
      </c>
      <c r="E94" s="1340">
        <f>+'PLAN DE DESARROLLO 2024 - 2027'!O82</f>
        <v>0.37932862190812722</v>
      </c>
    </row>
    <row r="95" spans="3:6" ht="52.95" customHeight="1" x14ac:dyDescent="0.3">
      <c r="C95" s="101" t="str">
        <f>+'PLAN DE DESARROLLO 2024 - 2027'!B83</f>
        <v xml:space="preserve"> FORTALECIMIENTO DEL CAPITAL HUMANO A TRAVÉS DE LAS CIENCIAS APLICADAS AL DEPORTE Y LA RECREACIÓN.</v>
      </c>
      <c r="D95" s="1335">
        <f>+'PLAN DE DESARROLLO 2024 - 2027'!R83</f>
        <v>0.61000697674418602</v>
      </c>
      <c r="E95" s="1344">
        <f>+'PLAN DE DESARROLLO 2024 - 2027'!O83</f>
        <v>0.61429069767441868</v>
      </c>
    </row>
    <row r="96" spans="3:6" ht="54.6" customHeight="1" x14ac:dyDescent="0.3">
      <c r="C96" s="101" t="str">
        <f>+'PLAN DE DESARROLLO 2024 - 2027'!B84</f>
        <v xml:space="preserve"> FORTALECIMIENTO DEL DEPORTE FORMATIVO, ESTUDIANTIL Y LA EDUCACIÓN FÍSICA EXTRAESCOLAR</v>
      </c>
      <c r="D96" s="1335">
        <f>+'PLAN DE DESARROLLO 2024 - 2027'!R84</f>
        <v>0.76228598081023446</v>
      </c>
      <c r="E96" s="1336">
        <f>+'PLAN DE DESARROLLO 2024 - 2027'!O84</f>
        <v>0.79285970149253737</v>
      </c>
    </row>
    <row r="97" spans="3:5" ht="45" customHeight="1" x14ac:dyDescent="0.3">
      <c r="C97" s="101" t="str">
        <f>+'PLAN DE DESARROLLO 2024 - 2027'!B85</f>
        <v xml:space="preserve"> FORTALECIMIENTO DEL DEPORTE SOCIAL COMUNITARIO, AVANZAR EN NUESTRO TERRITORIO</v>
      </c>
      <c r="D97" s="1335">
        <f>+'PLAN DE DESARROLLO 2024 - 2027'!R85</f>
        <v>0.56947540983606559</v>
      </c>
      <c r="E97" s="1344">
        <f>+'PLAN DE DESARROLLO 2024 - 2027'!O85</f>
        <v>0.56947540983606559</v>
      </c>
    </row>
    <row r="98" spans="3:5" ht="43.2" x14ac:dyDescent="0.3">
      <c r="C98" s="101" t="str">
        <f>+'PLAN DE DESARROLLO 2024 - 2027'!B86</f>
        <v xml:space="preserve"> PROMOCIÓN DE HÁBITOS Y ESTILOS DE VIDA SALUDABLE, RECREACIÓN, ACTIVIDAD FÍSICA Y EL APROVECHAMIENTO DEL TIEMPO LIBRE EN EL DISTRITO DE CARTAGENA</v>
      </c>
      <c r="D98" s="1335">
        <f>+'PLAN DE DESARROLLO 2024 - 2027'!R86</f>
        <v>0.77103736111111121</v>
      </c>
      <c r="E98" s="1336">
        <f>+'PLAN DE DESARROLLO 2024 - 2027'!O86</f>
        <v>0.77898472222222215</v>
      </c>
    </row>
    <row r="99" spans="3:5" ht="34.200000000000003" customHeight="1" x14ac:dyDescent="0.3">
      <c r="C99" s="101" t="str">
        <f>+'PLAN DE DESARROLLO 2024 - 2027'!B87</f>
        <v xml:space="preserve"> CARTAGENA CIUDAD DESTINO DE TURISMO DEPORTIVO</v>
      </c>
      <c r="D99" s="1335">
        <f>+'PLAN DE DESARROLLO 2024 - 2027'!R87</f>
        <v>0.86009487179487176</v>
      </c>
      <c r="E99" s="1336">
        <f>+'PLAN DE DESARROLLO 2024 - 2027'!O87</f>
        <v>0.82555320512820507</v>
      </c>
    </row>
    <row r="100" spans="3:5" ht="18" x14ac:dyDescent="0.35">
      <c r="C100" s="75"/>
      <c r="D100" s="76"/>
    </row>
    <row r="101" spans="3:5" ht="18" x14ac:dyDescent="0.35">
      <c r="C101" s="75"/>
      <c r="D101" s="76"/>
    </row>
    <row r="102" spans="3:5" ht="44.4" customHeight="1" x14ac:dyDescent="0.3">
      <c r="C102" s="2"/>
      <c r="D102" s="67" t="s">
        <v>2607</v>
      </c>
      <c r="E102" s="700" t="s">
        <v>2613</v>
      </c>
    </row>
    <row r="103" spans="3:5" ht="36" x14ac:dyDescent="0.35">
      <c r="C103" s="70" t="str">
        <f>+'PLAN DE DESARROLLO 2024 - 2027'!B88</f>
        <v xml:space="preserve"> Infancia, Adolescencia y Familia
</v>
      </c>
      <c r="D103" s="1302">
        <f>+O12</f>
        <v>0.7647825899514209</v>
      </c>
      <c r="E103" s="1343">
        <f>+'PLAN DE DESARROLLO 2024 - 2027'!O88</f>
        <v>0.74951039565482447</v>
      </c>
    </row>
    <row r="104" spans="3:5" ht="42.6" customHeight="1" x14ac:dyDescent="0.3">
      <c r="C104" s="101" t="str">
        <f>+'PLAN DE DESARROLLO 2024 - 2027'!B89</f>
        <v xml:space="preserve"> ENTORNOS SEGUROS PARA LA PRIMERA INFANCIA</v>
      </c>
      <c r="D104" s="1335">
        <f>+'PLAN DE DESARROLLO 2024 - 2027'!Q89</f>
        <v>0.78121367009638698</v>
      </c>
      <c r="E104" s="1336">
        <f>+'PLAN DE DESARROLLO 2024 - 2027'!O89</f>
        <v>0.74748415021499104</v>
      </c>
    </row>
    <row r="105" spans="3:5" ht="38.4" customHeight="1" x14ac:dyDescent="0.3">
      <c r="C105" s="101" t="str">
        <f>+'PLAN DE DESARROLLO 2024 - 2027'!B90</f>
        <v xml:space="preserve"> AVANZANDO HACIA UNA INFANCIA Y ADOLESCENCIA PROTEGIDA Y SIN VIOLENCIAS</v>
      </c>
      <c r="D105" s="1335">
        <f>+'PLAN DE DESARROLLO 2024 - 2027'!Q90</f>
        <v>0.46282430555555554</v>
      </c>
      <c r="E105" s="1344">
        <f>+'PLAN DE DESARROLLO 2024 - 2027'!O90</f>
        <v>0.60396180555555556</v>
      </c>
    </row>
    <row r="106" spans="3:5" ht="39.6" customHeight="1" x14ac:dyDescent="0.3">
      <c r="C106" s="101" t="str">
        <f>+'PLAN DE DESARROLLO 2024 - 2027'!B91</f>
        <v xml:space="preserve"> JUGANDO Y PARTICIPANDO LOS DERECHOS DE LA NIÑEZ VAMOS IMPULSANDO</v>
      </c>
      <c r="D106" s="1335">
        <f>+'PLAN DE DESARROLLO 2024 - 2027'!Q91</f>
        <v>0.87477984817115262</v>
      </c>
      <c r="E106" s="1336">
        <f>+'PLAN DE DESARROLLO 2024 - 2027'!O91</f>
        <v>0.8970852311939268</v>
      </c>
    </row>
    <row r="107" spans="3:5" ht="18" x14ac:dyDescent="0.35">
      <c r="C107" s="75"/>
      <c r="D107" s="76"/>
    </row>
    <row r="108" spans="3:5" ht="18" x14ac:dyDescent="0.35">
      <c r="C108" s="75"/>
      <c r="D108" s="76"/>
    </row>
    <row r="109" spans="3:5" ht="18" x14ac:dyDescent="0.35">
      <c r="C109" s="75"/>
      <c r="D109" s="76"/>
    </row>
    <row r="110" spans="3:5" ht="18" x14ac:dyDescent="0.35">
      <c r="C110" s="75"/>
      <c r="D110" s="76"/>
    </row>
    <row r="113" spans="3:4" ht="57.6" customHeight="1" x14ac:dyDescent="0.3">
      <c r="C113" s="2"/>
      <c r="D113" s="700" t="s">
        <v>2614</v>
      </c>
    </row>
    <row r="114" spans="3:4" ht="37.799999999999997" x14ac:dyDescent="0.5">
      <c r="C114" s="70" t="str">
        <f>+C5</f>
        <v xml:space="preserve"> VIDA DIGNA
</v>
      </c>
      <c r="D114" s="1346">
        <f>+'PLAN DE DESARROLLO 2024 - 2027'!L46</f>
        <v>0.27856668470614288</v>
      </c>
    </row>
    <row r="115" spans="3:4" ht="23.4" x14ac:dyDescent="0.45">
      <c r="C115" s="104" t="str">
        <f>+M7</f>
        <v xml:space="preserve"> Educación
</v>
      </c>
      <c r="D115" s="1347">
        <f>+'PLAN DE DESARROLLO 2024 - 2027'!L47</f>
        <v>0.31459107233382766</v>
      </c>
    </row>
    <row r="116" spans="3:4" ht="23.4" x14ac:dyDescent="0.45">
      <c r="C116" s="104" t="str">
        <f>+M8</f>
        <v xml:space="preserve"> Acceso a Servicios Básicos
</v>
      </c>
      <c r="D116" s="1348">
        <f>+'PLAN DE DESARROLLO 2024 - 2027'!L64</f>
        <v>0.36923564775930373</v>
      </c>
    </row>
    <row r="117" spans="3:4" ht="23.4" x14ac:dyDescent="0.45">
      <c r="C117" s="104" t="str">
        <f>+M9</f>
        <v xml:space="preserve"> Vivienda Digna y Hábitat
</v>
      </c>
      <c r="D117" s="1347">
        <f>+'PLAN DE DESARROLLO 2024 - 2027'!L68</f>
        <v>0.27728498276195812</v>
      </c>
    </row>
    <row r="118" spans="3:4" ht="23.4" x14ac:dyDescent="0.45">
      <c r="C118" s="104" t="str">
        <f>+M10</f>
        <v xml:space="preserve">Artes, Cultura y Patrimonio
</v>
      </c>
      <c r="D118" s="1349">
        <f>+'PLAN DE DESARROLLO 2024 - 2027'!L73</f>
        <v>0.18142593292338735</v>
      </c>
    </row>
    <row r="119" spans="3:4" ht="23.4" x14ac:dyDescent="0.45">
      <c r="C119" s="104" t="str">
        <f>+M12</f>
        <v xml:space="preserve"> Infancia, Adolescencia y Familia
</v>
      </c>
      <c r="D119" s="1347">
        <f>+'PLAN DE DESARROLLO 2024 - 2027'!L88</f>
        <v>0.28487241054613938</v>
      </c>
    </row>
    <row r="120" spans="3:4" ht="23.4" x14ac:dyDescent="0.45">
      <c r="C120" s="104" t="str">
        <f>+M11</f>
        <v xml:space="preserve">Deporte y Recreación
</v>
      </c>
      <c r="D120" s="1347">
        <f>+'PLAN DE DESARROLLO 2024 - 2027'!L80</f>
        <v>0.24399006191224096</v>
      </c>
    </row>
    <row r="132" spans="3:10" ht="31.95" customHeight="1" x14ac:dyDescent="0.3"/>
    <row r="139" spans="3:10" ht="36.6" customHeight="1" x14ac:dyDescent="0.3"/>
    <row r="140" spans="3:10" ht="15" thickBot="1" x14ac:dyDescent="0.35"/>
    <row r="141" spans="3:10" ht="33" customHeight="1" x14ac:dyDescent="0.3">
      <c r="C141" s="1721" t="s">
        <v>1844</v>
      </c>
      <c r="D141" s="1722"/>
      <c r="E141" s="1723"/>
      <c r="J141" s="822"/>
    </row>
    <row r="142" spans="3:10" ht="15" thickBot="1" x14ac:dyDescent="0.35">
      <c r="C142" s="1724"/>
      <c r="D142" s="1725"/>
      <c r="E142" s="1726"/>
      <c r="J142" s="822"/>
    </row>
    <row r="143" spans="3:10" ht="63.6" customHeight="1" thickBot="1" x14ac:dyDescent="0.35">
      <c r="C143" s="947" t="s">
        <v>2261</v>
      </c>
      <c r="D143" s="948" t="s">
        <v>2615</v>
      </c>
      <c r="E143" s="949" t="s">
        <v>1586</v>
      </c>
      <c r="J143" s="822"/>
    </row>
    <row r="144" spans="3:10" ht="51.6" customHeight="1" thickBot="1" x14ac:dyDescent="0.35">
      <c r="C144" s="1353" t="s">
        <v>1689</v>
      </c>
      <c r="D144" s="1351">
        <v>0.10991495076096687</v>
      </c>
      <c r="E144" s="950" t="s">
        <v>2329</v>
      </c>
      <c r="J144" s="822"/>
    </row>
    <row r="145" spans="3:10" ht="37.200000000000003" customHeight="1" thickBot="1" x14ac:dyDescent="0.35">
      <c r="C145" s="1354" t="s">
        <v>1660</v>
      </c>
      <c r="D145" s="1350">
        <v>8.6699999999999999E-2</v>
      </c>
      <c r="E145" s="1005" t="s">
        <v>551</v>
      </c>
      <c r="J145" s="822"/>
    </row>
    <row r="146" spans="3:10" ht="54" customHeight="1" thickBot="1" x14ac:dyDescent="0.35">
      <c r="C146" s="1355" t="s">
        <v>1683</v>
      </c>
      <c r="D146" s="1352">
        <v>0.33427777777777773</v>
      </c>
      <c r="E146" s="1005" t="s">
        <v>707</v>
      </c>
      <c r="J146" s="822"/>
    </row>
    <row r="147" spans="3:10" ht="24.6" customHeight="1" thickBot="1" x14ac:dyDescent="0.35">
      <c r="C147" s="1355" t="s">
        <v>1985</v>
      </c>
      <c r="D147" s="1352">
        <v>0.33333333333333331</v>
      </c>
      <c r="E147" s="1005" t="s">
        <v>707</v>
      </c>
      <c r="J147" s="822"/>
    </row>
    <row r="148" spans="3:10" ht="45" customHeight="1" thickBot="1" x14ac:dyDescent="0.35">
      <c r="C148" s="1355" t="s">
        <v>1650</v>
      </c>
      <c r="D148" s="1352">
        <v>0.35591900311526481</v>
      </c>
      <c r="E148" s="1005" t="s">
        <v>707</v>
      </c>
      <c r="J148" s="822"/>
    </row>
    <row r="149" spans="3:10" ht="25.2" customHeight="1" thickBot="1" x14ac:dyDescent="0.35">
      <c r="C149" s="1355" t="s">
        <v>1686</v>
      </c>
      <c r="D149" s="1352">
        <v>0.34188258636788049</v>
      </c>
      <c r="E149" s="1005" t="s">
        <v>707</v>
      </c>
      <c r="J149" s="822"/>
    </row>
    <row r="150" spans="3:10" ht="32.4" customHeight="1" thickBot="1" x14ac:dyDescent="0.35">
      <c r="C150" s="1355" t="s">
        <v>1694</v>
      </c>
      <c r="D150" s="1352">
        <v>0.28572549019607846</v>
      </c>
      <c r="E150" s="1005" t="s">
        <v>551</v>
      </c>
      <c r="J150" s="822"/>
    </row>
    <row r="151" spans="3:10" ht="28.2" customHeight="1" thickBot="1" x14ac:dyDescent="0.35">
      <c r="C151" s="1355" t="s">
        <v>1695</v>
      </c>
      <c r="D151" s="1352">
        <v>0.31440000000000001</v>
      </c>
      <c r="E151" s="1005" t="s">
        <v>551</v>
      </c>
      <c r="J151" s="822"/>
    </row>
    <row r="152" spans="3:10" ht="36" customHeight="1" thickBot="1" x14ac:dyDescent="0.35">
      <c r="C152" s="1355" t="s">
        <v>1663</v>
      </c>
      <c r="D152" s="1352">
        <v>0.32323333333333332</v>
      </c>
      <c r="E152" s="1005" t="s">
        <v>2652</v>
      </c>
      <c r="J152" s="822"/>
    </row>
    <row r="153" spans="3:10" ht="45.6" customHeight="1" thickBot="1" x14ac:dyDescent="0.35">
      <c r="C153" s="1355" t="s">
        <v>1673</v>
      </c>
      <c r="D153" s="1352">
        <v>0.37932862190812722</v>
      </c>
      <c r="E153" s="1005" t="s">
        <v>2653</v>
      </c>
    </row>
  </sheetData>
  <mergeCells count="3">
    <mergeCell ref="M3:O4"/>
    <mergeCell ref="C2:F3"/>
    <mergeCell ref="C141:E14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11"/>
  <sheetViews>
    <sheetView zoomScale="40" zoomScaleNormal="40" workbookViewId="0">
      <selection activeCell="H8" sqref="H8"/>
    </sheetView>
  </sheetViews>
  <sheetFormatPr baseColWidth="10" defaultRowHeight="14.4" x14ac:dyDescent="0.3"/>
  <cols>
    <col min="3" max="3" width="58.6640625" customWidth="1"/>
    <col min="4" max="4" width="38.6640625" customWidth="1"/>
    <col min="5" max="5" width="56.44140625" customWidth="1"/>
    <col min="6" max="6" width="65.33203125" customWidth="1"/>
    <col min="7" max="7" width="60" customWidth="1"/>
    <col min="8" max="8" width="29.33203125" customWidth="1"/>
    <col min="9" max="9" width="42.6640625" customWidth="1"/>
    <col min="13" max="13" width="37.33203125" customWidth="1"/>
    <col min="14" max="14" width="38.88671875" customWidth="1"/>
    <col min="15" max="15" width="53.6640625" customWidth="1"/>
  </cols>
  <sheetData>
    <row r="2" spans="3:15" ht="14.4" customHeight="1" x14ac:dyDescent="0.3">
      <c r="C2" s="1727" t="s">
        <v>2616</v>
      </c>
      <c r="D2" s="1727"/>
      <c r="E2" s="1727"/>
      <c r="F2" s="1727"/>
      <c r="M2" s="1701" t="s">
        <v>2625</v>
      </c>
      <c r="N2" s="1702"/>
      <c r="O2" s="1703"/>
    </row>
    <row r="3" spans="3:15" ht="22.95" customHeight="1" x14ac:dyDescent="0.3">
      <c r="C3" s="1727"/>
      <c r="D3" s="1727"/>
      <c r="E3" s="1727"/>
      <c r="F3" s="1727"/>
      <c r="M3" s="1704"/>
      <c r="N3" s="1705"/>
      <c r="O3" s="1706"/>
    </row>
    <row r="4" spans="3:15" ht="57.6" customHeight="1" x14ac:dyDescent="0.35">
      <c r="C4" s="812"/>
      <c r="D4" s="1284" t="s">
        <v>2586</v>
      </c>
      <c r="E4" s="1284" t="s">
        <v>2603</v>
      </c>
      <c r="F4" s="1284" t="s">
        <v>2604</v>
      </c>
      <c r="M4" s="66"/>
      <c r="N4" s="67" t="s">
        <v>2601</v>
      </c>
      <c r="O4" s="67" t="s">
        <v>2606</v>
      </c>
    </row>
    <row r="5" spans="3:15" ht="55.95" customHeight="1" x14ac:dyDescent="0.35">
      <c r="C5" s="77" t="str">
        <f>+'PLAN DE DESARROLLO 2024 - 2027'!B92</f>
        <v xml:space="preserve"> DESARROLLO ECONÓMICO EQUITATIVO
</v>
      </c>
      <c r="D5" s="813">
        <f>+'PLAN DE DESARROLLO 2024 - 2027'!H92</f>
        <v>0.82209331785503881</v>
      </c>
      <c r="E5" s="1299">
        <f>+'PLAN DE DESARROLLO 2024 - 2027'!O92</f>
        <v>0.52346057293872739</v>
      </c>
      <c r="F5" s="814">
        <v>0.48812060511247513</v>
      </c>
      <c r="M5" s="77" t="str">
        <f t="shared" ref="M5:M12" si="0">+C5</f>
        <v xml:space="preserve"> DESARROLLO ECONÓMICO EQUITATIVO
</v>
      </c>
      <c r="N5" s="699">
        <f>+'PLAN DE DESARROLLO 2024 - 2027'!I92+'PLAN DE DESARROLLO 2024 - 2027'!J92</f>
        <v>0.47108151070091941</v>
      </c>
      <c r="O5" s="699">
        <f>+'PLAN DE DESARROLLO 2024 - 2027'!R92</f>
        <v>0.50250755082733933</v>
      </c>
    </row>
    <row r="6" spans="3:15" ht="54.6" customHeight="1" x14ac:dyDescent="0.35">
      <c r="C6" s="815" t="str">
        <f>+'PLAN DE DESARROLLO 2024 - 2027'!B93</f>
        <v xml:space="preserve"> Competitividad e innovación
</v>
      </c>
      <c r="D6" s="816">
        <f>+'PLAN DE DESARROLLO 2024 - 2027'!H93</f>
        <v>0.8939583333333333</v>
      </c>
      <c r="E6" s="1356">
        <f>+'PLAN DE DESARROLLO 2024 - 2027'!O93</f>
        <v>0.57433333333333336</v>
      </c>
      <c r="F6" s="816">
        <v>0.59083333333333332</v>
      </c>
      <c r="M6" s="68" t="str">
        <f t="shared" si="0"/>
        <v xml:space="preserve"> Competitividad e innovación
</v>
      </c>
      <c r="N6" s="86">
        <f>+'PLAN DE DESARROLLO 2024 - 2027'!I93+'PLAN DE DESARROLLO 2024 - 2027'!J93</f>
        <v>0.50685000000000002</v>
      </c>
      <c r="O6" s="84">
        <f>+'PLAN DE DESARROLLO 2024 - 2027'!R93</f>
        <v>0.52434999999999998</v>
      </c>
    </row>
    <row r="7" spans="3:15" ht="36" x14ac:dyDescent="0.35">
      <c r="C7" s="815" t="str">
        <f>+'PLAN DE DESARROLLO 2024 - 2027'!B96</f>
        <v xml:space="preserve"> Diversificación Económica
</v>
      </c>
      <c r="D7" s="816">
        <f>+'PLAN DE DESARROLLO 2024 - 2027'!H96</f>
        <v>0.96903299936386766</v>
      </c>
      <c r="E7" s="1356">
        <f>+'PLAN DE DESARROLLO 2024 - 2027'!O96</f>
        <v>0.62353363549618313</v>
      </c>
      <c r="F7" s="816">
        <v>0.58986633269720101</v>
      </c>
      <c r="M7" s="73" t="str">
        <f t="shared" si="0"/>
        <v xml:space="preserve"> Diversificación Económica
</v>
      </c>
      <c r="N7" s="84">
        <f>+'PLAN DE DESARROLLO 2024 - 2027'!I96+'PLAN DE DESARROLLO 2024 - 2027'!J96</f>
        <v>0.53725000000000001</v>
      </c>
      <c r="O7" s="84">
        <f>+'PLAN DE DESARROLLO 2024 - 2027'!R96</f>
        <v>0.68558826335877854</v>
      </c>
    </row>
    <row r="8" spans="3:15" ht="43.8" x14ac:dyDescent="0.35">
      <c r="C8" s="815" t="str">
        <f>+'PLAN DE DESARROLLO 2024 - 2027'!B101</f>
        <v xml:space="preserve"> Trabajo Decente y Cierre de Brechas Laborales
</v>
      </c>
      <c r="D8" s="816">
        <f>+'PLAN DE DESARROLLO 2024 - 2027'!H101</f>
        <v>0.73340925925925926</v>
      </c>
      <c r="E8" s="1356">
        <f>+'PLAN DE DESARROLLO 2024 - 2027'!O101</f>
        <v>0.65313860398860402</v>
      </c>
      <c r="F8" s="816">
        <v>0.55999045584045581</v>
      </c>
      <c r="M8" s="68" t="str">
        <f t="shared" si="0"/>
        <v xml:space="preserve"> Trabajo Decente y Cierre de Brechas Laborales
</v>
      </c>
      <c r="N8" s="84">
        <f>+'PLAN DE DESARROLLO 2024 - 2027'!I101+'PLAN DE DESARROLLO 2024 - 2027'!J101</f>
        <v>0.42369658119658121</v>
      </c>
      <c r="O8" s="84">
        <f>+'PLAN DE DESARROLLO 2024 - 2027'!R101</f>
        <v>0.5194825641025641</v>
      </c>
    </row>
    <row r="9" spans="3:15" ht="36" x14ac:dyDescent="0.35">
      <c r="C9" s="815" t="str">
        <f>+'PLAN DE DESARROLLO 2024 - 2027'!B105</f>
        <v xml:space="preserve"> Economía Popular y Emprendimiento
</v>
      </c>
      <c r="D9" s="816">
        <f>+'PLAN DE DESARROLLO 2024 - 2027'!H105</f>
        <v>0.76544494047619049</v>
      </c>
      <c r="E9" s="1357">
        <f>+'PLAN DE DESARROLLO 2024 - 2027'!O105</f>
        <v>0.45648363095238093</v>
      </c>
      <c r="F9" s="816">
        <v>0.39236458333333335</v>
      </c>
      <c r="M9" s="68" t="str">
        <f t="shared" si="0"/>
        <v xml:space="preserve"> Economía Popular y Emprendimiento
</v>
      </c>
      <c r="N9" s="84">
        <f>+'PLAN DE DESARROLLO 2024 - 2027'!I105+'PLAN DE DESARROLLO 2024 - 2027'!J105</f>
        <v>0.45204166666666673</v>
      </c>
      <c r="O9" s="84">
        <f>+'PLAN DE DESARROLLO 2024 - 2027'!R105</f>
        <v>0.53543083333333341</v>
      </c>
    </row>
    <row r="10" spans="3:15" ht="49.95" customHeight="1" x14ac:dyDescent="0.35">
      <c r="C10" s="815" t="str">
        <f>+'PLAN DE DESARROLLO 2024 - 2027'!B110</f>
        <v xml:space="preserve">Turismo Sostenible y Responsable
</v>
      </c>
      <c r="D10" s="816">
        <f>+'PLAN DE DESARROLLO 2024 - 2027'!H110</f>
        <v>0.83863768610593192</v>
      </c>
      <c r="E10" s="1357">
        <f>+'PLAN DE DESARROLLO 2024 - 2027'!O110</f>
        <v>0.54328163110282435</v>
      </c>
      <c r="F10" s="816">
        <v>0.51483556384227602</v>
      </c>
      <c r="M10" s="68" t="str">
        <f t="shared" si="0"/>
        <v xml:space="preserve">Turismo Sostenible y Responsable
</v>
      </c>
      <c r="N10" s="84">
        <f>+'PLAN DE DESARROLLO 2024 - 2027'!I110+'PLAN DE DESARROLLO 2024 - 2027'!J110</f>
        <v>0.68279743197983567</v>
      </c>
      <c r="O10" s="84">
        <f>+'PLAN DE DESARROLLO 2024 - 2027'!R110</f>
        <v>0.48340781843450037</v>
      </c>
    </row>
    <row r="11" spans="3:15" ht="34.950000000000003" customHeight="1" x14ac:dyDescent="0.35">
      <c r="C11" s="815" t="str">
        <f>+'PLAN DE DESARROLLO 2024 - 2027'!B116</f>
        <v xml:space="preserve"> Desarrollo Agropecuario 
</v>
      </c>
      <c r="D11" s="816">
        <f>+'PLAN DE DESARROLLO 2024 - 2027'!H116</f>
        <v>0.7731538901055337</v>
      </c>
      <c r="E11" s="1357">
        <f>+'PLAN DE DESARROLLO 2024 - 2027'!O116</f>
        <v>0.43724206458665521</v>
      </c>
      <c r="F11" s="816">
        <v>0.40940952229628164</v>
      </c>
      <c r="M11" s="2" t="str">
        <f t="shared" si="0"/>
        <v xml:space="preserve"> Desarrollo Agropecuario 
</v>
      </c>
      <c r="N11" s="84">
        <f>+'PLAN DE DESARROLLO 2024 - 2027'!I116+'PLAN DE DESARROLLO 2024 - 2027'!J116</f>
        <v>0.41627864506335271</v>
      </c>
      <c r="O11" s="84">
        <f>+'PLAN DE DESARROLLO 2024 - 2027'!R116</f>
        <v>0.46112478198021289</v>
      </c>
    </row>
    <row r="12" spans="3:15" ht="69" customHeight="1" x14ac:dyDescent="0.35">
      <c r="C12" s="815" t="str">
        <f>+'PLAN DE DESARROLLO 2024 - 2027'!B120</f>
        <v xml:space="preserve">Sistema Integral de Abastecimiento del Distrito
</v>
      </c>
      <c r="D12" s="816">
        <f>+'PLAN DE DESARROLLO 2024 - 2027'!H120</f>
        <v>0.78101611634115498</v>
      </c>
      <c r="E12" s="1358">
        <f>+'PLAN DE DESARROLLO 2024 - 2027'!O120</f>
        <v>0.37621111111111111</v>
      </c>
      <c r="F12" s="816">
        <v>0.35954444444444444</v>
      </c>
      <c r="M12" s="68" t="str">
        <f t="shared" si="0"/>
        <v xml:space="preserve">Sistema Integral de Abastecimiento del Distrito
</v>
      </c>
      <c r="N12" s="84">
        <f>+'PLAN DE DESARROLLO 2024 - 2027'!I120+'PLAN DE DESARROLLO 2024 - 2027'!J120</f>
        <v>0.39166666666666661</v>
      </c>
      <c r="O12" s="84">
        <f>+'PLAN DE DESARROLLO 2024 - 2027'!R120</f>
        <v>0.33886249999999996</v>
      </c>
    </row>
    <row r="32" spans="3:5" ht="76.95" customHeight="1" x14ac:dyDescent="0.3">
      <c r="C32" s="2"/>
      <c r="D32" s="67" t="s">
        <v>2617</v>
      </c>
      <c r="E32" s="704" t="s">
        <v>2618</v>
      </c>
    </row>
    <row r="33" spans="3:7" ht="70.2" customHeight="1" x14ac:dyDescent="0.5">
      <c r="C33" s="1359" t="str">
        <f>+'PLAN DE DESARROLLO 2024 - 2027'!B93</f>
        <v xml:space="preserve"> Competitividad e innovación
</v>
      </c>
      <c r="D33" s="1331">
        <f>+O6</f>
        <v>0.52434999999999998</v>
      </c>
      <c r="E33" s="1296">
        <f>+'PLAN DE DESARROLLO 2024 - 2027'!O93</f>
        <v>0.57433333333333336</v>
      </c>
      <c r="G33" t="s">
        <v>1585</v>
      </c>
    </row>
    <row r="34" spans="3:7" ht="51.6" customHeight="1" x14ac:dyDescent="0.4">
      <c r="C34" s="101" t="str">
        <f>+'PLAN DE DESARROLLO 2024 - 2027'!B94</f>
        <v xml:space="preserve"> UNIDOS POR UNA CARTAGENA COMPETITIVA E INNOVADORA</v>
      </c>
      <c r="D34" s="1327">
        <f>+'PLAN DE DESARROLLO 2024 - 2027'!R94</f>
        <v>0.64149999999999996</v>
      </c>
      <c r="E34" s="1344">
        <f>+'PLAN DE DESARROLLO 2024 - 2027'!O94</f>
        <v>0.69699999999999995</v>
      </c>
    </row>
    <row r="35" spans="3:7" ht="28.95" customHeight="1" x14ac:dyDescent="0.4">
      <c r="C35" s="101" t="str">
        <f>+'PLAN DE DESARROLLO 2024 - 2027'!B95</f>
        <v xml:space="preserve"> CARTAGENA GLOBAL</v>
      </c>
      <c r="D35" s="1327">
        <f>+'PLAN DE DESARROLLO 2024 - 2027'!R95</f>
        <v>0.44624999999999998</v>
      </c>
      <c r="E35" s="1337">
        <f>+'PLAN DE DESARROLLO 2024 - 2027'!O95</f>
        <v>0.45166666666666666</v>
      </c>
    </row>
    <row r="36" spans="3:7" ht="28.8" x14ac:dyDescent="0.3">
      <c r="G36" s="72" t="s">
        <v>1585</v>
      </c>
    </row>
    <row r="37" spans="3:7" ht="54" customHeight="1" x14ac:dyDescent="0.3">
      <c r="C37" s="2"/>
      <c r="D37" s="67" t="s">
        <v>2617</v>
      </c>
      <c r="E37" s="704" t="s">
        <v>2619</v>
      </c>
      <c r="F37" s="62" t="s">
        <v>1585</v>
      </c>
    </row>
    <row r="38" spans="3:7" ht="54" customHeight="1" x14ac:dyDescent="0.5">
      <c r="C38" s="1359" t="str">
        <f>+'PLAN DE DESARROLLO 2024 - 2027'!B96</f>
        <v xml:space="preserve"> Diversificación Económica
</v>
      </c>
      <c r="D38" s="1342">
        <f>+O7</f>
        <v>0.68558826335877854</v>
      </c>
      <c r="E38" s="1296">
        <f>+'PLAN DE DESARROLLO 2024 - 2027'!O96</f>
        <v>0.62353363549618313</v>
      </c>
    </row>
    <row r="39" spans="3:7" ht="48" customHeight="1" x14ac:dyDescent="0.3">
      <c r="C39" s="101" t="str">
        <f>+'PLAN DE DESARROLLO 2024 - 2027'!B97</f>
        <v xml:space="preserve"> UNIDOS POR LA DIVERSIFICACIÓN ECONÓMICA Y EL DESARROLLO EMPRESARIAL</v>
      </c>
      <c r="D39" s="1341">
        <f>+'PLAN DE DESARROLLO 2024 - 2027'!R97</f>
        <v>0.88874999999999993</v>
      </c>
      <c r="E39" s="1336">
        <f>+'PLAN DE DESARROLLO 2024 - 2027'!O97</f>
        <v>0.72187500000000004</v>
      </c>
    </row>
    <row r="40" spans="3:7" ht="34.950000000000003" customHeight="1" x14ac:dyDescent="0.3">
      <c r="C40" s="101" t="str">
        <f>+'PLAN DE DESARROLLO 2024 - 2027'!B98</f>
        <v xml:space="preserve"> COOPERACIÓN PARA AVANZAR</v>
      </c>
      <c r="D40" s="1341">
        <f>+'PLAN DE DESARROLLO 2024 - 2027'!R98</f>
        <v>0.67900763358778615</v>
      </c>
      <c r="E40" s="1344">
        <f>+'PLAN DE DESARROLLO 2024 - 2027'!O98</f>
        <v>0.6612595419847328</v>
      </c>
    </row>
    <row r="41" spans="3:7" ht="32.4" customHeight="1" x14ac:dyDescent="0.3">
      <c r="C41" s="101" t="str">
        <f>+'PLAN DE DESARROLLO 2024 - 2027'!B99</f>
        <v xml:space="preserve"> ECONOMÍA CIRCULAR Y NEGOCIOS VERDES</v>
      </c>
      <c r="D41" s="1341">
        <f>+'PLAN DE DESARROLLO 2024 - 2027'!R99</f>
        <v>0.42</v>
      </c>
      <c r="E41" s="1344">
        <f>+'PLAN DE DESARROLLO 2024 - 2027'!O99</f>
        <v>0.56099999999999994</v>
      </c>
    </row>
    <row r="42" spans="3:7" ht="42" customHeight="1" x14ac:dyDescent="0.3">
      <c r="C42" s="101" t="str">
        <f>+'PLAN DE DESARROLLO 2024 - 2027'!B100</f>
        <v xml:space="preserve"> TRANSFORMACIÓN PRODUCTIVA</v>
      </c>
      <c r="D42" s="1341">
        <f>+'PLAN DE DESARROLLO 2024 - 2027'!R100</f>
        <v>0.77</v>
      </c>
      <c r="E42" s="1344">
        <f>+'PLAN DE DESARROLLO 2024 - 2027'!O100</f>
        <v>0.55000000000000004</v>
      </c>
    </row>
    <row r="44" spans="3:7" ht="63.6" customHeight="1" x14ac:dyDescent="0.3">
      <c r="C44" s="2"/>
      <c r="D44" s="67" t="s">
        <v>2617</v>
      </c>
      <c r="E44" s="704" t="s">
        <v>2620</v>
      </c>
    </row>
    <row r="45" spans="3:7" ht="69" customHeight="1" x14ac:dyDescent="0.5">
      <c r="C45" s="1359" t="str">
        <f>+'PLAN DE DESARROLLO 2024 - 2027'!B101</f>
        <v xml:space="preserve"> Trabajo Decente y Cierre de Brechas Laborales
</v>
      </c>
      <c r="D45" s="1342">
        <f>+O8</f>
        <v>0.5194825641025641</v>
      </c>
      <c r="E45" s="1296">
        <f>+'PLAN DE DESARROLLO 2024 - 2027'!O101</f>
        <v>0.65313860398860402</v>
      </c>
    </row>
    <row r="46" spans="3:7" ht="59.4" customHeight="1" x14ac:dyDescent="0.3">
      <c r="C46" s="101" t="str">
        <f>+'PLAN DE DESARROLLO 2024 - 2027'!B102</f>
        <v xml:space="preserve"> EMPLEO Y CAPITAL HUMANO</v>
      </c>
      <c r="D46" s="1341">
        <f>+'PLAN DE DESARROLLO 2024 - 2027'!R102</f>
        <v>0.21805166666666664</v>
      </c>
      <c r="E46" s="1340">
        <f>+'PLAN DE DESARROLLO 2024 - 2027'!O102</f>
        <v>0.31758888888888887</v>
      </c>
    </row>
    <row r="47" spans="3:7" ht="24.6" customHeight="1" x14ac:dyDescent="0.3">
      <c r="C47" s="101" t="str">
        <f>+'PLAN DE DESARROLLO 2024 - 2027'!B103</f>
        <v xml:space="preserve"> MI PRIMERA CHAMBA</v>
      </c>
      <c r="D47" s="1341">
        <f>+'PLAN DE DESARROLLO 2024 - 2027'!R103</f>
        <v>0.77875000000000005</v>
      </c>
      <c r="E47" s="1336">
        <f>+'PLAN DE DESARROLLO 2024 - 2027'!O103</f>
        <v>0.77875000000000005</v>
      </c>
    </row>
    <row r="48" spans="3:7" ht="42.6" customHeight="1" x14ac:dyDescent="0.3">
      <c r="C48" s="101" t="str">
        <f>+'PLAN DE DESARROLLO 2024 - 2027'!B104</f>
        <v xml:space="preserve"> DERECHO AL TRABAJO EN CONDICIONES DE IGUALDAD Y DIGNIDAD PARA LA MUJER</v>
      </c>
      <c r="D48" s="1341">
        <f>+'PLAN DE DESARROLLO 2024 - 2027'!R104</f>
        <v>0.86307692307692307</v>
      </c>
      <c r="E48" s="1336">
        <f>+'PLAN DE DESARROLLO 2024 - 2027'!O104</f>
        <v>0.86307692307692307</v>
      </c>
    </row>
    <row r="52" spans="3:6" ht="72" customHeight="1" x14ac:dyDescent="0.3">
      <c r="C52" s="2"/>
      <c r="D52" s="67" t="s">
        <v>2617</v>
      </c>
      <c r="E52" s="704" t="s">
        <v>2621</v>
      </c>
      <c r="F52" s="62" t="s">
        <v>1585</v>
      </c>
    </row>
    <row r="53" spans="3:6" ht="77.400000000000006" x14ac:dyDescent="0.5">
      <c r="C53" s="1359" t="str">
        <f>+'PLAN DE DESARROLLO 2024 - 2027'!B105</f>
        <v xml:space="preserve"> Economía Popular y Emprendimiento
</v>
      </c>
      <c r="D53" s="1342">
        <f>+O9</f>
        <v>0.53543083333333341</v>
      </c>
      <c r="E53" s="1303">
        <f>+'PLAN DE DESARROLLO 2024 - 2027'!O105</f>
        <v>0.45648363095238093</v>
      </c>
    </row>
    <row r="54" spans="3:6" ht="33.6" customHeight="1" x14ac:dyDescent="0.3">
      <c r="C54" s="101" t="str">
        <f>+'PLAN DE DESARROLLO 2024 - 2027'!B106</f>
        <v xml:space="preserve"> AVANZAMOS CON CAPACIDADES EMPRENDEDORAS</v>
      </c>
      <c r="D54" s="1341">
        <f>+'PLAN DE DESARROLLO 2024 - 2027'!R106</f>
        <v>0.35300000000000004</v>
      </c>
      <c r="E54" s="1340">
        <f>+'PLAN DE DESARROLLO 2024 - 2027'!O106</f>
        <v>0.33614285714285713</v>
      </c>
    </row>
    <row r="55" spans="3:6" ht="52.2" customHeight="1" x14ac:dyDescent="0.3">
      <c r="C55" s="101" t="str">
        <f>+'PLAN DE DESARROLLO 2024 - 2027'!B107</f>
        <v xml:space="preserve"> AVANZAMOS PARA FORTALECER LA ECONOMÍA POPULAR Y GENERAR MEJORES INGRESOS PARA NUESTRAS FAMILIAS</v>
      </c>
      <c r="D55" s="1341">
        <f>+'PLAN DE DESARROLLO 2024 - 2027'!R107</f>
        <v>0.67300000000000004</v>
      </c>
      <c r="E55" s="1337">
        <f>+'PLAN DE DESARROLLO 2024 - 2027'!O107</f>
        <v>0.52024999999999999</v>
      </c>
    </row>
    <row r="56" spans="3:6" ht="41.4" customHeight="1" x14ac:dyDescent="0.3">
      <c r="C56" s="101" t="s">
        <v>1712</v>
      </c>
      <c r="D56" s="1341">
        <f>+'PLAN DE DESARROLLO 2024 - 2027'!R109</f>
        <v>0.30083333333333329</v>
      </c>
      <c r="E56" s="1340">
        <f>+'PLAN DE DESARROLLO 2024 - 2027'!O109</f>
        <v>0.30083333333333329</v>
      </c>
    </row>
    <row r="57" spans="3:6" ht="40.950000000000003" customHeight="1" x14ac:dyDescent="0.3">
      <c r="C57" s="101" t="str">
        <f>+'PLAN DE DESARROLLO 2024 - 2027'!B108</f>
        <v xml:space="preserve"> CARTAGENA FOMENTA LA INCLUSIÓN PRODUCTIVA JUVENIL</v>
      </c>
      <c r="D57" s="1341">
        <f>+'PLAN DE DESARROLLO 2024 - 2027'!R108</f>
        <v>0.60515833333333335</v>
      </c>
      <c r="E57" s="1344">
        <f>+'PLAN DE DESARROLLO 2024 - 2027'!O108</f>
        <v>0.66870833333333324</v>
      </c>
    </row>
    <row r="60" spans="3:6" ht="67.2" customHeight="1" x14ac:dyDescent="0.3">
      <c r="C60" s="2"/>
      <c r="D60" s="67" t="s">
        <v>2617</v>
      </c>
      <c r="E60" s="704" t="s">
        <v>2622</v>
      </c>
      <c r="F60" s="62" t="s">
        <v>1585</v>
      </c>
    </row>
    <row r="61" spans="3:6" ht="52.2" customHeight="1" x14ac:dyDescent="0.5">
      <c r="C61" s="1359" t="str">
        <f>+'PLAN DE DESARROLLO 2024 - 2027'!B110</f>
        <v xml:space="preserve">Turismo Sostenible y Responsable
</v>
      </c>
      <c r="D61" s="1342">
        <f>+O10</f>
        <v>0.48340781843450037</v>
      </c>
      <c r="E61" s="1303">
        <f>+'PLAN DE DESARROLLO 2024 - 2027'!O110</f>
        <v>0.54328163110282435</v>
      </c>
    </row>
    <row r="62" spans="3:6" ht="30" customHeight="1" x14ac:dyDescent="0.3">
      <c r="C62" s="101" t="str">
        <f>+'PLAN DE DESARROLLO 2024 - 2027'!B113</f>
        <v xml:space="preserve"> PROMOCIÓN TURÍSTICA</v>
      </c>
      <c r="D62" s="1341">
        <f>+'PLAN DE DESARROLLO 2024 - 2027'!R113</f>
        <v>0.74250000000000005</v>
      </c>
      <c r="E62" s="1336">
        <f>+'PLAN DE DESARROLLO 2024 - 2027'!O113</f>
        <v>0.78749999999999998</v>
      </c>
    </row>
    <row r="63" spans="3:6" ht="46.8" customHeight="1" x14ac:dyDescent="0.3">
      <c r="C63" s="101" t="str">
        <f>+'PLAN DE DESARROLLO 2024 - 2027'!B111</f>
        <v xml:space="preserve"> SEGURIDAD, VIGILANCIA Y CONTROL PARA UN TURISMO RESPONSABLE</v>
      </c>
      <c r="D63" s="1341">
        <f>+'PLAN DE DESARROLLO 2024 - 2027'!R111</f>
        <v>0.38048611111111108</v>
      </c>
      <c r="E63" s="1337">
        <f>+'PLAN DE DESARROLLO 2024 - 2027'!O111</f>
        <v>0.40173611111111107</v>
      </c>
    </row>
    <row r="64" spans="3:6" ht="36" customHeight="1" x14ac:dyDescent="0.3">
      <c r="C64" s="101" t="str">
        <f>+'PLAN DE DESARROLLO 2024 - 2027'!B112</f>
        <v xml:space="preserve"> TURISMO SOSTENIBLE E INCLUYENTE CON LAS COMUNIDADES</v>
      </c>
      <c r="D64" s="1341">
        <f>+'PLAN DE DESARROLLO 2024 - 2027'!R112</f>
        <v>0.48147311995027975</v>
      </c>
      <c r="E64" s="1337">
        <f>+'PLAN DE DESARROLLO 2024 - 2027'!O112</f>
        <v>0.50897759995856651</v>
      </c>
    </row>
    <row r="65" spans="3:5" ht="49.8" customHeight="1" x14ac:dyDescent="0.3">
      <c r="C65" s="101" t="str">
        <f>+'PLAN DE DESARROLLO 2024 - 2027'!B114</f>
        <v xml:space="preserve"> INFRAESTRUCTURA TURÍSTICA PARA EL DESARROLLO</v>
      </c>
      <c r="D65" s="1341">
        <f>+'PLAN DE DESARROLLO 2024 - 2027'!R114</f>
        <v>0.30080555555555555</v>
      </c>
      <c r="E65" s="1340">
        <f>+'PLAN DE DESARROLLO 2024 - 2027'!O114</f>
        <v>0.35152777777777777</v>
      </c>
    </row>
    <row r="66" spans="3:5" ht="51.6" customHeight="1" x14ac:dyDescent="0.3">
      <c r="C66" s="101" t="str">
        <f>+'PLAN DE DESARROLLO 2024 - 2027'!B115</f>
        <v xml:space="preserve"> GOBERNANZA Y FORTALECIMIENTO INSTITUCIONAL PARA UNA CIUDAD DE DERECHOS, RESPONSABLE Y COMPETITIVA</v>
      </c>
      <c r="D66" s="1341">
        <f>+'PLAN DE DESARROLLO 2024 - 2027'!R115</f>
        <v>0.85000000000000009</v>
      </c>
      <c r="E66" s="1344">
        <f>+'PLAN DE DESARROLLO 2024 - 2027'!O115</f>
        <v>0.66666666666666663</v>
      </c>
    </row>
    <row r="67" spans="3:5" ht="18" x14ac:dyDescent="0.35">
      <c r="C67" s="75"/>
      <c r="D67" s="76"/>
    </row>
    <row r="68" spans="3:5" ht="66" customHeight="1" x14ac:dyDescent="0.3">
      <c r="C68" s="2"/>
      <c r="D68" s="67" t="s">
        <v>2617</v>
      </c>
      <c r="E68" s="700" t="s">
        <v>2623</v>
      </c>
    </row>
    <row r="69" spans="3:5" ht="54" customHeight="1" x14ac:dyDescent="0.5">
      <c r="C69" s="1359" t="str">
        <f>+'PLAN DE DESARROLLO 2024 - 2027'!B116</f>
        <v xml:space="preserve"> Desarrollo Agropecuario 
</v>
      </c>
      <c r="D69" s="1342">
        <f>+O11</f>
        <v>0.46112478198021289</v>
      </c>
      <c r="E69" s="1303">
        <f>+'PLAN DE DESARROLLO 2024 - 2027'!O116</f>
        <v>0.43724206458665521</v>
      </c>
    </row>
    <row r="70" spans="3:5" ht="53.4" customHeight="1" x14ac:dyDescent="0.3">
      <c r="C70" s="101" t="str">
        <f>+'PLAN DE DESARROLLO 2024 - 2027'!B117</f>
        <v xml:space="preserve"> INCLUSIÓN PRODUCTIVA Y SOCIAL DE LA AGRICULTURA CAMPESINA, FAMILIAR Y COMUNITARIA</v>
      </c>
      <c r="D70" s="1341">
        <f>+'PLAN DE DESARROLLO 2024 - 2027'!R117</f>
        <v>0.53474250141482749</v>
      </c>
      <c r="E70" s="1337">
        <f>+'PLAN DE DESARROLLO 2024 - 2027'!O117</f>
        <v>0.53474250141482749</v>
      </c>
    </row>
    <row r="71" spans="3:5" ht="59.4" customHeight="1" x14ac:dyDescent="0.3">
      <c r="C71" s="101" t="str">
        <f>+'PLAN DE DESARROLLO 2024 - 2027'!B118</f>
        <v xml:space="preserve"> EXTENSIÓN AGROPECUARIA, INFRAESTRUCTURA Y ACTIVOS PRODUCTIVOS PARA LA COMPETITIVIDAD AGROPECUARIA Y LA SOBERANÍA ALIMENTARIA</v>
      </c>
      <c r="D71" s="1341">
        <f>+'PLAN DE DESARROLLO 2024 - 2027'!R118</f>
        <v>0.45597590361445789</v>
      </c>
      <c r="E71" s="1337">
        <f>+'PLAN DE DESARROLLO 2024 - 2027'!O118</f>
        <v>0.41865035901180481</v>
      </c>
    </row>
    <row r="72" spans="3:5" ht="30" customHeight="1" x14ac:dyDescent="0.3">
      <c r="C72" s="101" t="str">
        <f>+'PLAN DE DESARROLLO 2024 - 2027'!B119</f>
        <v xml:space="preserve"> CARTAGENA CIUDAD DE PESCADORES</v>
      </c>
      <c r="D72" s="1341">
        <f>+'PLAN DE DESARROLLO 2024 - 2027'!R119</f>
        <v>0.40749999999999997</v>
      </c>
      <c r="E72" s="1340">
        <f>+'PLAN DE DESARROLLO 2024 - 2027'!O119</f>
        <v>0.35833333333333334</v>
      </c>
    </row>
    <row r="73" spans="3:5" x14ac:dyDescent="0.3">
      <c r="D73" s="76"/>
    </row>
    <row r="74" spans="3:5" x14ac:dyDescent="0.3">
      <c r="D74" s="76"/>
    </row>
    <row r="75" spans="3:5" x14ac:dyDescent="0.3">
      <c r="D75" s="76"/>
    </row>
    <row r="76" spans="3:5" x14ac:dyDescent="0.3">
      <c r="C76" s="74"/>
      <c r="D76" s="76"/>
    </row>
    <row r="77" spans="3:5" ht="73.2" customHeight="1" x14ac:dyDescent="0.3">
      <c r="C77" s="2"/>
      <c r="D77" s="67" t="s">
        <v>2617</v>
      </c>
      <c r="E77" s="700" t="s">
        <v>2624</v>
      </c>
    </row>
    <row r="78" spans="3:5" ht="73.8" customHeight="1" x14ac:dyDescent="0.5">
      <c r="C78" s="1359" t="str">
        <f>+'PLAN DE DESARROLLO 2024 - 2027'!B120</f>
        <v xml:space="preserve">Sistema Integral de Abastecimiento del Distrito
</v>
      </c>
      <c r="D78" s="1342">
        <f>+O12</f>
        <v>0.33886249999999996</v>
      </c>
      <c r="E78" s="1322">
        <f>+'PLAN DE DESARROLLO 2024 - 2027'!O120</f>
        <v>0.37621111111111111</v>
      </c>
    </row>
    <row r="79" spans="3:5" ht="48" customHeight="1" x14ac:dyDescent="0.3">
      <c r="C79" s="101" t="str">
        <f>+'PLAN DE DESARROLLO 2024 - 2027'!B121</f>
        <v xml:space="preserve"> DESARROLLO DEL NUEVO SISTEMA DE MERCADOS DEL DISTRITO</v>
      </c>
      <c r="D79" s="1341">
        <f>+'PLAN DE DESARROLLO 2024 - 2027'!R121</f>
        <v>0.23833333333333331</v>
      </c>
      <c r="E79" s="1339">
        <f>+'PLAN DE DESARROLLO 2024 - 2027'!O121</f>
        <v>0.15888888888888889</v>
      </c>
    </row>
    <row r="80" spans="3:5" ht="28.95" customHeight="1" x14ac:dyDescent="0.3">
      <c r="C80" s="101" t="str">
        <f>+'PLAN DE DESARROLLO 2024 - 2027'!B122</f>
        <v xml:space="preserve"> GESTIÓN INTEGRAL DEL SISTEMA DE MERCADOS</v>
      </c>
      <c r="D80" s="1341">
        <f>+'PLAN DE DESARROLLO 2024 - 2027'!R122</f>
        <v>0.64044999999999996</v>
      </c>
      <c r="E80" s="1344">
        <f>+'PLAN DE DESARROLLO 2024 - 2027'!O122</f>
        <v>0.59353333333333336</v>
      </c>
    </row>
    <row r="81" spans="3:4" ht="18" x14ac:dyDescent="0.35">
      <c r="C81" s="75"/>
      <c r="D81" s="76"/>
    </row>
    <row r="82" spans="3:4" ht="18" x14ac:dyDescent="0.35">
      <c r="C82" s="75"/>
      <c r="D82" s="76"/>
    </row>
    <row r="87" spans="3:4" ht="55.95" customHeight="1" x14ac:dyDescent="0.3">
      <c r="C87" s="2"/>
      <c r="D87" s="700" t="s">
        <v>2614</v>
      </c>
    </row>
    <row r="88" spans="3:4" ht="67.95" customHeight="1" x14ac:dyDescent="0.35">
      <c r="C88" s="70" t="str">
        <f t="shared" ref="C88:C95" si="1">+M5</f>
        <v xml:space="preserve"> DESARROLLO ECONÓMICO EQUITATIVO
</v>
      </c>
      <c r="D88" s="1362">
        <f>+'PLAN DE DESARROLLO 2024 - 2027'!L92</f>
        <v>0.13599855463539826</v>
      </c>
    </row>
    <row r="89" spans="3:4" ht="36" x14ac:dyDescent="0.35">
      <c r="C89" s="70" t="str">
        <f t="shared" si="1"/>
        <v xml:space="preserve"> Competitividad e innovación
</v>
      </c>
      <c r="D89" s="1363">
        <f>+'PLAN DE DESARROLLO 2024 - 2027'!L93</f>
        <v>0</v>
      </c>
    </row>
    <row r="90" spans="3:4" ht="60" customHeight="1" x14ac:dyDescent="0.35">
      <c r="C90" s="70" t="str">
        <f t="shared" si="1"/>
        <v xml:space="preserve"> Diversificación Económica
</v>
      </c>
      <c r="D90" s="1364">
        <f>+'PLAN DE DESARROLLO 2024 - 2027'!L96</f>
        <v>0.19053030303030299</v>
      </c>
    </row>
    <row r="91" spans="3:4" ht="61.2" customHeight="1" x14ac:dyDescent="0.35">
      <c r="C91" s="70" t="str">
        <f t="shared" si="1"/>
        <v xml:space="preserve"> Trabajo Decente y Cierre de Brechas Laborales
</v>
      </c>
      <c r="D91" s="1365">
        <f>+'PLAN DE DESARROLLO 2024 - 2027'!L101</f>
        <v>0.33333333333333331</v>
      </c>
    </row>
    <row r="92" spans="3:4" ht="36" x14ac:dyDescent="0.35">
      <c r="C92" s="70" t="str">
        <f t="shared" si="1"/>
        <v xml:space="preserve"> Economía Popular y Emprendimiento
</v>
      </c>
      <c r="D92" s="1365">
        <f>+'PLAN DE DESARROLLO 2024 - 2027'!L105</f>
        <v>0.23845833333333333</v>
      </c>
    </row>
    <row r="93" spans="3:4" ht="36" x14ac:dyDescent="0.35">
      <c r="C93" s="70" t="str">
        <f t="shared" si="1"/>
        <v xml:space="preserve">Turismo Sostenible y Responsable
</v>
      </c>
      <c r="D93" s="1363">
        <f>+'PLAN DE DESARROLLO 2024 - 2027'!L110</f>
        <v>6.3350452433357782E-2</v>
      </c>
    </row>
    <row r="94" spans="3:4" ht="36" x14ac:dyDescent="0.35">
      <c r="C94" s="70" t="str">
        <f t="shared" si="1"/>
        <v xml:space="preserve"> Desarrollo Agropecuario 
</v>
      </c>
      <c r="D94" s="1366">
        <f>+'PLAN DE DESARROLLO 2024 - 2027'!L116</f>
        <v>9.2984126984126989E-2</v>
      </c>
    </row>
    <row r="95" spans="3:4" ht="61.2" customHeight="1" x14ac:dyDescent="0.35">
      <c r="C95" s="70" t="str">
        <f t="shared" si="1"/>
        <v xml:space="preserve">Sistema Integral de Abastecimiento del Distrito
</v>
      </c>
      <c r="D95" s="1363">
        <f>+'PLAN DE DESARROLLO 2024 - 2027'!L120</f>
        <v>3.3333333333333333E-2</v>
      </c>
    </row>
    <row r="99" spans="3:7" x14ac:dyDescent="0.3">
      <c r="C99" s="1708" t="s">
        <v>1844</v>
      </c>
      <c r="D99" s="1708"/>
      <c r="E99" s="1708"/>
    </row>
    <row r="100" spans="3:7" x14ac:dyDescent="0.3">
      <c r="C100" s="1708"/>
      <c r="D100" s="1708"/>
      <c r="E100" s="1708"/>
    </row>
    <row r="101" spans="3:7" ht="45.6" customHeight="1" x14ac:dyDescent="0.3">
      <c r="C101" s="883" t="s">
        <v>2430</v>
      </c>
      <c r="D101" s="71" t="s">
        <v>2615</v>
      </c>
      <c r="E101" s="97" t="s">
        <v>1586</v>
      </c>
    </row>
    <row r="102" spans="3:7" ht="53.4" customHeight="1" x14ac:dyDescent="0.3">
      <c r="C102" s="1367" t="s">
        <v>1712</v>
      </c>
      <c r="D102" s="1368">
        <v>0.30083333333333329</v>
      </c>
      <c r="E102" s="1369" t="s">
        <v>2655</v>
      </c>
      <c r="G102" s="69"/>
    </row>
    <row r="103" spans="3:7" ht="47.4" customHeight="1" x14ac:dyDescent="0.3">
      <c r="C103" s="1367" t="s">
        <v>1721</v>
      </c>
      <c r="D103" s="1370">
        <v>0.15888888888888889</v>
      </c>
      <c r="E103" s="1371" t="s">
        <v>516</v>
      </c>
    </row>
    <row r="104" spans="3:7" ht="60.6" customHeight="1" x14ac:dyDescent="0.3">
      <c r="C104" s="79" t="s">
        <v>1706</v>
      </c>
      <c r="D104" s="1368">
        <v>0.31758888888888887</v>
      </c>
      <c r="E104" s="1373" t="s">
        <v>2654</v>
      </c>
    </row>
    <row r="105" spans="3:7" ht="48.6" customHeight="1" x14ac:dyDescent="0.3">
      <c r="C105" s="79" t="s">
        <v>1709</v>
      </c>
      <c r="D105" s="1368">
        <v>0.33614285714285713</v>
      </c>
      <c r="E105" s="1373" t="s">
        <v>2656</v>
      </c>
    </row>
    <row r="106" spans="3:7" ht="45.6" customHeight="1" x14ac:dyDescent="0.3">
      <c r="C106" s="79" t="s">
        <v>1716</v>
      </c>
      <c r="D106" s="1368">
        <v>0.35152777777777777</v>
      </c>
      <c r="E106" s="1373" t="s">
        <v>2657</v>
      </c>
    </row>
    <row r="107" spans="3:7" ht="31.8" customHeight="1" x14ac:dyDescent="0.3">
      <c r="C107" s="79" t="s">
        <v>1720</v>
      </c>
      <c r="D107" s="1368">
        <v>0.35833333333333334</v>
      </c>
      <c r="E107" s="1372" t="s">
        <v>767</v>
      </c>
    </row>
    <row r="108" spans="3:7" ht="36.6" customHeight="1" x14ac:dyDescent="0.3"/>
    <row r="109" spans="3:7" ht="46.8" customHeight="1" x14ac:dyDescent="0.3"/>
    <row r="110" spans="3:7" ht="40.799999999999997" customHeight="1" x14ac:dyDescent="0.3"/>
    <row r="111" spans="3:7" ht="42.6" customHeight="1" x14ac:dyDescent="0.3"/>
  </sheetData>
  <mergeCells count="3">
    <mergeCell ref="M2:O3"/>
    <mergeCell ref="C99:E100"/>
    <mergeCell ref="C2:F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159"/>
  <sheetViews>
    <sheetView zoomScale="40" zoomScaleNormal="40" workbookViewId="0">
      <selection activeCell="C2" sqref="C2:F13"/>
    </sheetView>
  </sheetViews>
  <sheetFormatPr baseColWidth="10" defaultRowHeight="14.4" x14ac:dyDescent="0.3"/>
  <cols>
    <col min="3" max="3" width="58.6640625" customWidth="1"/>
    <col min="4" max="4" width="45.33203125" customWidth="1"/>
    <col min="5" max="5" width="61.33203125" customWidth="1"/>
    <col min="6" max="6" width="36.33203125" customWidth="1"/>
    <col min="7" max="7" width="60" customWidth="1"/>
    <col min="8" max="8" width="29.33203125" customWidth="1"/>
    <col min="9" max="9" width="42.6640625" customWidth="1"/>
    <col min="14" max="14" width="39.6640625" customWidth="1"/>
    <col min="15" max="15" width="35.33203125" customWidth="1"/>
    <col min="16" max="16" width="40.44140625" customWidth="1"/>
  </cols>
  <sheetData>
    <row r="2" spans="3:16" ht="14.4" customHeight="1" x14ac:dyDescent="0.3">
      <c r="C2" s="1728" t="s">
        <v>2626</v>
      </c>
      <c r="D2" s="1728"/>
      <c r="E2" s="1728"/>
      <c r="F2" s="1728"/>
    </row>
    <row r="3" spans="3:16" ht="61.2" customHeight="1" x14ac:dyDescent="0.3">
      <c r="C3" s="1728"/>
      <c r="D3" s="1728"/>
      <c r="E3" s="1728"/>
      <c r="F3" s="1728"/>
      <c r="N3" s="1701" t="s">
        <v>2638</v>
      </c>
      <c r="O3" s="1702"/>
      <c r="P3" s="1703"/>
    </row>
    <row r="4" spans="3:16" ht="57.6" customHeight="1" x14ac:dyDescent="0.3">
      <c r="C4" s="66"/>
      <c r="D4" s="1284" t="s">
        <v>2586</v>
      </c>
      <c r="E4" s="1284" t="s">
        <v>2603</v>
      </c>
      <c r="F4" s="1284" t="s">
        <v>2604</v>
      </c>
      <c r="N4" s="1704"/>
      <c r="O4" s="1705"/>
      <c r="P4" s="1706"/>
    </row>
    <row r="5" spans="3:16" ht="55.95" customHeight="1" x14ac:dyDescent="0.35">
      <c r="C5" s="77" t="str">
        <f>+'PLAN DE DESARROLLO 2024 - 2027'!B123</f>
        <v xml:space="preserve">CARTAGENA CIUDAD CONECTADA Y SOSTENIBLE
</v>
      </c>
      <c r="D5" s="699">
        <f>+'PLAN DE DESARROLLO 2024 - 2027'!H123</f>
        <v>0.77279219838918167</v>
      </c>
      <c r="E5" s="951">
        <f>+'PLAN DE DESARROLLO 2024 - 2027'!O123</f>
        <v>0.53358917072877365</v>
      </c>
      <c r="F5" s="706">
        <v>0.48114752787939219</v>
      </c>
      <c r="N5" s="66"/>
      <c r="O5" s="67" t="s">
        <v>2601</v>
      </c>
      <c r="P5" s="67" t="s">
        <v>2627</v>
      </c>
    </row>
    <row r="6" spans="3:16" ht="54.6" customHeight="1" x14ac:dyDescent="0.35">
      <c r="C6" s="70" t="str">
        <f>+'PLAN DE DESARROLLO 2024 - 2027'!B124</f>
        <v xml:space="preserve"> Ordenamiento del Territorio y espacio público.
</v>
      </c>
      <c r="D6" s="84">
        <f>+'PLAN DE DESARROLLO 2024 - 2027'!H124</f>
        <v>0.81703491612554102</v>
      </c>
      <c r="E6" s="94">
        <f>+'PLAN DE DESARROLLO 2024 - 2027'!O124</f>
        <v>0.47285980158730168</v>
      </c>
      <c r="F6" s="102">
        <v>0.45684270833333329</v>
      </c>
      <c r="N6" s="77" t="str">
        <f t="shared" ref="N6:N13" si="0">+C5</f>
        <v xml:space="preserve">CARTAGENA CIUDAD CONECTADA Y SOSTENIBLE
</v>
      </c>
      <c r="O6" s="86">
        <f>+'PLAN DE DESARROLLO 2024 - 2027'!J123+'PLAN DE DESARROLLO 2024 - 2027'!I123</f>
        <v>0.39932063331285683</v>
      </c>
      <c r="P6" s="84">
        <f>+'PLAN DE DESARROLLO 2024 - 2027'!R123</f>
        <v>0.43051012846917308</v>
      </c>
    </row>
    <row r="7" spans="3:16" ht="48" customHeight="1" x14ac:dyDescent="0.35">
      <c r="C7" s="70" t="str">
        <f>+'PLAN DE DESARROLLO 2024 - 2027'!B127</f>
        <v xml:space="preserve"> Control Urbanístico y Territorial
</v>
      </c>
      <c r="D7" s="84">
        <f>+'PLAN DE DESARROLLO 2024 - 2027'!H127</f>
        <v>0.61059613095238097</v>
      </c>
      <c r="E7" s="94">
        <f>+'PLAN DE DESARROLLO 2024 - 2027'!O127</f>
        <v>0.50546964285714291</v>
      </c>
      <c r="F7" s="102">
        <v>0.40500089285714286</v>
      </c>
      <c r="N7" s="68" t="str">
        <f t="shared" si="0"/>
        <v xml:space="preserve"> Ordenamiento del Territorio y espacio público.
</v>
      </c>
      <c r="O7" s="84">
        <f>+'PLAN DE DESARROLLO 2024 - 2027'!J124+'PLAN DE DESARROLLO 2024 - 2027'!I124</f>
        <v>0.42935448648648655</v>
      </c>
      <c r="P7" s="84">
        <f>+'PLAN DE DESARROLLO 2024 - 2027'!R124</f>
        <v>0.57415549466666671</v>
      </c>
    </row>
    <row r="8" spans="3:16" ht="36" x14ac:dyDescent="0.35">
      <c r="C8" s="70" t="str">
        <f>+'PLAN DE DESARROLLO 2024 - 2027'!B130</f>
        <v xml:space="preserve"> Cartagena Amigable con el Ambiente 
</v>
      </c>
      <c r="D8" s="84">
        <f>+'PLAN DE DESARROLLO 2024 - 2027'!H130</f>
        <v>0.68968457619047618</v>
      </c>
      <c r="E8" s="94">
        <f>+'PLAN DE DESARROLLO 2024 - 2027'!O130</f>
        <v>0.47124168730158733</v>
      </c>
      <c r="F8" s="102">
        <v>0.37340679841269842</v>
      </c>
      <c r="N8" s="80" t="str">
        <f t="shared" si="0"/>
        <v xml:space="preserve"> Control Urbanístico y Territorial
</v>
      </c>
      <c r="O8" s="84">
        <f>+'PLAN DE DESARROLLO 2024 - 2027'!J127+'PLAN DE DESARROLLO 2024 - 2027'!I127</f>
        <v>0.45153571428571426</v>
      </c>
      <c r="P8" s="84">
        <f>+'PLAN DE DESARROLLO 2024 - 2027'!R127</f>
        <v>0.73821428571428582</v>
      </c>
    </row>
    <row r="9" spans="3:16" ht="54" x14ac:dyDescent="0.35">
      <c r="C9" s="70" t="str">
        <f>+'PLAN DE DESARROLLO 2024 - 2027'!B136</f>
        <v xml:space="preserve"> Cartagena Adaptada al Clima y Resiliente a los Desastres
</v>
      </c>
      <c r="D9" s="84">
        <f>+'PLAN DE DESARROLLO 2024 - 2027'!H136</f>
        <v>0.91670476648400179</v>
      </c>
      <c r="E9" s="1345">
        <f>+'PLAN DE DESARROLLO 2024 - 2027'!O136</f>
        <v>0.64844857477466167</v>
      </c>
      <c r="F9" s="102">
        <v>0.6222393044098441</v>
      </c>
      <c r="N9" s="68" t="str">
        <f t="shared" si="0"/>
        <v xml:space="preserve"> Cartagena Amigable con el Ambiente 
</v>
      </c>
      <c r="O9" s="84">
        <f>+'PLAN DE DESARROLLO 2024 - 2027'!J130+'PLAN DE DESARROLLO 2024 - 2027'!I130</f>
        <v>0.32091666666666663</v>
      </c>
      <c r="P9" s="84">
        <f>+'PLAN DE DESARROLLO 2024 - 2027'!R130</f>
        <v>0.29058750833333336</v>
      </c>
    </row>
    <row r="10" spans="3:16" ht="49.95" customHeight="1" x14ac:dyDescent="0.35">
      <c r="C10" s="70" t="str">
        <f>+'PLAN DE DESARROLLO 2024 - 2027'!B143</f>
        <v xml:space="preserve">Ciudad Histórica y Patrimonial
</v>
      </c>
      <c r="D10" s="84">
        <f>+'PLAN DE DESARROLLO 2024 - 2027'!H143</f>
        <v>0.64279166666666665</v>
      </c>
      <c r="E10" s="1338">
        <f>+'PLAN DE DESARROLLO 2024 - 2027'!O143</f>
        <v>0.36382738095238093</v>
      </c>
      <c r="F10" s="102">
        <v>0.33279166666666665</v>
      </c>
      <c r="N10" s="68" t="str">
        <f t="shared" si="0"/>
        <v xml:space="preserve"> Cartagena Adaptada al Clima y Resiliente a los Desastres
</v>
      </c>
      <c r="O10" s="84">
        <f>+'PLAN DE DESARROLLO 2024 - 2027'!J136+'PLAN DE DESARROLLO 2024 - 2027'!I136</f>
        <v>0.45310010038270909</v>
      </c>
      <c r="P10" s="84">
        <f>+'PLAN DE DESARROLLO 2024 - 2027'!R136</f>
        <v>0.63958272162619989</v>
      </c>
    </row>
    <row r="11" spans="3:16" ht="64.8" customHeight="1" x14ac:dyDescent="0.35">
      <c r="C11" s="70" t="str">
        <f>+'PLAN DE DESARROLLO 2024 - 2027'!B147</f>
        <v xml:space="preserve">Infraestructura, Movilidad Sostenible y Accesibilidad para Todos
</v>
      </c>
      <c r="D11" s="84">
        <f>+'PLAN DE DESARROLLO 2024 - 2027'!H147</f>
        <v>0.99718475754512093</v>
      </c>
      <c r="E11" s="93">
        <f>+'PLAN DE DESARROLLO 2024 - 2027'!O147</f>
        <v>0.72732145894018829</v>
      </c>
      <c r="F11" s="102">
        <v>0.63722474587285305</v>
      </c>
      <c r="N11" s="68" t="str">
        <f t="shared" si="0"/>
        <v xml:space="preserve">Ciudad Histórica y Patrimonial
</v>
      </c>
      <c r="O11" s="84">
        <f>+'PLAN DE DESARROLLO 2024 - 2027'!J143+'PLAN DE DESARROLLO 2024 - 2027'!I143</f>
        <v>0.41069444444444447</v>
      </c>
      <c r="P11" s="84">
        <f>+'PLAN DE DESARROLLO 2024 - 2027'!R143</f>
        <v>0.26417537499999999</v>
      </c>
    </row>
    <row r="12" spans="3:16" ht="43.8" x14ac:dyDescent="0.35">
      <c r="C12" s="70" t="str">
        <f>+'PLAN DE DESARROLLO 2024 - 2027'!B153</f>
        <v xml:space="preserve">Cartagena Ordenada Alrededor del Agua
</v>
      </c>
      <c r="D12" s="84">
        <f>+'PLAN DE DESARROLLO 2024 - 2027'!H153</f>
        <v>0.82280486111111106</v>
      </c>
      <c r="E12" s="94">
        <f>+'PLAN DE DESARROLLO 2024 - 2027'!O153</f>
        <v>0.51927708333333333</v>
      </c>
      <c r="F12" s="102">
        <v>0.51947152777777772</v>
      </c>
      <c r="N12" s="68" t="str">
        <f t="shared" si="0"/>
        <v xml:space="preserve">Infraestructura, Movilidad Sostenible y Accesibilidad para Todos
</v>
      </c>
      <c r="O12" s="84">
        <f>+'PLAN DE DESARROLLO 2024 - 2027'!J147+'PLAN DE DESARROLLO 2024 - 2027'!I147</f>
        <v>0.56085977039114832</v>
      </c>
      <c r="P12" s="84">
        <f>+'PLAN DE DESARROLLO 2024 - 2027'!R147</f>
        <v>0.33495534128097743</v>
      </c>
    </row>
    <row r="13" spans="3:16" ht="29.4" x14ac:dyDescent="0.35">
      <c r="C13" s="63" t="str">
        <f>+'PLAN DE DESARROLLO 2024 - 2027'!B159</f>
        <v xml:space="preserve"> Integración Regional y Metropolitana
</v>
      </c>
      <c r="D13" s="84">
        <f>+'PLAN DE DESARROLLO 2024 - 2027'!H159</f>
        <v>0.33183333333333337</v>
      </c>
      <c r="E13" s="95">
        <f>+'PLAN DE DESARROLLO 2024 - 2027'!O159</f>
        <v>0.16500000000000004</v>
      </c>
      <c r="F13" s="2"/>
      <c r="N13" s="68" t="str">
        <f t="shared" si="0"/>
        <v xml:space="preserve">Cartagena Ordenada Alrededor del Agua
</v>
      </c>
      <c r="O13" s="84">
        <f>+'PLAN DE DESARROLLO 2024 - 2027'!J153+'PLAN DE DESARROLLO 2024 - 2027'!I153</f>
        <v>0.41881250000000003</v>
      </c>
      <c r="P13" s="84">
        <f>+'PLAN DE DESARROLLO 2024 - 2027'!R153</f>
        <v>0.45584175000000005</v>
      </c>
    </row>
    <row r="46" spans="3:7" ht="65.400000000000006" customHeight="1" x14ac:dyDescent="0.3">
      <c r="C46" s="2"/>
      <c r="D46" s="67" t="s">
        <v>2628</v>
      </c>
      <c r="E46" s="700" t="s">
        <v>2629</v>
      </c>
      <c r="G46" s="72" t="s">
        <v>1585</v>
      </c>
    </row>
    <row r="47" spans="3:7" ht="75" customHeight="1" x14ac:dyDescent="0.5">
      <c r="C47" s="1359" t="str">
        <f>+'PLAN DE DESARROLLO 2024 - 2027'!B124</f>
        <v xml:space="preserve"> Ordenamiento del Territorio y espacio público.
</v>
      </c>
      <c r="D47" s="1302">
        <f>+P7</f>
        <v>0.57415549466666671</v>
      </c>
      <c r="E47" s="1303">
        <f>+'PLAN DE DESARROLLO 2024 - 2027'!O124</f>
        <v>0.47285980158730168</v>
      </c>
      <c r="G47" t="s">
        <v>1585</v>
      </c>
    </row>
    <row r="48" spans="3:7" ht="34.950000000000003" customHeight="1" x14ac:dyDescent="0.3">
      <c r="C48" s="101" t="str">
        <f>+'PLAN DE DESARROLLO 2024 - 2027'!B125</f>
        <v xml:space="preserve"> INSTRUMENTOS DE PLANIFICACIÓN TERRITORIAL</v>
      </c>
      <c r="D48" s="1335">
        <f>+'PLAN DE DESARROLLO 2024 - 2027'!R125</f>
        <v>0.58407927809523807</v>
      </c>
      <c r="E48" s="1340">
        <f>+'PLAN DE DESARROLLO 2024 - 2027'!O125</f>
        <v>0.36656960317460324</v>
      </c>
    </row>
    <row r="49" spans="3:7" ht="29.4" customHeight="1" x14ac:dyDescent="0.3">
      <c r="C49" s="101" t="str">
        <f>+'PLAN DE DESARROLLO 2024 - 2027'!B126</f>
        <v xml:space="preserve"> RECUPERACIÓN Y TRANSFORMACIÓN DEL ESPACIO PÚBLICO</v>
      </c>
      <c r="D49" s="1335">
        <f>+'PLAN DE DESARROLLO 2024 - 2027'!R126</f>
        <v>0.55100000000000005</v>
      </c>
      <c r="E49" s="1344">
        <f>+'PLAN DE DESARROLLO 2024 - 2027'!O126</f>
        <v>0.57915000000000005</v>
      </c>
    </row>
    <row r="50" spans="3:7" ht="29.4" customHeight="1" x14ac:dyDescent="0.3">
      <c r="C50" s="74"/>
      <c r="D50" s="82"/>
    </row>
    <row r="51" spans="3:7" ht="29.4" customHeight="1" x14ac:dyDescent="0.3">
      <c r="C51" s="74"/>
      <c r="D51" s="82"/>
    </row>
    <row r="52" spans="3:7" ht="28.8" x14ac:dyDescent="0.3">
      <c r="G52" s="72" t="s">
        <v>1585</v>
      </c>
    </row>
    <row r="53" spans="3:7" x14ac:dyDescent="0.3">
      <c r="C53" s="72"/>
      <c r="G53" s="72"/>
    </row>
    <row r="54" spans="3:7" ht="51.6" customHeight="1" x14ac:dyDescent="0.3">
      <c r="C54" s="2"/>
      <c r="D54" s="67" t="s">
        <v>2628</v>
      </c>
      <c r="E54" s="700" t="s">
        <v>2630</v>
      </c>
      <c r="F54" s="62" t="s">
        <v>1585</v>
      </c>
    </row>
    <row r="55" spans="3:7" ht="70.95" customHeight="1" x14ac:dyDescent="0.5">
      <c r="C55" s="1359" t="str">
        <f>+'PLAN DE DESARROLLO 2024 - 2027'!B127</f>
        <v xml:space="preserve"> Control Urbanístico y Territorial
</v>
      </c>
      <c r="D55" s="1302">
        <f>+P8</f>
        <v>0.73821428571428582</v>
      </c>
      <c r="E55" s="1374">
        <f>+'PLAN DE DESARROLLO 2024 - 2027'!O127</f>
        <v>0.50546964285714291</v>
      </c>
    </row>
    <row r="56" spans="3:7" ht="43.95" customHeight="1" x14ac:dyDescent="0.3">
      <c r="C56" s="101" t="str">
        <f>+'PLAN DE DESARROLLO 2024 - 2027'!B129</f>
        <v xml:space="preserve"> CARTAGENA AVANZA EN EL FORTALECIMIENTO DEL PLAN DE NORMALIZACIÓN URBANÍSTICA</v>
      </c>
      <c r="D56" s="1335">
        <f>+'PLAN DE DESARROLLO 2024 - 2027'!R129</f>
        <v>0.36535714285714288</v>
      </c>
      <c r="E56" s="1375">
        <f>+'PLAN DE DESARROLLO 2024 - 2027'!O129</f>
        <v>0.46093928571428572</v>
      </c>
    </row>
    <row r="57" spans="3:7" ht="43.95" customHeight="1" x14ac:dyDescent="0.3">
      <c r="C57" s="101" t="str">
        <f>+'PLAN DE DESARROLLO 2024 - 2027'!B128</f>
        <v xml:space="preserve"> RECUPERANDO LA GOBERNANZA URBANÍSTICA, CARTAGENA VUELVE A BRILLAR</v>
      </c>
      <c r="D57" s="1335">
        <f>+'PLAN DE DESARROLLO 2024 - 2027'!R128</f>
        <v>0.86250000000000004</v>
      </c>
      <c r="E57" s="1375">
        <f>+'PLAN DE DESARROLLO 2024 - 2027'!O128</f>
        <v>0.55000000000000004</v>
      </c>
    </row>
    <row r="59" spans="3:7" ht="52.95" customHeight="1" x14ac:dyDescent="0.3">
      <c r="C59" s="2"/>
      <c r="D59" s="67" t="s">
        <v>2628</v>
      </c>
      <c r="E59" s="700" t="s">
        <v>2631</v>
      </c>
    </row>
    <row r="60" spans="3:7" ht="69" customHeight="1" x14ac:dyDescent="0.5">
      <c r="C60" s="1359" t="str">
        <f>+'PLAN DE DESARROLLO 2024 - 2027'!B130</f>
        <v xml:space="preserve"> Cartagena Amigable con el Ambiente 
</v>
      </c>
      <c r="D60" s="1302">
        <f>+P9</f>
        <v>0.29058750833333336</v>
      </c>
      <c r="E60" s="1303">
        <f>+'PLAN DE DESARROLLO 2024 - 2027'!O130</f>
        <v>0.47124168730158733</v>
      </c>
    </row>
    <row r="61" spans="3:7" ht="37.200000000000003" customHeight="1" x14ac:dyDescent="0.3">
      <c r="C61" s="101" t="str">
        <f>+'PLAN DE DESARROLLO 2024 - 2027'!B131</f>
        <v xml:space="preserve"> BIENESTAR ANIMAL Y PROTECCIÓN DE LA VIDA SILVESTRE</v>
      </c>
      <c r="D61" s="1335">
        <f>+'PLAN DE DESARROLLO 2024 - 2027'!R131</f>
        <v>0.17025750000000001</v>
      </c>
      <c r="E61" s="1340">
        <f>+'PLAN DE DESARROLLO 2024 - 2027'!O131</f>
        <v>0.29423154761904763</v>
      </c>
    </row>
    <row r="62" spans="3:7" ht="48.6" customHeight="1" x14ac:dyDescent="0.3">
      <c r="C62" s="101" t="str">
        <f>+'PLAN DE DESARROLLO 2024 - 2027'!B132</f>
        <v xml:space="preserve"> GESTIÓN Y CONSERVACIÓN DE LA VEGETACIÓN Y LA BIODIVERSIDAD</v>
      </c>
      <c r="D62" s="1335">
        <f>+'PLAN DE DESARROLLO 2024 - 2027'!R132</f>
        <v>0.37132266666666669</v>
      </c>
      <c r="E62" s="1337">
        <f>+'PLAN DE DESARROLLO 2024 - 2027'!O132</f>
        <v>0.40735222222222217</v>
      </c>
    </row>
    <row r="63" spans="3:7" ht="48.6" customHeight="1" x14ac:dyDescent="0.3">
      <c r="C63" s="101" t="str">
        <f>+'PLAN DE DESARROLLO 2024 - 2027'!B133</f>
        <v xml:space="preserve"> ALERTAS TEMPRANAS</v>
      </c>
      <c r="D63" s="1335">
        <f>+'PLAN DE DESARROLLO 2024 - 2027'!R133</f>
        <v>0.8</v>
      </c>
      <c r="E63" s="1376">
        <f>+'PLAN DE DESARROLLO 2024 - 2027'!O133</f>
        <v>0.75</v>
      </c>
    </row>
    <row r="64" spans="3:7" ht="31.2" customHeight="1" x14ac:dyDescent="0.3">
      <c r="C64" s="101" t="str">
        <f>+'PLAN DE DESARROLLO 2024 - 2027'!B134</f>
        <v xml:space="preserve"> INVESTIGACIÓN, EDUCACIÓN Y CULTURA AMBIENTAL</v>
      </c>
      <c r="D64" s="1335">
        <f>+'PLAN DE DESARROLLO 2024 - 2027'!R134</f>
        <v>0.62833000000000006</v>
      </c>
      <c r="E64" s="1344">
        <f>+'PLAN DE DESARROLLO 2024 - 2027'!O134</f>
        <v>0.67770000000000008</v>
      </c>
    </row>
    <row r="65" spans="3:7" ht="43.8" customHeight="1" x14ac:dyDescent="0.3">
      <c r="C65" s="101" t="str">
        <f>+'PLAN DE DESARROLLO 2024 - 2027'!B135</f>
        <v xml:space="preserve"> GENERACIÓN DE ESPACIOS PÚBLICOS REVITALIZADOS Y ADAPTADOS PARA TODOS</v>
      </c>
      <c r="D65" s="1335">
        <f>+'PLAN DE DESARROLLO 2024 - 2027'!R135</f>
        <v>0.14076986666666669</v>
      </c>
      <c r="E65" s="1339">
        <f>+'PLAN DE DESARROLLO 2024 - 2027'!O135</f>
        <v>0.22692466666666666</v>
      </c>
    </row>
    <row r="70" spans="3:7" ht="67.95" customHeight="1" x14ac:dyDescent="0.3">
      <c r="C70" s="2"/>
      <c r="D70" s="67" t="s">
        <v>2628</v>
      </c>
      <c r="E70" s="700" t="s">
        <v>2632</v>
      </c>
      <c r="F70" s="62" t="s">
        <v>1585</v>
      </c>
    </row>
    <row r="71" spans="3:7" ht="77.400000000000006" x14ac:dyDescent="0.5">
      <c r="C71" s="1359" t="str">
        <f>+'PLAN DE DESARROLLO 2024 - 2027'!B136</f>
        <v xml:space="preserve"> Cartagena Adaptada al Clima y Resiliente a los Desastres
</v>
      </c>
      <c r="D71" s="1302">
        <f>+P10</f>
        <v>0.63958272162619989</v>
      </c>
      <c r="E71" s="1296">
        <f>+'PLAN DE DESARROLLO 2024 - 2027'!O136</f>
        <v>0.64844857477466167</v>
      </c>
    </row>
    <row r="72" spans="3:7" ht="38.4" customHeight="1" x14ac:dyDescent="0.3">
      <c r="C72" s="101" t="str">
        <f>+'PLAN DE DESARROLLO 2024 - 2027'!B137</f>
        <v xml:space="preserve"> ORDENAMIENTO Y SOSTENIBILIDAD AMBIENTAL</v>
      </c>
      <c r="D72" s="1335">
        <f>+'PLAN DE DESARROLLO 2024 - 2027'!R137</f>
        <v>0.36499999999999999</v>
      </c>
      <c r="E72" s="1337">
        <f>+'PLAN DE DESARROLLO 2024 - 2027'!O137</f>
        <v>0.44166666666666665</v>
      </c>
    </row>
    <row r="73" spans="3:7" ht="34.200000000000003" customHeight="1" x14ac:dyDescent="0.3">
      <c r="C73" s="101" t="str">
        <f>+'PLAN DE DESARROLLO 2024 - 2027'!B138</f>
        <v xml:space="preserve"> CONOCIMIENTO DEL RIESGO</v>
      </c>
      <c r="D73" s="1335">
        <f>+'PLAN DE DESARROLLO 2024 - 2027'!R138</f>
        <v>0.69763636363636361</v>
      </c>
      <c r="E73" s="1344">
        <f>+'PLAN DE DESARROLLO 2024 - 2027'!O138</f>
        <v>0.67886363636363634</v>
      </c>
    </row>
    <row r="74" spans="3:7" ht="25.2" customHeight="1" x14ac:dyDescent="0.3">
      <c r="C74" s="101" t="str">
        <f>+'PLAN DE DESARROLLO 2024 - 2027'!B139</f>
        <v xml:space="preserve"> REDUCCIÓN DEL RIESGO</v>
      </c>
      <c r="D74" s="1335">
        <f>+'PLAN DE DESARROLLO 2024 - 2027'!R139</f>
        <v>0.70405797101449274</v>
      </c>
      <c r="E74" s="1336">
        <f>+'PLAN DE DESARROLLO 2024 - 2027'!O139</f>
        <v>0.77294685990338163</v>
      </c>
    </row>
    <row r="75" spans="3:7" ht="30.6" customHeight="1" x14ac:dyDescent="0.3">
      <c r="C75" s="101" t="str">
        <f>+'PLAN DE DESARROLLO 2024 - 2027'!B140</f>
        <v xml:space="preserve"> MANEJO DE DESASTRES</v>
      </c>
      <c r="D75" s="1335">
        <f>+'PLAN DE DESARROLLO 2024 - 2027'!R140</f>
        <v>0.88975000000000004</v>
      </c>
      <c r="E75" s="1336">
        <f>+'PLAN DE DESARROLLO 2024 - 2027'!O140</f>
        <v>0.92649999999999999</v>
      </c>
    </row>
    <row r="76" spans="3:7" ht="35.4" customHeight="1" x14ac:dyDescent="0.3">
      <c r="C76" s="101" t="str">
        <f>+'PLAN DE DESARROLLO 2024 - 2027'!B141</f>
        <v xml:space="preserve"> PROTECCIÓN COSTERA</v>
      </c>
      <c r="D76" s="1335">
        <f>+'PLAN DE DESARROLLO 2024 - 2027'!R141</f>
        <v>0.36571428571428571</v>
      </c>
      <c r="E76" s="1340">
        <f>+'PLAN DE DESARROLLO 2024 - 2027'!O141</f>
        <v>0.36571428571428571</v>
      </c>
    </row>
    <row r="77" spans="3:7" ht="39.6" customHeight="1" x14ac:dyDescent="0.3">
      <c r="C77" s="101" t="str">
        <f>+'PLAN DE DESARROLLO 2024 - 2027'!B142</f>
        <v xml:space="preserve"> ADAPTACIÓN DEL ESPACIO PÚBLICO AL CAMBIO CLIMÁTICO</v>
      </c>
      <c r="D77" s="1335">
        <f>+'PLAN DE DESARROLLO 2024 - 2027'!R142</f>
        <v>0.82299999999999995</v>
      </c>
      <c r="E77" s="1344">
        <f>+'PLAN DE DESARROLLO 2024 - 2027'!O142</f>
        <v>0.70499999999999996</v>
      </c>
    </row>
    <row r="78" spans="3:7" ht="29.4" customHeight="1" x14ac:dyDescent="0.3">
      <c r="C78" s="74"/>
      <c r="D78" s="76"/>
      <c r="G78" s="72" t="s">
        <v>1585</v>
      </c>
    </row>
    <row r="79" spans="3:7" ht="21.6" customHeight="1" x14ac:dyDescent="0.3">
      <c r="C79" s="74"/>
      <c r="D79" s="76"/>
    </row>
    <row r="80" spans="3:7" ht="20.399999999999999" customHeight="1" x14ac:dyDescent="0.3"/>
    <row r="82" spans="3:11" ht="65.400000000000006" customHeight="1" x14ac:dyDescent="0.3">
      <c r="C82" s="2"/>
      <c r="D82" s="67" t="s">
        <v>2628</v>
      </c>
      <c r="E82" s="700" t="s">
        <v>2633</v>
      </c>
      <c r="F82" s="62" t="s">
        <v>1585</v>
      </c>
      <c r="K82" s="72" t="s">
        <v>1585</v>
      </c>
    </row>
    <row r="83" spans="3:11" ht="52.2" customHeight="1" x14ac:dyDescent="0.5">
      <c r="C83" s="1359" t="str">
        <f>+'PLAN DE DESARROLLO 2024 - 2027'!B143</f>
        <v xml:space="preserve">Ciudad Histórica y Patrimonial
</v>
      </c>
      <c r="D83" s="1302">
        <f>+P11</f>
        <v>0.26417537499999999</v>
      </c>
      <c r="E83" s="1377">
        <f>+'PLAN DE DESARROLLO 2024 - 2027'!O143</f>
        <v>0.36382738095238093</v>
      </c>
    </row>
    <row r="84" spans="3:11" ht="43.2" customHeight="1" x14ac:dyDescent="0.3">
      <c r="C84" s="101" t="str">
        <f>+'PLAN DE DESARROLLO 2024 - 2027'!B144</f>
        <v xml:space="preserve"> SOSTENIBILIDAD DEL ESPACIO PÚBLICO DEL CENTRO HISTÓRICO DE CARTAGENA DE INDIAS.</v>
      </c>
      <c r="D84" s="1335">
        <f>+'PLAN DE DESARROLLO 2024 - 2027'!R144</f>
        <v>0.2944175</v>
      </c>
      <c r="E84" s="1340">
        <f>+'PLAN DE DESARROLLO 2024 - 2027'!O144</f>
        <v>0.26353214285714283</v>
      </c>
    </row>
    <row r="85" spans="3:11" ht="75.599999999999994" customHeight="1" x14ac:dyDescent="0.3">
      <c r="C85" s="101" t="str">
        <f>+'PLAN DE DESARROLLO 2024 - 2027'!B145</f>
        <v xml:space="preserve"> CONEXIÓN ENTRE EL CASTILLO DE SAN FELIPE DE BARAJAS Y SU ÁREA DE INFLUENCIA PARA LA RECUPERACIÓN DEL PATRIMONIO ARQUEOLÓGICO, MATERIAL E INMATERIAL</v>
      </c>
      <c r="D85" s="1335">
        <f>+'PLAN DE DESARROLLO 2024 - 2027'!R145</f>
        <v>0.15375</v>
      </c>
      <c r="E85" s="1339">
        <f>+'PLAN DE DESARROLLO 2024 - 2027'!O145</f>
        <v>0.20295000000000002</v>
      </c>
    </row>
    <row r="86" spans="3:11" ht="38.4" customHeight="1" x14ac:dyDescent="0.3">
      <c r="C86" s="101" t="str">
        <f>+'PLAN DE DESARROLLO 2024 - 2027'!B146</f>
        <v xml:space="preserve"> MURALLA PARA TODOS</v>
      </c>
      <c r="D86" s="1335">
        <f>+'PLAN DE DESARROLLO 2024 - 2027'!R146</f>
        <v>0.625</v>
      </c>
      <c r="E86" s="1344">
        <f>+'PLAN DE DESARROLLO 2024 - 2027'!O146</f>
        <v>0.625</v>
      </c>
    </row>
    <row r="87" spans="3:11" ht="28.2" customHeight="1" x14ac:dyDescent="0.3">
      <c r="C87" s="74"/>
      <c r="D87" s="76"/>
    </row>
    <row r="88" spans="3:11" ht="20.399999999999999" customHeight="1" x14ac:dyDescent="0.3">
      <c r="C88" s="74"/>
      <c r="D88" s="76"/>
    </row>
    <row r="89" spans="3:11" ht="20.399999999999999" customHeight="1" x14ac:dyDescent="0.3">
      <c r="C89" s="74"/>
      <c r="D89" s="76"/>
    </row>
    <row r="90" spans="3:11" ht="20.399999999999999" customHeight="1" x14ac:dyDescent="0.3">
      <c r="C90" s="74"/>
      <c r="D90" s="76"/>
    </row>
    <row r="92" spans="3:11" ht="18" x14ac:dyDescent="0.35">
      <c r="C92" s="75"/>
      <c r="D92" s="76"/>
    </row>
    <row r="93" spans="3:11" ht="18" x14ac:dyDescent="0.35">
      <c r="C93" s="75"/>
      <c r="D93" s="76"/>
    </row>
    <row r="94" spans="3:11" ht="67.95" customHeight="1" x14ac:dyDescent="0.3">
      <c r="C94" s="2"/>
      <c r="D94" s="67" t="s">
        <v>2628</v>
      </c>
      <c r="E94" s="705" t="s">
        <v>2634</v>
      </c>
    </row>
    <row r="95" spans="3:11" ht="91.2" customHeight="1" x14ac:dyDescent="0.5">
      <c r="C95" s="1359" t="str">
        <f>+'PLAN DE DESARROLLO 2024 - 2027'!B147</f>
        <v xml:space="preserve">Infraestructura, Movilidad Sostenible y Accesibilidad para Todos
</v>
      </c>
      <c r="D95" s="1378">
        <f>+P12</f>
        <v>0.33495534128097743</v>
      </c>
      <c r="E95" s="1380">
        <f>+'PLAN DE DESARROLLO 2024 - 2027'!O147</f>
        <v>0.72732145894018829</v>
      </c>
      <c r="J95" s="72" t="s">
        <v>1585</v>
      </c>
    </row>
    <row r="96" spans="3:11" ht="60.6" customHeight="1" x14ac:dyDescent="0.3">
      <c r="C96" s="101" t="str">
        <f>+'PLAN DE DESARROLLO 2024 - 2027'!B149</f>
        <v xml:space="preserve"> REHABILITACIÓN, MANTENIMIENTO, ADECUACIÓN, Y OBRA NUEVA PARA EL SISTEMA VIAL Y ESTRUCTURAS DE PASO</v>
      </c>
      <c r="D96" s="1379">
        <f>+'PLAN DE DESARROLLO 2024 - 2027'!R149</f>
        <v>1</v>
      </c>
      <c r="E96" s="1376">
        <f>+'PLAN DE DESARROLLO 2024 - 2027'!O149</f>
        <v>1</v>
      </c>
    </row>
    <row r="97" spans="3:10" ht="48.6" customHeight="1" x14ac:dyDescent="0.3">
      <c r="C97" s="101" t="str">
        <f>+'PLAN DE DESARROLLO 2024 - 2027'!B150</f>
        <v xml:space="preserve"> SOLUCIONES VIALES PARA LA COMPETITIVIDAD A TRAVÉS DE CONTRIBUCIÓN POR VALORIZACIÓN</v>
      </c>
      <c r="D97" s="1379">
        <f>+'PLAN DE DESARROLLO 2024 - 2027'!R150</f>
        <v>0.26324999999999998</v>
      </c>
      <c r="E97" s="1381">
        <f>+'PLAN DE DESARROLLO 2024 - 2027'!O150</f>
        <v>0.19499999999999998</v>
      </c>
    </row>
    <row r="98" spans="3:10" ht="45.6" customHeight="1" x14ac:dyDescent="0.3">
      <c r="C98" s="101" t="str">
        <f>+'PLAN DE DESARROLLO 2024 - 2027'!B151</f>
        <v xml:space="preserve"> MOVILIDAD ORDENADA, SOSTENIBLE Y AMIGABLE CON EL MEDIO AMBIENTE</v>
      </c>
      <c r="D98" s="1379">
        <f>+'PLAN DE DESARROLLO 2024 - 2027'!R151</f>
        <v>0.60192798694589134</v>
      </c>
      <c r="E98" s="1382">
        <f>+'PLAN DE DESARROLLO 2024 - 2027'!O151</f>
        <v>0.57857089722353749</v>
      </c>
    </row>
    <row r="99" spans="3:10" ht="36.6" customHeight="1" x14ac:dyDescent="0.3">
      <c r="C99" s="101" t="str">
        <f>+'PLAN DE DESARROLLO 2024 - 2027'!B152</f>
        <v xml:space="preserve"> TRANSPORTE MASIVO CONFIABLE, EFICIENTE Y SOSTENIBLE</v>
      </c>
      <c r="D99" s="1379">
        <f>+'PLAN DE DESARROLLO 2024 - 2027'!R152</f>
        <v>0.58384321619546875</v>
      </c>
      <c r="E99" s="1376">
        <f>+'PLAN DE DESARROLLO 2024 - 2027'!O152</f>
        <v>0.7357149385372157</v>
      </c>
    </row>
    <row r="100" spans="3:10" x14ac:dyDescent="0.3">
      <c r="D100" s="76"/>
    </row>
    <row r="101" spans="3:10" x14ac:dyDescent="0.3">
      <c r="D101" s="76"/>
    </row>
    <row r="102" spans="3:10" x14ac:dyDescent="0.3">
      <c r="D102" s="76"/>
    </row>
    <row r="103" spans="3:10" ht="58.2" customHeight="1" x14ac:dyDescent="0.3">
      <c r="C103" s="2"/>
      <c r="D103" s="67" t="s">
        <v>2628</v>
      </c>
      <c r="E103" s="705" t="s">
        <v>2635</v>
      </c>
    </row>
    <row r="104" spans="3:10" ht="36" x14ac:dyDescent="0.35">
      <c r="C104" s="70" t="str">
        <f>+'PLAN DE DESARROLLO 2024 - 2027'!B153</f>
        <v xml:space="preserve">Cartagena Ordenada Alrededor del Agua
</v>
      </c>
      <c r="D104" s="1378">
        <f>+P13</f>
        <v>0.45584175000000005</v>
      </c>
      <c r="E104" s="1374">
        <f>+'PLAN DE DESARROLLO 2024 - 2027'!O153</f>
        <v>0.51927708333333333</v>
      </c>
      <c r="J104" s="72" t="s">
        <v>1585</v>
      </c>
    </row>
    <row r="105" spans="3:10" ht="36.6" customHeight="1" x14ac:dyDescent="0.3">
      <c r="C105" s="101" t="str">
        <f>+'PLAN DE DESARROLLO 2024 - 2027'!B154</f>
        <v xml:space="preserve"> GESTIÓN Y CONSERVACIÓN DEL AGUA</v>
      </c>
      <c r="D105" s="1379">
        <f>+'PLAN DE DESARROLLO 2024 - 2027'!R154</f>
        <v>0.13008375000000003</v>
      </c>
      <c r="E105" s="1381">
        <f>+'PLAN DE DESARROLLO 2024 - 2027'!O154</f>
        <v>0.21969166666666667</v>
      </c>
    </row>
    <row r="106" spans="3:10" ht="37.200000000000003" customHeight="1" x14ac:dyDescent="0.3">
      <c r="C106" s="101" t="str">
        <f>+'PLAN DE DESARROLLO 2024 - 2027'!B155</f>
        <v xml:space="preserve"> RECUPERACIÓN DEL SISTEMA DE CANALES Y DRENAJES PLUVIALES</v>
      </c>
      <c r="D106" s="1379">
        <f>+'PLAN DE DESARROLLO 2024 - 2027'!R155</f>
        <v>1</v>
      </c>
      <c r="E106" s="1376">
        <f>+'PLAN DE DESARROLLO 2024 - 2027'!O155</f>
        <v>1</v>
      </c>
    </row>
    <row r="107" spans="3:10" ht="28.8" x14ac:dyDescent="0.3">
      <c r="C107" s="101" t="str">
        <f>+'PLAN DE DESARROLLO 2024 - 2027'!B156</f>
        <v xml:space="preserve"> RECUPERACIÓN Y ESTABILIZACIÓN DEL SISTEMA HÍDRICO Y LITORAL DE CARTAGENA</v>
      </c>
      <c r="D107" s="1379">
        <f>+'PLAN DE DESARROLLO 2024 - 2027'!R156</f>
        <v>0.31550000000000006</v>
      </c>
      <c r="E107" s="1375">
        <f>+'PLAN DE DESARROLLO 2024 - 2027'!O156</f>
        <v>0.46200000000000002</v>
      </c>
    </row>
    <row r="108" spans="3:10" ht="38.4" customHeight="1" x14ac:dyDescent="0.3">
      <c r="C108" s="101" t="str">
        <f>+'PLAN DE DESARROLLO 2024 - 2027'!B157</f>
        <v xml:space="preserve"> PLAN DE RESTAURACIÓN INTEGRAL DE LA CIÉNAGA DE LA VIRGEN</v>
      </c>
      <c r="D108" s="1379">
        <f>+'PLAN DE DESARROLLO 2024 - 2027'!R157</f>
        <v>0.64983333333333326</v>
      </c>
      <c r="E108" s="1388">
        <f>+'PLAN DE DESARROLLO 2024 - 2027'!O157</f>
        <v>0.39541666666666664</v>
      </c>
    </row>
    <row r="112" spans="3:10" ht="33.6" customHeight="1" x14ac:dyDescent="0.3"/>
    <row r="113" spans="3:4" ht="18" x14ac:dyDescent="0.35">
      <c r="C113" s="75"/>
      <c r="D113" s="76"/>
    </row>
    <row r="114" spans="3:4" ht="18" x14ac:dyDescent="0.35">
      <c r="C114" s="75"/>
      <c r="D114" s="76"/>
    </row>
    <row r="119" spans="3:4" ht="55.95" customHeight="1" x14ac:dyDescent="0.3">
      <c r="C119" s="2"/>
      <c r="D119" s="700" t="s">
        <v>2636</v>
      </c>
    </row>
    <row r="120" spans="3:4" ht="67.2" customHeight="1" x14ac:dyDescent="0.35">
      <c r="C120" s="70" t="str">
        <f t="shared" ref="C120:C127" si="1">+N6</f>
        <v xml:space="preserve">CARTAGENA CIUDAD CONECTADA Y SOSTENIBLE
</v>
      </c>
      <c r="D120" s="1386">
        <f>+'PLAN DE DESARROLLO 2024 - 2027'!L123</f>
        <v>0.20790903394659535</v>
      </c>
    </row>
    <row r="121" spans="3:4" ht="55.2" customHeight="1" x14ac:dyDescent="0.3">
      <c r="C121" s="79" t="str">
        <f t="shared" si="1"/>
        <v xml:space="preserve"> Ordenamiento del Territorio y espacio público.
</v>
      </c>
      <c r="D121" s="1383">
        <f>+'PLAN DE DESARROLLO 2024 - 2027'!L124</f>
        <v>0.17507481639349209</v>
      </c>
    </row>
    <row r="122" spans="3:4" ht="47.4" customHeight="1" x14ac:dyDescent="0.3">
      <c r="C122" s="79" t="str">
        <f t="shared" si="1"/>
        <v xml:space="preserve"> Control Urbanístico y Territorial
</v>
      </c>
      <c r="D122" s="1384">
        <f>+'PLAN DE DESARROLLO 2024 - 2027'!L127</f>
        <v>0.31092036553524804</v>
      </c>
    </row>
    <row r="123" spans="3:4" ht="37.200000000000003" customHeight="1" x14ac:dyDescent="0.3">
      <c r="C123" s="79" t="str">
        <f t="shared" si="1"/>
        <v xml:space="preserve"> Cartagena Amigable con el Ambiente 
</v>
      </c>
      <c r="D123" s="1387">
        <f>+'PLAN DE DESARROLLO 2024 - 2027'!L130</f>
        <v>0.10473200000000001</v>
      </c>
    </row>
    <row r="124" spans="3:4" ht="61.2" customHeight="1" x14ac:dyDescent="0.3">
      <c r="C124" s="79" t="str">
        <f t="shared" si="1"/>
        <v xml:space="preserve"> Cartagena Adaptada al Clima y Resiliente a los Desastres
</v>
      </c>
      <c r="D124" s="1385">
        <f>+'PLAN DE DESARROLLO 2024 - 2027'!L136</f>
        <v>0.23134216225220725</v>
      </c>
    </row>
    <row r="125" spans="3:4" ht="31.2" x14ac:dyDescent="0.3">
      <c r="C125" s="79" t="str">
        <f t="shared" si="1"/>
        <v xml:space="preserve">Ciudad Histórica y Patrimonial
</v>
      </c>
      <c r="D125" s="1387">
        <f>+'PLAN DE DESARROLLO 2024 - 2027'!L143</f>
        <v>6.9738562091503267E-2</v>
      </c>
    </row>
    <row r="126" spans="3:4" ht="46.8" x14ac:dyDescent="0.3">
      <c r="C126" s="79" t="str">
        <f t="shared" si="1"/>
        <v xml:space="preserve">Infraestructura, Movilidad Sostenible y Accesibilidad para Todos
</v>
      </c>
      <c r="D126" s="1385">
        <f>+'PLAN DE DESARROLLO 2024 - 2027'!L147</f>
        <v>0.53861770410013765</v>
      </c>
    </row>
    <row r="127" spans="3:4" ht="31.2" x14ac:dyDescent="0.3">
      <c r="C127" s="79" t="str">
        <f t="shared" si="1"/>
        <v xml:space="preserve">Cartagena Ordenada Alrededor del Agua
</v>
      </c>
      <c r="D127" s="1385">
        <f>+'PLAN DE DESARROLLO 2024 - 2027'!L153</f>
        <v>0.23331825396825398</v>
      </c>
    </row>
    <row r="134" spans="3:5" ht="38.4" customHeight="1" x14ac:dyDescent="0.3"/>
    <row r="136" spans="3:5" ht="36.6" customHeight="1" x14ac:dyDescent="0.3"/>
    <row r="140" spans="3:5" x14ac:dyDescent="0.3">
      <c r="C140" s="1708" t="s">
        <v>1844</v>
      </c>
      <c r="D140" s="1708"/>
      <c r="E140" s="1708"/>
    </row>
    <row r="141" spans="3:5" x14ac:dyDescent="0.3">
      <c r="C141" s="1708"/>
      <c r="D141" s="1708"/>
      <c r="E141" s="1708"/>
    </row>
    <row r="142" spans="3:5" ht="43.8" customHeight="1" x14ac:dyDescent="0.3">
      <c r="C142" s="98" t="s">
        <v>2261</v>
      </c>
      <c r="D142" s="71" t="s">
        <v>2637</v>
      </c>
      <c r="E142" s="97" t="s">
        <v>1586</v>
      </c>
    </row>
    <row r="143" spans="3:5" ht="36.6" customHeight="1" x14ac:dyDescent="0.3">
      <c r="C143" s="101" t="s">
        <v>1731</v>
      </c>
      <c r="D143" s="1390">
        <v>0.22692466666666666</v>
      </c>
      <c r="E143" s="881" t="s">
        <v>1540</v>
      </c>
    </row>
    <row r="144" spans="3:5" ht="57.6" customHeight="1" x14ac:dyDescent="0.3">
      <c r="C144" s="101" t="s">
        <v>1738</v>
      </c>
      <c r="D144" s="1391">
        <v>0.26353214285714283</v>
      </c>
      <c r="E144" s="881" t="s">
        <v>2339</v>
      </c>
    </row>
    <row r="145" spans="3:5" ht="84.6" customHeight="1" x14ac:dyDescent="0.3">
      <c r="C145" s="101" t="s">
        <v>1739</v>
      </c>
      <c r="D145" s="1390">
        <v>0.20295000000000002</v>
      </c>
      <c r="E145" s="881" t="s">
        <v>2340</v>
      </c>
    </row>
    <row r="146" spans="3:5" ht="43.2" customHeight="1" x14ac:dyDescent="0.3">
      <c r="C146" s="101" t="s">
        <v>1743</v>
      </c>
      <c r="D146" s="1392">
        <v>0.19499999999999998</v>
      </c>
      <c r="E146" s="881" t="s">
        <v>863</v>
      </c>
    </row>
    <row r="147" spans="3:5" ht="53.4" customHeight="1" x14ac:dyDescent="0.3">
      <c r="C147" s="101" t="s">
        <v>1746</v>
      </c>
      <c r="D147" s="1392">
        <v>0.22</v>
      </c>
      <c r="E147" s="882" t="s">
        <v>2429</v>
      </c>
    </row>
    <row r="148" spans="3:5" ht="48.6" customHeight="1" x14ac:dyDescent="0.3">
      <c r="C148" s="101" t="s">
        <v>1723</v>
      </c>
      <c r="D148" s="1391">
        <v>0.36656960317460324</v>
      </c>
      <c r="E148" s="1389" t="s">
        <v>560</v>
      </c>
    </row>
    <row r="149" spans="3:5" ht="39.6" customHeight="1" x14ac:dyDescent="0.3">
      <c r="C149" s="101" t="s">
        <v>1736</v>
      </c>
      <c r="D149" s="1391">
        <v>0.36571428571428571</v>
      </c>
      <c r="E149" s="881" t="s">
        <v>863</v>
      </c>
    </row>
    <row r="150" spans="3:5" ht="55.8" customHeight="1" x14ac:dyDescent="0.3">
      <c r="C150" s="101" t="s">
        <v>1727</v>
      </c>
      <c r="D150" s="1391">
        <v>0.29423154761904763</v>
      </c>
      <c r="E150" s="1389" t="s">
        <v>767</v>
      </c>
    </row>
    <row r="151" spans="3:5" ht="40.799999999999997" customHeight="1" x14ac:dyDescent="0.3">
      <c r="C151" s="101" t="s">
        <v>1749</v>
      </c>
      <c r="D151" s="1393">
        <v>0.39541666666666664</v>
      </c>
      <c r="E151" s="1389" t="s">
        <v>1543</v>
      </c>
    </row>
    <row r="152" spans="3:5" ht="36.6" customHeight="1" x14ac:dyDescent="0.3"/>
    <row r="158" spans="3:5" ht="26.4" customHeight="1" x14ac:dyDescent="0.3"/>
    <row r="159" spans="3:5" ht="31.2" customHeight="1" x14ac:dyDescent="0.3"/>
  </sheetData>
  <mergeCells count="3">
    <mergeCell ref="N3:P4"/>
    <mergeCell ref="C2:F3"/>
    <mergeCell ref="C140:E14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29"/>
  <sheetViews>
    <sheetView zoomScale="40" zoomScaleNormal="40" workbookViewId="0">
      <selection activeCell="C2" sqref="C2:F11"/>
    </sheetView>
  </sheetViews>
  <sheetFormatPr baseColWidth="10" defaultRowHeight="14.4" x14ac:dyDescent="0.3"/>
  <cols>
    <col min="3" max="3" width="61.6640625" customWidth="1"/>
    <col min="4" max="4" width="36.33203125" customWidth="1"/>
    <col min="5" max="5" width="50.5546875" customWidth="1"/>
    <col min="6" max="6" width="60.33203125" customWidth="1"/>
    <col min="7" max="7" width="60" customWidth="1"/>
    <col min="8" max="8" width="29.33203125" customWidth="1"/>
    <col min="9" max="9" width="42.6640625" customWidth="1"/>
    <col min="13" max="13" width="44.88671875" customWidth="1"/>
    <col min="14" max="14" width="39.33203125" customWidth="1"/>
    <col min="15" max="15" width="38.44140625" customWidth="1"/>
  </cols>
  <sheetData>
    <row r="2" spans="3:15" ht="14.4" customHeight="1" x14ac:dyDescent="0.3">
      <c r="C2" s="1728" t="s">
        <v>2639</v>
      </c>
      <c r="D2" s="1728"/>
      <c r="E2" s="1728"/>
      <c r="F2" s="1728"/>
      <c r="M2" s="1701" t="s">
        <v>2640</v>
      </c>
      <c r="N2" s="1702"/>
      <c r="O2" s="1703"/>
    </row>
    <row r="3" spans="3:15" ht="39.6" customHeight="1" x14ac:dyDescent="0.3">
      <c r="C3" s="1728"/>
      <c r="D3" s="1728"/>
      <c r="E3" s="1728"/>
      <c r="F3" s="1728"/>
      <c r="M3" s="1704"/>
      <c r="N3" s="1705"/>
      <c r="O3" s="1706"/>
    </row>
    <row r="4" spans="3:15" ht="57.6" customHeight="1" x14ac:dyDescent="0.3">
      <c r="C4" s="66"/>
      <c r="D4" s="1284" t="s">
        <v>2586</v>
      </c>
      <c r="E4" s="1284" t="s">
        <v>2603</v>
      </c>
      <c r="F4" s="1284" t="s">
        <v>2604</v>
      </c>
      <c r="M4" s="66"/>
      <c r="N4" s="67" t="s">
        <v>2601</v>
      </c>
      <c r="O4" s="67" t="s">
        <v>2606</v>
      </c>
    </row>
    <row r="5" spans="3:15" ht="55.95" customHeight="1" x14ac:dyDescent="0.35">
      <c r="C5" s="77" t="str">
        <f>+'PLAN DE DESARROLLO 2024 - 2027'!B161</f>
        <v xml:space="preserve"> INNOVACIÓN PÚBLICA Y PARTICIPACIÓN CIUDADANA
</v>
      </c>
      <c r="D5" s="1398">
        <f>+'PLAN DE DESARROLLO 2024 - 2027'!H161</f>
        <v>0.83819641214294427</v>
      </c>
      <c r="E5" s="1401">
        <f>+'PLAN DE DESARROLLO 2024 - 2027'!O161</f>
        <v>0.58485635336926378</v>
      </c>
      <c r="F5" s="1400">
        <v>0.54534437455673601</v>
      </c>
      <c r="M5" s="77" t="str">
        <f t="shared" ref="M5:M11" si="0">+C5</f>
        <v xml:space="preserve"> INNOVACIÓN PÚBLICA Y PARTICIPACIÓN CIUDADANA
</v>
      </c>
      <c r="N5" s="84">
        <f>+'PLAN DE DESARROLLO 2024 - 2027'!I161+'PLAN DE DESARROLLO 2024 - 2027'!J161</f>
        <v>0.47689119792639012</v>
      </c>
      <c r="O5" s="84">
        <f>+'PLAN DE DESARROLLO 2024 - 2027'!R161</f>
        <v>0.54894144575815218</v>
      </c>
    </row>
    <row r="6" spans="3:15" ht="54.6" customHeight="1" x14ac:dyDescent="0.35">
      <c r="C6" s="70" t="s">
        <v>1845</v>
      </c>
      <c r="D6" s="1394">
        <f>+'PLAN DE DESARROLLO 2024 - 2027'!H162</f>
        <v>0.6911759259259258</v>
      </c>
      <c r="E6" s="1402">
        <f>+'PLAN DE DESARROLLO 2024 - 2027'!O162</f>
        <v>0.43897222222222226</v>
      </c>
      <c r="F6" s="1395">
        <v>0.40580555555555553</v>
      </c>
      <c r="M6" s="68" t="str">
        <f t="shared" si="0"/>
        <v xml:space="preserve">Transparencia y Gobierno Abierto
</v>
      </c>
      <c r="N6" s="84">
        <f>+'PLAN DE DESARROLLO 2024 - 2027'!I162+'PLAN DE DESARROLLO 2024 - 2027'!J162</f>
        <v>0.51641666666666663</v>
      </c>
      <c r="O6" s="84">
        <f>+'PLAN DE DESARROLLO 2024 - 2027'!R162</f>
        <v>0.44303999999999999</v>
      </c>
    </row>
    <row r="7" spans="3:15" ht="81" customHeight="1" x14ac:dyDescent="0.35">
      <c r="C7" s="815" t="str">
        <f>+'PLAN DE DESARROLLO 2024 - 2027'!B166</f>
        <v xml:space="preserve">Fortalecimiento Institucional e Innovación Administrativa
</v>
      </c>
      <c r="D7" s="1394">
        <f>+'PLAN DE DESARROLLO 2024 - 2027'!H166</f>
        <v>0.78791252215759355</v>
      </c>
      <c r="E7" s="1402">
        <f>+'PLAN DE DESARROLLO 2024 - 2027'!O166</f>
        <v>0.53328062515392005</v>
      </c>
      <c r="F7" s="1395">
        <v>0.46666914224150913</v>
      </c>
      <c r="M7" s="80" t="str">
        <f t="shared" si="0"/>
        <v xml:space="preserve">Fortalecimiento Institucional e Innovación Administrativa
</v>
      </c>
      <c r="N7" s="84">
        <f>+'PLAN DE DESARROLLO 2024 - 2027'!I166+'PLAN DE DESARROLLO 2024 - 2027'!J166</f>
        <v>0.51859130733767023</v>
      </c>
      <c r="O7" s="84">
        <f>+'PLAN DE DESARROLLO 2024 - 2027'!R166</f>
        <v>0.57272250232279487</v>
      </c>
    </row>
    <row r="8" spans="3:15" ht="36" x14ac:dyDescent="0.35">
      <c r="C8" s="815" t="str">
        <f>+'PLAN DE DESARROLLO 2024 - 2027'!B175</f>
        <v xml:space="preserve"> Finanzas Públicas
</v>
      </c>
      <c r="D8" s="1394">
        <f>+'PLAN DE DESARROLLO 2024 - 2027'!H175</f>
        <v>1</v>
      </c>
      <c r="E8" s="1396">
        <f>+'PLAN DE DESARROLLO 2024 - 2027'!O175</f>
        <v>0.79732721065676904</v>
      </c>
      <c r="F8" s="1395">
        <v>0.77712521124768763</v>
      </c>
      <c r="M8" s="68" t="str">
        <f t="shared" si="0"/>
        <v xml:space="preserve"> Finanzas Públicas
</v>
      </c>
      <c r="N8" s="84">
        <f>+'PLAN DE DESARROLLO 2024 - 2027'!I175+'PLAN DE DESARROLLO 2024 - 2027'!J175</f>
        <v>0.48003771902475223</v>
      </c>
      <c r="O8" s="84">
        <f>+'PLAN DE DESARROLLO 2024 - 2027'!R175</f>
        <v>0.56985589212523613</v>
      </c>
    </row>
    <row r="9" spans="3:15" ht="36" x14ac:dyDescent="0.35">
      <c r="C9" s="815" t="str">
        <f>+'PLAN DE DESARROLLO 2024 - 2027'!B178</f>
        <v xml:space="preserve">Cultura Ciudadana
</v>
      </c>
      <c r="D9" s="1394">
        <f>+'PLAN DE DESARROLLO 2024 - 2027'!H178</f>
        <v>0.78367528616265114</v>
      </c>
      <c r="E9" s="1402">
        <f>+'PLAN DE DESARROLLO 2024 - 2027'!O178</f>
        <v>0.54786459841621493</v>
      </c>
      <c r="F9" s="1395">
        <v>0.52344420487663357</v>
      </c>
      <c r="M9" s="68" t="str">
        <f t="shared" si="0"/>
        <v xml:space="preserve">Cultura Ciudadana
</v>
      </c>
      <c r="N9" s="84">
        <f>+'PLAN DE DESARROLLO 2024 - 2027'!I178+'PLAN DE DESARROLLO 2024 - 2027'!J178</f>
        <v>0.49487648191372924</v>
      </c>
      <c r="O9" s="84">
        <f>+'PLAN DE DESARROLLO 2024 - 2027'!R178</f>
        <v>0.59328721616159619</v>
      </c>
    </row>
    <row r="10" spans="3:15" ht="49.95" customHeight="1" x14ac:dyDescent="0.35">
      <c r="C10" s="815" t="str">
        <f>+'PLAN DE DESARROLLO 2024 - 2027'!B184</f>
        <v xml:space="preserve">Participación Ciudadana y Acción Comunal
</v>
      </c>
      <c r="D10" s="1394">
        <f>+'PLAN DE DESARROLLO 2024 - 2027'!H184</f>
        <v>0.68441839317500752</v>
      </c>
      <c r="E10" s="1402">
        <f>+'PLAN DE DESARROLLO 2024 - 2027'!O184</f>
        <v>0.50034498493047785</v>
      </c>
      <c r="F10" s="1395">
        <v>0.4683245805089773</v>
      </c>
      <c r="M10" s="68" t="str">
        <f t="shared" si="0"/>
        <v xml:space="preserve">Participación Ciudadana y Acción Comunal
</v>
      </c>
      <c r="N10" s="84">
        <f>+'PLAN DE DESARROLLO 2024 - 2027'!I184+'PLAN DE DESARROLLO 2024 - 2027'!J184</f>
        <v>0.59884896226070028</v>
      </c>
      <c r="O10" s="84">
        <f>+'PLAN DE DESARROLLO 2024 - 2027'!R184</f>
        <v>0.5322047461270204</v>
      </c>
    </row>
    <row r="11" spans="3:15" ht="43.95" customHeight="1" x14ac:dyDescent="0.35">
      <c r="C11" s="815" t="str">
        <f>+'PLAN DE DESARROLLO 2024 - 2027'!B191</f>
        <v xml:space="preserve">Sistema de Planeación Distrital
</v>
      </c>
      <c r="D11" s="1394">
        <f>+'PLAN DE DESARROLLO 2024 - 2027'!H191</f>
        <v>0.91855138888888888</v>
      </c>
      <c r="E11" s="1403">
        <f>+'PLAN DE DESARROLLO 2024 - 2027'!O191</f>
        <v>0.62134847883597877</v>
      </c>
      <c r="F11" s="1395">
        <v>0.56069755291005297</v>
      </c>
      <c r="M11" s="68" t="str">
        <f t="shared" si="0"/>
        <v xml:space="preserve">Sistema de Planeación Distrital
</v>
      </c>
      <c r="N11" s="84">
        <f>+'PLAN DE DESARROLLO 2024 - 2027'!I191+'PLAN DE DESARROLLO 2024 - 2027'!J191</f>
        <v>0.49006150793650793</v>
      </c>
      <c r="O11" s="84">
        <f>+'PLAN DE DESARROLLO 2024 - 2027'!R191</f>
        <v>0.57405166666666663</v>
      </c>
    </row>
    <row r="45" spans="3:7" ht="43.2" x14ac:dyDescent="0.3">
      <c r="C45" s="2"/>
      <c r="D45" s="67" t="s">
        <v>2617</v>
      </c>
      <c r="E45" s="705" t="s">
        <v>2641</v>
      </c>
      <c r="G45" s="72" t="s">
        <v>1585</v>
      </c>
    </row>
    <row r="46" spans="3:7" ht="82.8" customHeight="1" x14ac:dyDescent="0.35">
      <c r="C46" s="70" t="str">
        <f>+'PLAN DE DESARROLLO 2024 - 2027'!B162</f>
        <v xml:space="preserve">Componente Impulsor del avance: Transparencia y Gobierno Abierto
</v>
      </c>
      <c r="D46" s="1397">
        <f>+O6</f>
        <v>0.44303999999999999</v>
      </c>
      <c r="E46" s="1405">
        <f>+'PLAN DE DESARROLLO 2024 - 2027'!O162</f>
        <v>0.43897222222222226</v>
      </c>
      <c r="G46" t="s">
        <v>1585</v>
      </c>
    </row>
    <row r="47" spans="3:7" ht="40.200000000000003" customHeight="1" x14ac:dyDescent="0.3">
      <c r="C47" s="79" t="str">
        <f>+'PLAN DE DESARROLLO 2024 - 2027'!B164</f>
        <v xml:space="preserve"> TRANSPARENCIA Y LUCHA CONTRA LA CORRUPCIÓN</v>
      </c>
      <c r="D47" s="1335">
        <f>+'PLAN DE DESARROLLO 2024 - 2027'!R164</f>
        <v>0.61250000000000004</v>
      </c>
      <c r="E47" s="1344">
        <f>+'PLAN DE DESARROLLO 2024 - 2027'!O164</f>
        <v>0.6875</v>
      </c>
    </row>
    <row r="48" spans="3:7" ht="40.200000000000003" customHeight="1" x14ac:dyDescent="0.3">
      <c r="C48" s="79" t="str">
        <f>+'PLAN DE DESARROLLO 2024 - 2027'!B163</f>
        <v xml:space="preserve"> PROCESOS ADMINISTRATIVOS ÓPTIMOS Y TRANSPARENTES</v>
      </c>
      <c r="D48" s="1335">
        <f>+'PLAN DE DESARROLLO 2024 - 2027'!R163</f>
        <v>0.12249999999999998</v>
      </c>
      <c r="E48" s="1339">
        <f>+'PLAN DE DESARROLLO 2024 - 2027'!O163</f>
        <v>0.11666666666666665</v>
      </c>
    </row>
    <row r="49" spans="3:12" ht="38.4" customHeight="1" x14ac:dyDescent="0.3">
      <c r="C49" s="79" t="str">
        <f>+'PLAN DE DESARROLLO 2024 - 2027'!B165</f>
        <v xml:space="preserve"> CARTAGENA DIGITAL, INCLUSIVA Y CONECTADA</v>
      </c>
      <c r="D49" s="1335">
        <f>+'PLAN DE DESARROLLO 2024 - 2027'!R165</f>
        <v>0.53763333333333341</v>
      </c>
      <c r="E49" s="1337">
        <f>+'PLAN DE DESARROLLO 2024 - 2027'!O165</f>
        <v>0.51275000000000004</v>
      </c>
    </row>
    <row r="50" spans="3:12" ht="29.4" customHeight="1" x14ac:dyDescent="0.3">
      <c r="C50" s="74"/>
      <c r="D50" s="82"/>
    </row>
    <row r="51" spans="3:12" ht="29.4" customHeight="1" x14ac:dyDescent="0.3">
      <c r="C51" s="74"/>
      <c r="D51" s="82"/>
    </row>
    <row r="52" spans="3:12" ht="28.8" x14ac:dyDescent="0.3">
      <c r="G52" s="72" t="s">
        <v>1585</v>
      </c>
    </row>
    <row r="53" spans="3:12" x14ac:dyDescent="0.3">
      <c r="C53" s="72"/>
      <c r="G53" s="72"/>
    </row>
    <row r="55" spans="3:12" ht="66" customHeight="1" x14ac:dyDescent="0.3">
      <c r="C55" s="2"/>
      <c r="D55" s="67" t="s">
        <v>2617</v>
      </c>
      <c r="E55" s="705" t="s">
        <v>2642</v>
      </c>
    </row>
    <row r="56" spans="3:12" ht="69" customHeight="1" x14ac:dyDescent="0.4">
      <c r="C56" s="1404" t="str">
        <f>+'PLAN DE DESARROLLO 2024 - 2027'!B166</f>
        <v xml:space="preserve">Fortalecimiento Institucional e Innovación Administrativa
</v>
      </c>
      <c r="D56" s="1398">
        <f>+O7</f>
        <v>0.57272250232279487</v>
      </c>
      <c r="E56" s="1406">
        <f>+'PLAN DE DESARROLLO 2024 - 2027'!O166</f>
        <v>0.53328062515392005</v>
      </c>
      <c r="L56" s="72" t="s">
        <v>1585</v>
      </c>
    </row>
    <row r="57" spans="3:12" ht="37.200000000000003" customHeight="1" x14ac:dyDescent="0.3">
      <c r="C57" s="79" t="str">
        <f>+'PLAN DE DESARROLLO 2024 - 2027'!B167</f>
        <v xml:space="preserve"> MODELO INTEGRADO DE PLANEACIÓN Y GESTIÓN - MIPG</v>
      </c>
      <c r="D57" s="1335">
        <f>+'PLAN DE DESARROLLO 2024 - 2027'!R167</f>
        <v>0.75575999999999999</v>
      </c>
      <c r="E57" s="1336">
        <f>+'PLAN DE DESARROLLO 2024 - 2027'!O167</f>
        <v>0.76317499999999994</v>
      </c>
    </row>
    <row r="58" spans="3:12" ht="48.6" customHeight="1" x14ac:dyDescent="0.3">
      <c r="C58" s="79" t="str">
        <f>+'PLAN DE DESARROLLO 2024 - 2027'!B168</f>
        <v xml:space="preserve"> MEJORA NORMATIVA EN EL DISTRITO DE CARTAGENA DE INDIAS</v>
      </c>
      <c r="D58" s="1335">
        <f>+'PLAN DE DESARROLLO 2024 - 2027'!R168</f>
        <v>0.61</v>
      </c>
      <c r="E58" s="1344">
        <f>+'PLAN DE DESARROLLO 2024 - 2027'!O168</f>
        <v>0.56874999999999998</v>
      </c>
    </row>
    <row r="59" spans="3:12" ht="48.6" customHeight="1" x14ac:dyDescent="0.3">
      <c r="C59" s="79" t="str">
        <f>+'PLAN DE DESARROLLO 2024 - 2027'!B169</f>
        <v xml:space="preserve"> PATRIMONIO PÚBLICO AL SERVICIO DE CARTAGENA</v>
      </c>
      <c r="D59" s="1335">
        <f>+'PLAN DE DESARROLLO 2024 - 2027'!R169</f>
        <v>0.64214198401504463</v>
      </c>
      <c r="E59" s="1336">
        <f>+'PLAN DE DESARROLLO 2024 - 2027'!O169</f>
        <v>0.74498354489891871</v>
      </c>
    </row>
    <row r="60" spans="3:12" ht="47.4" customHeight="1" x14ac:dyDescent="0.3">
      <c r="C60" s="79" t="str">
        <f>+'PLAN DE DESARROLLO 2024 - 2027'!B170</f>
        <v xml:space="preserve"> REDISEÑO INSTITUCIONAL E INNOVACIÓN ADMINISTRATIVA DEL DISTRITO</v>
      </c>
      <c r="D60" s="1335">
        <f>+'PLAN DE DESARROLLO 2024 - 2027'!R170</f>
        <v>0.65019760000000004</v>
      </c>
      <c r="E60" s="1344">
        <f>+'PLAN DE DESARROLLO 2024 - 2027'!O170</f>
        <v>0.65019760000000004</v>
      </c>
    </row>
    <row r="61" spans="3:12" ht="47.4" customHeight="1" x14ac:dyDescent="0.3">
      <c r="C61" s="79" t="str">
        <f>+'PLAN DE DESARROLLO 2024 - 2027'!B171</f>
        <v xml:space="preserve"> SEGURIDAD DIGITAL</v>
      </c>
      <c r="D61" s="1335">
        <f>+'PLAN DE DESARROLLO 2024 - 2027'!R171</f>
        <v>0.67999999999999994</v>
      </c>
      <c r="E61" s="1336">
        <f>+'PLAN DE DESARROLLO 2024 - 2027'!O171</f>
        <v>0.73333333333333339</v>
      </c>
    </row>
    <row r="62" spans="3:12" ht="63.6" customHeight="1" x14ac:dyDescent="0.3">
      <c r="C62" s="79" t="str">
        <f>+'PLAN DE DESARROLLO 2024 - 2027'!B172</f>
        <v xml:space="preserve"> TRANSFORMACIÓN DIGITAL DEL SISTEMA DE ARCHIVO PARA LA GESTIÓN PÚBLICA EFICIENTE</v>
      </c>
      <c r="D62" s="1335">
        <f>+'PLAN DE DESARROLLO 2024 - 2027'!R172</f>
        <v>0.52974999999999994</v>
      </c>
      <c r="E62" s="1337">
        <f>+'PLAN DE DESARROLLO 2024 - 2027'!O172</f>
        <v>0.4956666666666667</v>
      </c>
    </row>
    <row r="63" spans="3:12" ht="39.6" customHeight="1" x14ac:dyDescent="0.3">
      <c r="C63" s="79" t="str">
        <f>+'PLAN DE DESARROLLO 2024 - 2027'!B173</f>
        <v xml:space="preserve"> FORTALECIMIENTO DEL SISTEMA DE CONTROL INTERNO, SCI</v>
      </c>
      <c r="D63" s="1335">
        <f>+'PLAN DE DESARROLLO 2024 - 2027'!R173</f>
        <v>0.05</v>
      </c>
      <c r="E63" s="1339">
        <f>+'PLAN DE DESARROLLO 2024 - 2027'!O173</f>
        <v>0.05</v>
      </c>
    </row>
    <row r="64" spans="3:12" ht="78.599999999999994" customHeight="1" x14ac:dyDescent="0.3">
      <c r="C64" s="79" t="str">
        <f>+'PLAN DE DESARROLLO 2024 - 2027'!B174</f>
        <v xml:space="preserve"> FORTALECIMIENTO DE LA GESTIÓN ADMINISTRATIVA Y OPERATIVA DEL DEPARTAMENTO ADMINISTRATIVO DE TRÁNSITO Y TRANSPORTE - DATT</v>
      </c>
      <c r="D64" s="1335">
        <f>+'PLAN DE DESARROLLO 2024 - 2027'!R174</f>
        <v>0.28255550346523994</v>
      </c>
      <c r="E64" s="1340">
        <f>+'PLAN DE DESARROLLO 2024 - 2027'!O174</f>
        <v>0.2601388563324416</v>
      </c>
    </row>
    <row r="67" spans="3:11" ht="49.95" customHeight="1" x14ac:dyDescent="0.3">
      <c r="C67" s="2"/>
      <c r="D67" s="67" t="s">
        <v>2617</v>
      </c>
      <c r="E67" s="705" t="s">
        <v>2643</v>
      </c>
      <c r="F67" s="62" t="s">
        <v>1585</v>
      </c>
    </row>
    <row r="68" spans="3:11" ht="42" x14ac:dyDescent="0.4">
      <c r="C68" s="1404" t="str">
        <f>+'PLAN DE DESARROLLO 2024 - 2027'!B175</f>
        <v xml:space="preserve"> Finanzas Públicas
</v>
      </c>
      <c r="D68" s="1398">
        <f>+O8</f>
        <v>0.56985589212523613</v>
      </c>
      <c r="E68" s="1399">
        <f>+'PLAN DE DESARROLLO 2024 - 2027'!O175</f>
        <v>0.79732721065676904</v>
      </c>
    </row>
    <row r="69" spans="3:11" ht="38.4" customHeight="1" x14ac:dyDescent="0.3">
      <c r="C69" s="79" t="str">
        <f>+'PLAN DE DESARROLLO 2024 - 2027'!B176</f>
        <v xml:space="preserve"> GESTIÓN FISCAL Y FINANCIERA OPORTUNA</v>
      </c>
      <c r="D69" s="1407">
        <f>+'PLAN DE DESARROLLO 2024 - 2027'!R176</f>
        <v>0.54721672855288006</v>
      </c>
      <c r="E69" s="1409">
        <f>+'PLAN DE DESARROLLO 2024 - 2027'!O176</f>
        <v>0.59465442131353807</v>
      </c>
    </row>
    <row r="70" spans="3:11" ht="46.95" customHeight="1" x14ac:dyDescent="0.3">
      <c r="C70" s="79" t="str">
        <f>+'PLAN DE DESARROLLO 2024 - 2027'!B177</f>
        <v xml:space="preserve"> HACIENDA MODERNA Y DIGITAL</v>
      </c>
      <c r="D70" s="1407">
        <f>+'PLAN DE DESARROLLO 2024 - 2027'!R177</f>
        <v>1</v>
      </c>
      <c r="E70" s="1408">
        <f>+'PLAN DE DESARROLLO 2024 - 2027'!O177</f>
        <v>1</v>
      </c>
    </row>
    <row r="71" spans="3:11" ht="20.399999999999999" customHeight="1" x14ac:dyDescent="0.3"/>
    <row r="73" spans="3:11" ht="61.95" customHeight="1" x14ac:dyDescent="0.3">
      <c r="C73" s="2"/>
      <c r="D73" s="67" t="s">
        <v>2617</v>
      </c>
      <c r="E73" s="705" t="s">
        <v>2644</v>
      </c>
      <c r="F73" s="62" t="s">
        <v>1585</v>
      </c>
      <c r="K73" s="72" t="s">
        <v>1585</v>
      </c>
    </row>
    <row r="74" spans="3:11" ht="52.2" customHeight="1" x14ac:dyDescent="0.5">
      <c r="C74" s="1359" t="str">
        <f>+'PLAN DE DESARROLLO 2024 - 2027'!B178</f>
        <v xml:space="preserve">Cultura Ciudadana
</v>
      </c>
      <c r="D74" s="1302">
        <f>+O9</f>
        <v>0.59328721616159619</v>
      </c>
      <c r="E74" s="1303">
        <f>+'PLAN DE DESARROLLO 2024 - 2027'!O178</f>
        <v>0.54786459841621493</v>
      </c>
    </row>
    <row r="75" spans="3:11" ht="43.2" customHeight="1" x14ac:dyDescent="0.35">
      <c r="C75" s="1411" t="str">
        <f>+'PLAN DE DESARROLLO 2024 - 2027'!B179</f>
        <v xml:space="preserve"> SERVIDORES CON ESPLENDOR CONSTRUYENDO CIUDAD</v>
      </c>
      <c r="D75" s="816">
        <f>+'PLAN DE DESARROLLO 2024 - 2027'!R179</f>
        <v>0.73980664240218386</v>
      </c>
      <c r="E75" s="1356">
        <f>+'PLAN DE DESARROLLO 2024 - 2027'!O179</f>
        <v>0.65456665150136484</v>
      </c>
    </row>
    <row r="76" spans="3:11" ht="52.8" customHeight="1" x14ac:dyDescent="0.35">
      <c r="C76" s="1411" t="str">
        <f>+'PLAN DE DESARROLLO 2024 - 2027'!B180</f>
        <v xml:space="preserve"> CIUDADANÍA DIVERSA, PARTICIPATIVA Y PROPULSORA DEL DESARROLLO</v>
      </c>
      <c r="D76" s="816">
        <f>+'PLAN DE DESARROLLO 2024 - 2027'!R180</f>
        <v>0.64127499999999993</v>
      </c>
      <c r="E76" s="1357">
        <f>+'PLAN DE DESARROLLO 2024 - 2027'!O180</f>
        <v>0.53493749999999995</v>
      </c>
    </row>
    <row r="77" spans="3:11" ht="43.2" customHeight="1" x14ac:dyDescent="0.35">
      <c r="C77" s="1411" t="str">
        <f>+'PLAN DE DESARROLLO 2024 - 2027'!B181</f>
        <v xml:space="preserve"> CARTAGENEIDAD CON ORGULLO Y ESPLENDOR</v>
      </c>
      <c r="D77" s="816">
        <f>+'PLAN DE DESARROLLO 2024 - 2027'!R181</f>
        <v>0.54749999999999999</v>
      </c>
      <c r="E77" s="1357">
        <f>+'PLAN DE DESARROLLO 2024 - 2027'!O181</f>
        <v>0.54749999999999999</v>
      </c>
    </row>
    <row r="78" spans="3:11" ht="40.200000000000003" customHeight="1" x14ac:dyDescent="0.35">
      <c r="C78" s="1411" t="str">
        <f>+'PLAN DE DESARROLLO 2024 - 2027'!B182</f>
        <v xml:space="preserve"> CARTAGENA BRILLA CON CULTURA CIUDADANA</v>
      </c>
      <c r="D78" s="1361">
        <f>+'PLAN DE DESARROLLO 2024 - 2027'!R182</f>
        <v>0.47727355072463767</v>
      </c>
      <c r="E78" s="1357">
        <f>+'PLAN DE DESARROLLO 2024 - 2027'!O182</f>
        <v>0.48731884057971014</v>
      </c>
    </row>
    <row r="79" spans="3:11" ht="61.2" customHeight="1" x14ac:dyDescent="0.35">
      <c r="C79" s="1411" t="str">
        <f>+'PLAN DE DESARROLLO 2024 - 2027'!B183</f>
        <v xml:space="preserve"> ESCUELA DE GOBERNANZA E INNOVACIÓN PÚBLICA</v>
      </c>
      <c r="D79" s="816">
        <f>+'PLAN DE DESARROLLO 2024 - 2027'!R183</f>
        <v>0.51500000000000001</v>
      </c>
      <c r="E79" s="1357">
        <f>+'PLAN DE DESARROLLO 2024 - 2027'!O183</f>
        <v>0.51500000000000001</v>
      </c>
    </row>
    <row r="80" spans="3:11" ht="44.4" customHeight="1" x14ac:dyDescent="0.3">
      <c r="D80" s="76"/>
    </row>
    <row r="81" spans="3:10" ht="20.399999999999999" customHeight="1" x14ac:dyDescent="0.3">
      <c r="D81" s="76"/>
    </row>
    <row r="83" spans="3:10" ht="18" x14ac:dyDescent="0.35">
      <c r="C83" s="75"/>
      <c r="D83" s="76"/>
    </row>
    <row r="84" spans="3:10" ht="18" x14ac:dyDescent="0.35">
      <c r="C84" s="75"/>
      <c r="D84" s="76"/>
    </row>
    <row r="85" spans="3:10" ht="45.6" customHeight="1" x14ac:dyDescent="0.3">
      <c r="C85" s="2"/>
      <c r="D85" s="67" t="s">
        <v>2617</v>
      </c>
      <c r="E85" s="705" t="s">
        <v>2645</v>
      </c>
    </row>
    <row r="86" spans="3:10" ht="54.6" customHeight="1" x14ac:dyDescent="0.45">
      <c r="C86" s="1410" t="str">
        <f>+'PLAN DE DESARROLLO 2024 - 2027'!B184</f>
        <v xml:space="preserve">Participación Ciudadana y Acción Comunal
</v>
      </c>
      <c r="D86" s="1302">
        <f>+O10</f>
        <v>0.5322047461270204</v>
      </c>
      <c r="E86" s="1303">
        <f>+'PLAN DE DESARROLLO 2024 - 2027'!O184</f>
        <v>0.50034498493047785</v>
      </c>
      <c r="J86" t="s">
        <v>1585</v>
      </c>
    </row>
    <row r="87" spans="3:10" ht="39.6" customHeight="1" x14ac:dyDescent="0.3">
      <c r="C87" s="79" t="str">
        <f>+'PLAN DE DESARROLLO 2024 - 2027'!B185</f>
        <v xml:space="preserve"> ORGANISMOS COMUNALES TÉCNICOS Y ADMINISTRATIVAMENTE EFICIENTES</v>
      </c>
      <c r="D87" s="1335">
        <f>+'PLAN DE DESARROLLO 2024 - 2027'!R185</f>
        <v>0.8250464186245805</v>
      </c>
      <c r="E87" s="1336">
        <f>+'PLAN DE DESARROLLO 2024 - 2027'!O185</f>
        <v>0.8144960206939782</v>
      </c>
    </row>
    <row r="88" spans="3:10" ht="40.950000000000003" customHeight="1" x14ac:dyDescent="0.3">
      <c r="C88" s="79" t="str">
        <f>+'PLAN DE DESARROLLO 2024 - 2027'!B186</f>
        <v xml:space="preserve"> ORGANIZACIONES SOCIALES SÓLIDAS E INCIDENTES EN EL DESARROLLO LOCAL</v>
      </c>
      <c r="D88" s="1335">
        <f>+'PLAN DE DESARROLLO 2024 - 2027'!R186</f>
        <v>0.27799999999999997</v>
      </c>
      <c r="E88" s="1340">
        <f>+'PLAN DE DESARROLLO 2024 - 2027'!O186</f>
        <v>0.26916666666666672</v>
      </c>
    </row>
    <row r="89" spans="3:10" ht="34.950000000000003" customHeight="1" x14ac:dyDescent="0.3">
      <c r="C89" s="79" t="str">
        <f>+'PLAN DE DESARROLLO 2024 - 2027'!B188</f>
        <v xml:space="preserve"> PARTICIPANDO DECIDIMOS Y AVANZAMOS</v>
      </c>
      <c r="D89" s="1335">
        <f>+'PLAN DE DESARROLLO 2024 - 2027'!R188</f>
        <v>0.50796600000000003</v>
      </c>
      <c r="E89" s="1337">
        <f>+'PLAN DE DESARROLLO 2024 - 2027'!O188</f>
        <v>0.47061000000000003</v>
      </c>
    </row>
    <row r="90" spans="3:10" ht="33.6" customHeight="1" x14ac:dyDescent="0.3">
      <c r="C90" s="79" t="str">
        <f>+'PLAN DE DESARROLLO 2024 - 2027'!B189</f>
        <v xml:space="preserve"> PROMOCIÓN Y GARANTÍA PARA LA PARTICIPACIÓN SOCIOPOLÍTICA JUVENIL</v>
      </c>
      <c r="D90" s="1335">
        <f>+'PLAN DE DESARROLLO 2024 - 2027'!R189</f>
        <v>0.71401250000000005</v>
      </c>
      <c r="E90" s="1336">
        <f>+'PLAN DE DESARROLLO 2024 - 2027'!O189</f>
        <v>0.77257500000000001</v>
      </c>
    </row>
    <row r="91" spans="3:10" ht="62.4" customHeight="1" x14ac:dyDescent="0.3">
      <c r="C91" s="79" t="str">
        <f>+'PLAN DE DESARROLLO 2024 - 2027'!B190</f>
        <v xml:space="preserve"> DERECHO A LA PARTICIPACIÓN Y REPRESENTACIÓN CON EQUIDAD DE GÉNERO</v>
      </c>
      <c r="D91" s="1335">
        <f>+'PLAN DE DESARROLLO 2024 - 2027'!R190</f>
        <v>0.76026666666666665</v>
      </c>
      <c r="E91" s="1344">
        <f>+'PLAN DE DESARROLLO 2024 - 2027'!O190</f>
        <v>0.67522222222222217</v>
      </c>
    </row>
    <row r="92" spans="3:10" ht="41.4" customHeight="1" x14ac:dyDescent="0.3">
      <c r="D92" s="76"/>
    </row>
    <row r="93" spans="3:10" x14ac:dyDescent="0.3">
      <c r="D93" s="76"/>
    </row>
    <row r="94" spans="3:10" ht="62.4" customHeight="1" x14ac:dyDescent="0.3">
      <c r="C94" s="2"/>
      <c r="D94" s="67" t="s">
        <v>2617</v>
      </c>
      <c r="E94" s="705" t="s">
        <v>2646</v>
      </c>
    </row>
    <row r="95" spans="3:10" ht="57.6" customHeight="1" x14ac:dyDescent="0.5">
      <c r="C95" s="1359" t="str">
        <f>+'PLAN DE DESARROLLO 2024 - 2027'!B191</f>
        <v xml:space="preserve">Sistema de Planeación Distrital
</v>
      </c>
      <c r="D95" s="1302">
        <f>+O11</f>
        <v>0.57405166666666663</v>
      </c>
      <c r="E95" s="1296">
        <f>+'PLAN DE DESARROLLO 2024 - 2027'!O191</f>
        <v>0.62134847883597877</v>
      </c>
      <c r="J95" s="72" t="s">
        <v>1585</v>
      </c>
    </row>
    <row r="96" spans="3:10" ht="59.4" customHeight="1" x14ac:dyDescent="0.3">
      <c r="C96" s="79" t="str">
        <f>+'PLAN DE DESARROLLO 2024 - 2027'!B192</f>
        <v xml:space="preserve"> CENTRO DE INVESTIGACIÓN DE INFORMACIÓN DE LA CIUDAD PARA LA TOMA DE DECISIONES (CIDI)</v>
      </c>
      <c r="D96" s="1335">
        <f>+'PLAN DE DESARROLLO 2024 - 2027'!R192</f>
        <v>0.77500000000000002</v>
      </c>
      <c r="E96" s="1336">
        <f>+'PLAN DE DESARROLLO 2024 - 2027'!O192</f>
        <v>0.9</v>
      </c>
    </row>
    <row r="97" spans="3:5" ht="37.200000000000003" customHeight="1" x14ac:dyDescent="0.3">
      <c r="C97" s="79" t="str">
        <f>+'PLAN DE DESARROLLO 2024 - 2027'!B193</f>
        <v xml:space="preserve"> SISTEMAS DE INFORMACIÓN PARA EL DESARROLLO DE CARTAGENA</v>
      </c>
      <c r="D97" s="1335">
        <f>+'PLAN DE DESARROLLO 2024 - 2027'!R193</f>
        <v>0.47858750000000005</v>
      </c>
      <c r="E97" s="1337">
        <f>+'PLAN DE DESARROLLO 2024 - 2027'!O193</f>
        <v>0.51005833333333328</v>
      </c>
    </row>
    <row r="98" spans="3:5" ht="40.950000000000003" customHeight="1" x14ac:dyDescent="0.3">
      <c r="C98" s="79" t="str">
        <f>+'PLAN DE DESARROLLO 2024 - 2027'!B194</f>
        <v xml:space="preserve"> INVERSIÓN PÚBLICA EFICIENTE Y TRANSPARENTE</v>
      </c>
      <c r="D98" s="1335">
        <f>+'PLAN DE DESARROLLO 2024 - 2027'!R194</f>
        <v>0.54895833333333333</v>
      </c>
      <c r="E98" s="1337">
        <f>+'PLAN DE DESARROLLO 2024 - 2027'!O194</f>
        <v>0.51190476190476197</v>
      </c>
    </row>
    <row r="99" spans="3:5" ht="38.4" customHeight="1" x14ac:dyDescent="0.3">
      <c r="C99" s="79" t="str">
        <f>+'PLAN DE DESARROLLO 2024 - 2027'!B195</f>
        <v xml:space="preserve"> POLÍTICAS PÚBLICAS INTERSECTORIALES Y CON VISIÓN INTEGRAL</v>
      </c>
      <c r="D99" s="1335">
        <f>+'PLAN DE DESARROLLO 2024 - 2027'!R195</f>
        <v>0.73333333333333339</v>
      </c>
      <c r="E99" s="1336">
        <f>+'PLAN DE DESARROLLO 2024 - 2027'!O195</f>
        <v>0.77777777777777779</v>
      </c>
    </row>
    <row r="100" spans="3:5" ht="41.4" customHeight="1" x14ac:dyDescent="0.3">
      <c r="C100" s="79" t="str">
        <f>+'PLAN DE DESARROLLO 2024 - 2027'!B196</f>
        <v xml:space="preserve"> DESCENTRALIZACIÓN ADMINISTRATIVA</v>
      </c>
      <c r="D100" s="1335">
        <f>+'PLAN DE DESARROLLO 2024 - 2027'!R196</f>
        <v>0.35750000000000004</v>
      </c>
      <c r="E100" s="1340">
        <f>+'PLAN DE DESARROLLO 2024 - 2027'!O196</f>
        <v>0.38750000000000001</v>
      </c>
    </row>
    <row r="101" spans="3:5" ht="60.6" customHeight="1" x14ac:dyDescent="0.3">
      <c r="C101" s="79" t="str">
        <f>+'PLAN DE DESARROLLO 2024 - 2027'!B197</f>
        <v xml:space="preserve"> GESTIÓN CATASTRAL CON ENFOQUE MULTIPROPÓSITO</v>
      </c>
      <c r="D101" s="1335">
        <f>+'PLAN DE DESARROLLO 2024 - 2027'!R197</f>
        <v>0.64085000000000003</v>
      </c>
      <c r="E101" s="1337">
        <f>+'PLAN DE DESARROLLO 2024 - 2027'!N197</f>
        <v>0.46</v>
      </c>
    </row>
    <row r="102" spans="3:5" ht="18" x14ac:dyDescent="0.35">
      <c r="C102" s="75"/>
      <c r="D102" s="76"/>
    </row>
    <row r="103" spans="3:5" ht="18" x14ac:dyDescent="0.35">
      <c r="C103" s="75"/>
      <c r="D103" s="76"/>
    </row>
    <row r="108" spans="3:5" ht="55.95" customHeight="1" x14ac:dyDescent="0.3">
      <c r="C108" s="2"/>
      <c r="D108" s="700" t="s">
        <v>2614</v>
      </c>
    </row>
    <row r="109" spans="3:5" ht="70.2" x14ac:dyDescent="0.45">
      <c r="C109" s="1410" t="str">
        <f t="shared" ref="C109:C115" si="1">+M5</f>
        <v xml:space="preserve"> INNOVACIÓN PÚBLICA Y PARTICIPACIÓN CIUDADANA
</v>
      </c>
      <c r="D109" s="1412">
        <f>+'PLAN DE DESARROLLO 2024 - 2027'!L161</f>
        <v>0.25770144245140841</v>
      </c>
    </row>
    <row r="110" spans="3:5" ht="36" x14ac:dyDescent="0.35">
      <c r="C110" s="70" t="str">
        <f t="shared" si="1"/>
        <v xml:space="preserve">Transparencia y Gobierno Abierto
</v>
      </c>
      <c r="D110" s="1376">
        <f>+'PLAN DE DESARROLLO 2024 - 2027'!L162</f>
        <v>0.3129365079365079</v>
      </c>
    </row>
    <row r="111" spans="3:5" ht="65.400000000000006" customHeight="1" x14ac:dyDescent="0.35">
      <c r="C111" s="70" t="str">
        <f t="shared" si="1"/>
        <v xml:space="preserve">Fortalecimiento Institucional e Innovación Administrativa
</v>
      </c>
      <c r="D111" s="1376">
        <f>+'PLAN DE DESARROLLO 2024 - 2027'!L166</f>
        <v>0.2321691666666667</v>
      </c>
    </row>
    <row r="112" spans="3:5" ht="36" x14ac:dyDescent="0.35">
      <c r="C112" s="70" t="str">
        <f t="shared" si="1"/>
        <v xml:space="preserve"> Finanzas Públicas
</v>
      </c>
      <c r="D112" s="1376">
        <f>+'PLAN DE DESARROLLO 2024 - 2027'!L175</f>
        <v>0.40019861695551479</v>
      </c>
    </row>
    <row r="113" spans="3:5" ht="36" x14ac:dyDescent="0.35">
      <c r="C113" s="70" t="str">
        <f t="shared" si="1"/>
        <v xml:space="preserve">Cultura Ciudadana
</v>
      </c>
      <c r="D113" s="1388">
        <f>+'PLAN DE DESARROLLO 2024 - 2027'!L178</f>
        <v>9.7906759906759913E-2</v>
      </c>
    </row>
    <row r="114" spans="3:5" ht="36" x14ac:dyDescent="0.35">
      <c r="C114" s="70" t="str">
        <f t="shared" si="1"/>
        <v xml:space="preserve">Participación Ciudadana y Acción Comunal
</v>
      </c>
      <c r="D114" s="1382">
        <f>+'PLAN DE DESARROLLO 2024 - 2027'!L184</f>
        <v>0.1985061146051712</v>
      </c>
    </row>
    <row r="115" spans="3:5" ht="54" customHeight="1" x14ac:dyDescent="0.35">
      <c r="C115" s="70" t="str">
        <f t="shared" si="1"/>
        <v xml:space="preserve">Sistema de Planeación Distrital
</v>
      </c>
      <c r="D115" s="1376">
        <f>+'PLAN DE DESARROLLO 2024 - 2027'!L191</f>
        <v>0.3044914886378301</v>
      </c>
    </row>
    <row r="119" spans="3:5" x14ac:dyDescent="0.3">
      <c r="C119" s="1708" t="s">
        <v>1844</v>
      </c>
      <c r="D119" s="1708"/>
      <c r="E119" s="1708"/>
    </row>
    <row r="120" spans="3:5" x14ac:dyDescent="0.3">
      <c r="C120" s="1708"/>
      <c r="D120" s="1708"/>
      <c r="E120" s="1708"/>
    </row>
    <row r="121" spans="3:5" ht="42.6" customHeight="1" x14ac:dyDescent="0.3">
      <c r="C121" s="98" t="s">
        <v>2430</v>
      </c>
      <c r="D121" s="71" t="s">
        <v>2615</v>
      </c>
      <c r="E121" s="97" t="s">
        <v>1586</v>
      </c>
    </row>
    <row r="122" spans="3:5" ht="40.950000000000003" customHeight="1" x14ac:dyDescent="0.35">
      <c r="C122" s="70" t="s">
        <v>1752</v>
      </c>
      <c r="D122" s="1339">
        <v>0.11700000000000001</v>
      </c>
      <c r="E122" s="215" t="s">
        <v>516</v>
      </c>
    </row>
    <row r="123" spans="3:5" ht="61.2" customHeight="1" x14ac:dyDescent="0.35">
      <c r="C123" s="70" t="s">
        <v>1761</v>
      </c>
      <c r="D123" s="1339">
        <v>0.05</v>
      </c>
      <c r="E123" s="215" t="s">
        <v>1550</v>
      </c>
    </row>
    <row r="124" spans="3:5" ht="58.2" customHeight="1" x14ac:dyDescent="0.35">
      <c r="C124" s="70" t="s">
        <v>1762</v>
      </c>
      <c r="D124" s="1340">
        <v>0.2601388563324416</v>
      </c>
      <c r="E124" s="215" t="s">
        <v>48</v>
      </c>
    </row>
    <row r="125" spans="3:5" ht="63" customHeight="1" x14ac:dyDescent="0.35">
      <c r="C125" s="79" t="s">
        <v>1771</v>
      </c>
      <c r="D125" s="1340">
        <v>0.26916666666666672</v>
      </c>
      <c r="E125" s="215" t="s">
        <v>1012</v>
      </c>
    </row>
    <row r="126" spans="3:5" ht="50.4" customHeight="1" x14ac:dyDescent="0.3">
      <c r="C126" s="79" t="s">
        <v>1780</v>
      </c>
      <c r="D126" s="1340">
        <v>0.38750000000000001</v>
      </c>
      <c r="E126" s="1413" t="s">
        <v>1059</v>
      </c>
    </row>
    <row r="128" spans="3:5" ht="48.6" customHeight="1" x14ac:dyDescent="0.3"/>
    <row r="129" ht="42.6" customHeight="1" x14ac:dyDescent="0.3"/>
  </sheetData>
  <mergeCells count="3">
    <mergeCell ref="M2:O3"/>
    <mergeCell ref="C119:E120"/>
    <mergeCell ref="C2:F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M82"/>
  <sheetViews>
    <sheetView zoomScale="40" zoomScaleNormal="40" workbookViewId="0">
      <selection activeCell="C2" sqref="C2:F7"/>
    </sheetView>
  </sheetViews>
  <sheetFormatPr baseColWidth="10" defaultRowHeight="14.4" x14ac:dyDescent="0.3"/>
  <cols>
    <col min="3" max="3" width="58.6640625" style="87" customWidth="1"/>
    <col min="4" max="4" width="37" customWidth="1"/>
    <col min="5" max="5" width="56.88671875" customWidth="1"/>
    <col min="6" max="6" width="55.109375" customWidth="1"/>
    <col min="7" max="7" width="60" customWidth="1"/>
    <col min="8" max="8" width="29.33203125" customWidth="1"/>
    <col min="9" max="9" width="42.6640625" customWidth="1"/>
    <col min="11" max="11" width="38.88671875" customWidth="1"/>
    <col min="12" max="12" width="53.109375" customWidth="1"/>
    <col min="13" max="13" width="47.109375" customWidth="1"/>
  </cols>
  <sheetData>
    <row r="2" spans="3:13" ht="14.4" customHeight="1" x14ac:dyDescent="0.3">
      <c r="C2" s="1728" t="s">
        <v>2647</v>
      </c>
      <c r="D2" s="1728"/>
      <c r="E2" s="1728"/>
      <c r="F2" s="1728"/>
      <c r="K2" s="1701" t="s">
        <v>2650</v>
      </c>
      <c r="L2" s="1702"/>
      <c r="M2" s="1703"/>
    </row>
    <row r="3" spans="3:13" ht="40.950000000000003" customHeight="1" x14ac:dyDescent="0.3">
      <c r="C3" s="1728"/>
      <c r="D3" s="1728"/>
      <c r="E3" s="1728"/>
      <c r="F3" s="1728"/>
      <c r="K3" s="1704"/>
      <c r="L3" s="1705"/>
      <c r="M3" s="1706"/>
    </row>
    <row r="4" spans="3:13" ht="57.6" customHeight="1" x14ac:dyDescent="0.3">
      <c r="C4" s="103"/>
      <c r="D4" s="1284" t="s">
        <v>2586</v>
      </c>
      <c r="E4" s="1284" t="s">
        <v>2603</v>
      </c>
      <c r="F4" s="1284" t="s">
        <v>2604</v>
      </c>
      <c r="K4" s="66"/>
      <c r="L4" s="67" t="s">
        <v>2601</v>
      </c>
      <c r="M4" s="67" t="s">
        <v>2344</v>
      </c>
    </row>
    <row r="5" spans="3:13" ht="55.95" customHeight="1" x14ac:dyDescent="0.35">
      <c r="C5" s="77" t="str">
        <f>+'PLAN DE DESARROLLO 2024 - 2027'!B198</f>
        <v xml:space="preserve">CAPÍTULO DE LOS PUEBLOS Y COMUNIDADES ÉTNICAS
</v>
      </c>
      <c r="D5" s="1414">
        <f>+'PLAN DE DESARROLLO 2024 - 2027'!H198</f>
        <v>0.75826724587141259</v>
      </c>
      <c r="E5" s="1391">
        <f>+'PLAN DE DESARROLLO 2024 - 2027'!O198</f>
        <v>0.37655873466810963</v>
      </c>
      <c r="F5" s="1415">
        <v>0.36192553511303516</v>
      </c>
      <c r="K5" s="77" t="str">
        <f>+C5</f>
        <v xml:space="preserve">CAPÍTULO DE LOS PUEBLOS Y COMUNIDADES ÉTNICAS
</v>
      </c>
      <c r="L5" s="699">
        <f>+'PLAN DE DESARROLLO 2024 - 2027'!I198+'PLAN DE DESARROLLO 2024 - 2027'!J198</f>
        <v>0.31579166666666669</v>
      </c>
      <c r="M5" s="699">
        <f>+'PLAN DE DESARROLLO 2024 - 2027'!R198</f>
        <v>0.36127683238636366</v>
      </c>
    </row>
    <row r="6" spans="3:13" ht="80.400000000000006" customHeight="1" x14ac:dyDescent="0.4">
      <c r="C6" s="1360" t="str">
        <f>+'PLAN DE DESARROLLO 2024 - 2027'!B199</f>
        <v xml:space="preserve"> Fortalecimiento al Desarrollo Afro-Territorial de la Población Negra, Afrocolombiana, Raizal y Palenquera
</v>
      </c>
      <c r="D6" s="816">
        <f>+'PLAN DE DESARROLLO 2024 - 2027'!H199</f>
        <v>0.73731072631072636</v>
      </c>
      <c r="E6" s="1358">
        <f>+'PLAN DE DESARROLLO 2024 - 2027'!O199</f>
        <v>0.36015103415103411</v>
      </c>
      <c r="F6" s="1416">
        <v>0.35168903318903322</v>
      </c>
      <c r="K6" s="68" t="str">
        <f>+C6</f>
        <v xml:space="preserve"> Fortalecimiento al Desarrollo Afro-Territorial de la Población Negra, Afrocolombiana, Raizal y Palenquera
</v>
      </c>
      <c r="L6" s="84">
        <f>+'PLAN DE DESARROLLO 2024 - 2027'!I199+'PLAN DE DESARROLLO 2024 - 2027'!J199</f>
        <v>0.25497222222222221</v>
      </c>
      <c r="M6" s="84">
        <f>+'PLAN DE DESARROLLO 2024 - 2027'!R199</f>
        <v>0.36487348484848486</v>
      </c>
    </row>
    <row r="7" spans="3:13" ht="64.8" customHeight="1" x14ac:dyDescent="0.4">
      <c r="C7" s="1360" t="str">
        <f>+'PLAN DE DESARROLLO 2024 - 2027'!B203</f>
        <v xml:space="preserve">Territorio Sitio de Paz y Pensamiento Colectivo
</v>
      </c>
      <c r="D7" s="816">
        <f>+'PLAN DE DESARROLLO 2024 - 2027'!H203</f>
        <v>0.77922376543209881</v>
      </c>
      <c r="E7" s="1358">
        <f>+'PLAN DE DESARROLLO 2024 - 2027'!O203</f>
        <v>0.39296643518518515</v>
      </c>
      <c r="F7" s="1416">
        <v>0.37216203703703704</v>
      </c>
      <c r="K7" s="80" t="str">
        <f>+C7</f>
        <v xml:space="preserve">Territorio Sitio de Paz y Pensamiento Colectivo
</v>
      </c>
      <c r="L7" s="84">
        <f>+'PLAN DE DESARROLLO 2024 - 2027'!I203+'PLAN DE DESARROLLO 2024 - 2027'!K203</f>
        <v>0.98472222222222217</v>
      </c>
      <c r="M7" s="84">
        <f>+'PLAN DE DESARROLLO 2024 - 2027'!R203</f>
        <v>0.35048687500000003</v>
      </c>
    </row>
    <row r="41" spans="3:11" ht="82.8" customHeight="1" x14ac:dyDescent="0.3">
      <c r="C41" s="104"/>
      <c r="D41" s="67" t="s">
        <v>2617</v>
      </c>
      <c r="E41" s="705" t="s">
        <v>2648</v>
      </c>
      <c r="G41" s="72" t="s">
        <v>1585</v>
      </c>
    </row>
    <row r="42" spans="3:11" ht="103.2" customHeight="1" x14ac:dyDescent="0.4">
      <c r="C42" s="1404" t="str">
        <f>+'PLAN DE DESARROLLO 2024 - 2027'!B199</f>
        <v xml:space="preserve"> Fortalecimiento al Desarrollo Afro-Territorial de la Población Negra, Afrocolombiana, Raizal y Palenquera
</v>
      </c>
      <c r="D42" s="1417">
        <f>+M6</f>
        <v>0.36487348484848486</v>
      </c>
      <c r="E42" s="1418">
        <f>+'PLAN DE DESARROLLO 2024 - 2027'!O199</f>
        <v>0.36015103415103411</v>
      </c>
      <c r="G42" t="s">
        <v>1585</v>
      </c>
      <c r="K42" s="72" t="s">
        <v>1585</v>
      </c>
    </row>
    <row r="43" spans="3:11" ht="111.6" customHeight="1" x14ac:dyDescent="0.3">
      <c r="C43" s="79" t="str">
        <f>+'PLAN DE DESARROLLO 2024 - 2027'!B200</f>
        <v xml:space="preserve"> GOBERNANZA Y PARTICIPACIÓN DE LAS COMUNIDADES NEGRAS AFROCOLOMBIANAS, RAIZALES Y PALENQUERAS PARA EL FORTALECIMIENTO DE LA DEMOCRACIA EN EL DISTRITO</v>
      </c>
      <c r="D43" s="1361">
        <f>+'PLAN DE DESARROLLO 2024 - 2027'!R200</f>
        <v>0.3525151515151515</v>
      </c>
      <c r="E43" s="1301">
        <f>+'PLAN DE DESARROLLO 2024 - 2027'!O200</f>
        <v>0.30754545454545457</v>
      </c>
    </row>
    <row r="44" spans="3:11" ht="79.95" customHeight="1" x14ac:dyDescent="0.3">
      <c r="C44" s="79" t="str">
        <f>+'PLAN DE DESARROLLO 2024 - 2027'!B202</f>
        <v xml:space="preserve"> DESARROLLO LOCAL SOSTENIBLE Y PROSPERIDAD COLECTIVA EN LOS TERRITORIOS DE LAS COMUNIDADES NEGRAS DEL DISTRITO DE CARTAGENA</v>
      </c>
      <c r="D44" s="1361">
        <f>+'PLAN DE DESARROLLO 2024 - 2027'!R202</f>
        <v>0.53312500000000007</v>
      </c>
      <c r="E44" s="1301">
        <f>+'PLAN DE DESARROLLO 2024 - 2027'!O202</f>
        <v>0.35</v>
      </c>
    </row>
    <row r="45" spans="3:11" ht="67.2" customHeight="1" x14ac:dyDescent="0.3">
      <c r="C45" s="79" t="str">
        <f>+'PLAN DE DESARROLLO 2024 - 2027'!B201</f>
        <v xml:space="preserve"> DESARROLLO HUMANO Y BIENESTAR SOCIAL DE LAS COMUNIDADES NEGRAS, AFROCOLOMBIANAS, RAIZALES Y PALENQUERAS</v>
      </c>
      <c r="D45" s="1361">
        <f>+'PLAN DE DESARROLLO 2024 - 2027'!R201</f>
        <v>0.29310606060606059</v>
      </c>
      <c r="E45" s="1299">
        <f>+'PLAN DE DESARROLLO 2024 - 2027'!O201</f>
        <v>0.4229076479076479</v>
      </c>
    </row>
    <row r="46" spans="3:11" ht="29.4" customHeight="1" x14ac:dyDescent="0.3">
      <c r="C46" s="74"/>
      <c r="D46" s="82"/>
    </row>
    <row r="47" spans="3:11" ht="29.4" customHeight="1" x14ac:dyDescent="0.3">
      <c r="C47" s="74"/>
      <c r="D47" s="82"/>
    </row>
    <row r="48" spans="3:11" ht="28.8" x14ac:dyDescent="0.3">
      <c r="G48" s="72" t="s">
        <v>1585</v>
      </c>
    </row>
    <row r="49" spans="3:12" x14ac:dyDescent="0.3">
      <c r="C49" s="105"/>
      <c r="G49" s="72"/>
    </row>
    <row r="51" spans="3:12" ht="45" customHeight="1" x14ac:dyDescent="0.3">
      <c r="C51" s="104"/>
      <c r="D51" s="67" t="s">
        <v>2617</v>
      </c>
      <c r="E51" s="705" t="s">
        <v>2649</v>
      </c>
    </row>
    <row r="52" spans="3:12" ht="67.8" customHeight="1" x14ac:dyDescent="0.5">
      <c r="C52" s="1359" t="str">
        <f>+'PLAN DE DESARROLLO 2024 - 2027'!B203</f>
        <v xml:space="preserve">Territorio Sitio de Paz y Pensamiento Colectivo
</v>
      </c>
      <c r="D52" s="1302">
        <f>+M7</f>
        <v>0.35048687500000003</v>
      </c>
      <c r="E52" s="1322">
        <f>+'PLAN DE DESARROLLO 2024 - 2027'!O203</f>
        <v>0.39296643518518515</v>
      </c>
      <c r="L52" s="72" t="s">
        <v>1585</v>
      </c>
    </row>
    <row r="53" spans="3:12" ht="37.200000000000003" customHeight="1" x14ac:dyDescent="0.3">
      <c r="C53" s="79" t="str">
        <f>+'PLAN DE DESARROLLO 2024 - 2027'!B204</f>
        <v xml:space="preserve"> TERRITORIO PROPIO</v>
      </c>
      <c r="D53" s="1335">
        <f>+'PLAN DE DESARROLLO 2024 - 2027'!R204</f>
        <v>0.18588958333333333</v>
      </c>
      <c r="E53" s="1340">
        <f>+'PLAN DE DESARROLLO 2024 - 2027'!O204</f>
        <v>0.34012152777777777</v>
      </c>
    </row>
    <row r="54" spans="3:12" ht="48.6" customHeight="1" x14ac:dyDescent="0.3">
      <c r="C54" s="79" t="str">
        <f>+'PLAN DE DESARROLLO 2024 - 2027'!B205</f>
        <v xml:space="preserve"> ATENCIÓN INTEGRAL PARA LAS COMUNIDADES INDÍGENAS</v>
      </c>
      <c r="D54" s="1335">
        <f>+'PLAN DE DESARROLLO 2024 - 2027'!R205</f>
        <v>0.34739999999999999</v>
      </c>
      <c r="E54" s="1340">
        <f>+'PLAN DE DESARROLLO 2024 - 2027'!O205</f>
        <v>0.37177777777777776</v>
      </c>
    </row>
    <row r="55" spans="3:12" ht="48.6" customHeight="1" x14ac:dyDescent="0.3">
      <c r="C55" s="79" t="str">
        <f>+'PLAN DE DESARROLLO 2024 - 2027'!B206</f>
        <v xml:space="preserve"> MUJER INDÍGENA, FAMILIA Y GENERACIÓN DE INGRESOS</v>
      </c>
      <c r="D55" s="1335">
        <f>+'PLAN DE DESARROLLO 2024 - 2027'!R206</f>
        <v>0.47625000000000006</v>
      </c>
      <c r="E55" s="1337">
        <f>+'PLAN DE DESARROLLO 2024 - 2027'!O206</f>
        <v>0.46699999999999997</v>
      </c>
    </row>
    <row r="59" spans="3:12" ht="14.4" customHeight="1" x14ac:dyDescent="0.3">
      <c r="C59"/>
    </row>
    <row r="60" spans="3:12" ht="36" customHeight="1" x14ac:dyDescent="0.3">
      <c r="C60"/>
    </row>
    <row r="61" spans="3:12" ht="55.95" customHeight="1" x14ac:dyDescent="0.3">
      <c r="C61" s="707"/>
      <c r="D61" s="708" t="s">
        <v>2614</v>
      </c>
    </row>
    <row r="62" spans="3:12" ht="54" x14ac:dyDescent="0.35">
      <c r="C62" s="709" t="str">
        <f>+K5</f>
        <v xml:space="preserve">CAPÍTULO DE LOS PUEBLOS Y COMUNIDADES ÉTNICAS
</v>
      </c>
      <c r="D62" s="1419">
        <f>+'PLAN DE DESARROLLO 2024 - 2027'!L198</f>
        <v>3.8722256579399435E-2</v>
      </c>
    </row>
    <row r="63" spans="3:12" ht="75.599999999999994" customHeight="1" x14ac:dyDescent="0.3">
      <c r="C63" s="710" t="str">
        <f>+K6</f>
        <v xml:space="preserve"> Fortalecimiento al Desarrollo Afro-Territorial de la Población Negra, Afrocolombiana, Raizal y Palenquera
</v>
      </c>
      <c r="D63" s="1420">
        <f>+'PLAN DE DESARROLLO 2024 - 2027'!L199</f>
        <v>4.5037105751391464E-2</v>
      </c>
    </row>
    <row r="64" spans="3:12" ht="47.4" customHeight="1" x14ac:dyDescent="0.3">
      <c r="C64" s="710" t="str">
        <f>+K7</f>
        <v xml:space="preserve">Territorio Sitio de Paz y Pensamiento Colectivo
</v>
      </c>
      <c r="D64" s="1420">
        <f>+'PLAN DE DESARROLLO 2024 - 2027'!L203</f>
        <v>0</v>
      </c>
    </row>
    <row r="67" spans="3:3" x14ac:dyDescent="0.3">
      <c r="C67"/>
    </row>
    <row r="68" spans="3:3" x14ac:dyDescent="0.3">
      <c r="C68"/>
    </row>
    <row r="69" spans="3:3" x14ac:dyDescent="0.3">
      <c r="C69"/>
    </row>
    <row r="70" spans="3:3" x14ac:dyDescent="0.3">
      <c r="C70"/>
    </row>
    <row r="71" spans="3:3" x14ac:dyDescent="0.3">
      <c r="C71"/>
    </row>
    <row r="72" spans="3:3" ht="90.6" customHeight="1" x14ac:dyDescent="0.3">
      <c r="C72"/>
    </row>
    <row r="73" spans="3:3" x14ac:dyDescent="0.3">
      <c r="C73"/>
    </row>
    <row r="74" spans="3:3" x14ac:dyDescent="0.3">
      <c r="C74"/>
    </row>
    <row r="75" spans="3:3" x14ac:dyDescent="0.3">
      <c r="C75"/>
    </row>
    <row r="76" spans="3:3" x14ac:dyDescent="0.3">
      <c r="C76"/>
    </row>
    <row r="77" spans="3:3" x14ac:dyDescent="0.3">
      <c r="C77"/>
    </row>
    <row r="78" spans="3:3" x14ac:dyDescent="0.3">
      <c r="C78"/>
    </row>
    <row r="79" spans="3:3" x14ac:dyDescent="0.3">
      <c r="C79"/>
    </row>
    <row r="80" spans="3:3" x14ac:dyDescent="0.3">
      <c r="C80"/>
    </row>
    <row r="81" spans="3:3" x14ac:dyDescent="0.3">
      <c r="C81"/>
    </row>
    <row r="82" spans="3:3" x14ac:dyDescent="0.3">
      <c r="C82"/>
    </row>
  </sheetData>
  <mergeCells count="2">
    <mergeCell ref="K2:M3"/>
    <mergeCell ref="C2:F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96"/>
  <sheetViews>
    <sheetView topLeftCell="E1" zoomScale="60" zoomScaleNormal="60" workbookViewId="0">
      <selection activeCell="I3" sqref="I3:I639"/>
    </sheetView>
  </sheetViews>
  <sheetFormatPr baseColWidth="10" defaultColWidth="11.44140625" defaultRowHeight="14.4" x14ac:dyDescent="0.3"/>
  <cols>
    <col min="1" max="1" width="42.44140625" style="738" customWidth="1"/>
    <col min="2" max="2" width="29" style="739" customWidth="1"/>
    <col min="3" max="3" width="43.44140625" style="738" customWidth="1"/>
    <col min="4" max="4" width="42.6640625" style="737" customWidth="1"/>
    <col min="5" max="5" width="62.88671875" style="738" customWidth="1"/>
    <col min="6" max="6" width="25.109375" style="739" hidden="1" customWidth="1"/>
    <col min="7" max="7" width="55.44140625" style="738" customWidth="1"/>
    <col min="8" max="8" width="71.6640625" style="738" customWidth="1"/>
    <col min="9" max="9" width="44.33203125" style="738" customWidth="1"/>
    <col min="10" max="10" width="55.44140625" style="738" customWidth="1"/>
    <col min="11" max="11" width="24.109375" style="737" customWidth="1"/>
    <col min="12" max="15" width="11.44140625" style="732"/>
    <col min="16" max="16" width="21.109375" style="733" customWidth="1"/>
    <col min="17" max="16384" width="11.44140625" style="732"/>
  </cols>
  <sheetData>
    <row r="1" spans="1:16" ht="45.6" customHeight="1" thickBot="1" x14ac:dyDescent="0.35">
      <c r="A1" s="736" t="s">
        <v>2258</v>
      </c>
      <c r="B1" s="736" t="s">
        <v>2259</v>
      </c>
      <c r="C1" s="736" t="s">
        <v>1843</v>
      </c>
      <c r="D1" s="736" t="s">
        <v>2260</v>
      </c>
      <c r="E1" s="736" t="s">
        <v>2261</v>
      </c>
      <c r="F1" s="736" t="s">
        <v>2263</v>
      </c>
      <c r="G1" s="736" t="s">
        <v>2262</v>
      </c>
      <c r="H1" s="736" t="s">
        <v>2014</v>
      </c>
      <c r="I1" s="760" t="s">
        <v>2651</v>
      </c>
      <c r="J1" s="736" t="s">
        <v>1</v>
      </c>
    </row>
    <row r="2" spans="1:16" ht="43.8" thickBot="1" x14ac:dyDescent="0.35">
      <c r="A2" s="738" t="s">
        <v>1993</v>
      </c>
      <c r="B2" s="740">
        <f>'[1]PLAN DE DESARROLLO 2024 - 2027'!$K$198</f>
        <v>6.9685846560846545E-2</v>
      </c>
      <c r="C2" s="738" t="s">
        <v>1994</v>
      </c>
      <c r="D2" s="740">
        <f>'[1]PLAN DE DESARROLLO 2024 - 2027'!$K$199</f>
        <v>6.974206349206348E-2</v>
      </c>
      <c r="E2" s="757" t="s">
        <v>1995</v>
      </c>
      <c r="F2" s="741">
        <f>'[1]PLAN DE DESARROLLO 2024 - 2027'!$K$201</f>
        <v>0</v>
      </c>
      <c r="G2" s="738" t="s">
        <v>1084</v>
      </c>
      <c r="H2" s="758" t="s">
        <v>1085</v>
      </c>
      <c r="I2" s="767">
        <f>+'Capitulo Etnico'!AK15</f>
        <v>1</v>
      </c>
      <c r="J2" s="759" t="s">
        <v>162</v>
      </c>
      <c r="K2" s="742" t="s">
        <v>1996</v>
      </c>
      <c r="P2" s="732"/>
    </row>
    <row r="3" spans="1:16" ht="43.8" thickBot="1" x14ac:dyDescent="0.35">
      <c r="A3" s="738" t="s">
        <v>1993</v>
      </c>
      <c r="B3" s="740">
        <f>'[1]PLAN DE DESARROLLO 2024 - 2027'!$K$198</f>
        <v>6.9685846560846545E-2</v>
      </c>
      <c r="C3" s="738" t="s">
        <v>1994</v>
      </c>
      <c r="D3" s="740">
        <f>'[1]PLAN DE DESARROLLO 2024 - 2027'!$K$199</f>
        <v>6.974206349206348E-2</v>
      </c>
      <c r="E3" s="757" t="s">
        <v>1995</v>
      </c>
      <c r="F3" s="741">
        <f>'[1]PLAN DE DESARROLLO 2024 - 2027'!$K$201</f>
        <v>0</v>
      </c>
      <c r="G3" s="738" t="s">
        <v>1086</v>
      </c>
      <c r="H3" s="758" t="s">
        <v>1087</v>
      </c>
      <c r="I3" s="768">
        <f>+'Capitulo Etnico'!AK16</f>
        <v>0</v>
      </c>
      <c r="J3" s="759" t="s">
        <v>162</v>
      </c>
      <c r="K3" s="742" t="s">
        <v>1996</v>
      </c>
      <c r="P3" s="732"/>
    </row>
    <row r="4" spans="1:16" ht="43.8" thickBot="1" x14ac:dyDescent="0.35">
      <c r="A4" s="738" t="s">
        <v>1993</v>
      </c>
      <c r="B4" s="740">
        <f>'[1]PLAN DE DESARROLLO 2024 - 2027'!$K$198</f>
        <v>6.9685846560846545E-2</v>
      </c>
      <c r="C4" s="738" t="s">
        <v>1994</v>
      </c>
      <c r="D4" s="740">
        <f>'[1]PLAN DE DESARROLLO 2024 - 2027'!$K$199</f>
        <v>6.974206349206348E-2</v>
      </c>
      <c r="E4" s="757" t="s">
        <v>1995</v>
      </c>
      <c r="F4" s="741">
        <f>'[1]PLAN DE DESARROLLO 2024 - 2027'!$K$201</f>
        <v>0</v>
      </c>
      <c r="G4" s="738" t="s">
        <v>1088</v>
      </c>
      <c r="H4" s="758" t="s">
        <v>1089</v>
      </c>
      <c r="I4" s="768">
        <f>+'Capitulo Etnico'!AK17</f>
        <v>0.25</v>
      </c>
      <c r="J4" s="759" t="s">
        <v>620</v>
      </c>
      <c r="K4" s="742" t="s">
        <v>1996</v>
      </c>
      <c r="P4" s="732"/>
    </row>
    <row r="5" spans="1:16" ht="43.8" thickBot="1" x14ac:dyDescent="0.35">
      <c r="A5" s="738" t="s">
        <v>1993</v>
      </c>
      <c r="B5" s="740">
        <f>'[1]PLAN DE DESARROLLO 2024 - 2027'!$K$198</f>
        <v>6.9685846560846545E-2</v>
      </c>
      <c r="C5" s="738" t="s">
        <v>1994</v>
      </c>
      <c r="D5" s="740">
        <f>'[1]PLAN DE DESARROLLO 2024 - 2027'!$K$199</f>
        <v>6.974206349206348E-2</v>
      </c>
      <c r="E5" s="757" t="s">
        <v>1995</v>
      </c>
      <c r="F5" s="741">
        <f>'[1]PLAN DE DESARROLLO 2024 - 2027'!$K$201</f>
        <v>0</v>
      </c>
      <c r="G5" s="738" t="s">
        <v>1090</v>
      </c>
      <c r="H5" s="758" t="s">
        <v>1091</v>
      </c>
      <c r="I5" s="768">
        <f>+'Capitulo Etnico'!AK18</f>
        <v>0.25</v>
      </c>
      <c r="J5" s="759" t="s">
        <v>620</v>
      </c>
      <c r="K5" s="742" t="s">
        <v>1996</v>
      </c>
      <c r="P5" s="732"/>
    </row>
    <row r="6" spans="1:16" ht="58.2" thickBot="1" x14ac:dyDescent="0.35">
      <c r="A6" s="738" t="s">
        <v>1993</v>
      </c>
      <c r="B6" s="740">
        <f>'[1]PLAN DE DESARROLLO 2024 - 2027'!$K$198</f>
        <v>6.9685846560846545E-2</v>
      </c>
      <c r="C6" s="738" t="s">
        <v>1994</v>
      </c>
      <c r="D6" s="740">
        <f>'[1]PLAN DE DESARROLLO 2024 - 2027'!$K$199</f>
        <v>6.974206349206348E-2</v>
      </c>
      <c r="E6" s="757" t="s">
        <v>1995</v>
      </c>
      <c r="F6" s="741">
        <f>'[1]PLAN DE DESARROLLO 2024 - 2027'!$K$201</f>
        <v>0</v>
      </c>
      <c r="G6" s="738" t="s">
        <v>1092</v>
      </c>
      <c r="H6" s="758" t="s">
        <v>1093</v>
      </c>
      <c r="I6" s="768">
        <f>+'Capitulo Etnico'!AK19</f>
        <v>1</v>
      </c>
      <c r="J6" s="759" t="s">
        <v>707</v>
      </c>
      <c r="K6" s="742" t="s">
        <v>1996</v>
      </c>
      <c r="P6" s="732"/>
    </row>
    <row r="7" spans="1:16" ht="43.8" thickBot="1" x14ac:dyDescent="0.35">
      <c r="A7" s="738" t="s">
        <v>1993</v>
      </c>
      <c r="B7" s="740">
        <f>'[1]PLAN DE DESARROLLO 2024 - 2027'!$K$198</f>
        <v>6.9685846560846545E-2</v>
      </c>
      <c r="C7" s="738" t="s">
        <v>1994</v>
      </c>
      <c r="D7" s="740">
        <f>'[1]PLAN DE DESARROLLO 2024 - 2027'!$K$199</f>
        <v>6.974206349206348E-2</v>
      </c>
      <c r="E7" s="757" t="s">
        <v>1995</v>
      </c>
      <c r="F7" s="741">
        <f>'[1]PLAN DE DESARROLLO 2024 - 2027'!$K$201</f>
        <v>0</v>
      </c>
      <c r="G7" s="738" t="s">
        <v>1094</v>
      </c>
      <c r="H7" s="758" t="s">
        <v>1095</v>
      </c>
      <c r="I7" s="768">
        <f>+'Capitulo Etnico'!AK20</f>
        <v>0.28535353535353536</v>
      </c>
      <c r="J7" s="759" t="s">
        <v>707</v>
      </c>
      <c r="K7" s="742" t="s">
        <v>1996</v>
      </c>
      <c r="P7" s="732"/>
    </row>
    <row r="8" spans="1:16" ht="43.8" thickBot="1" x14ac:dyDescent="0.35">
      <c r="A8" s="738" t="s">
        <v>1993</v>
      </c>
      <c r="B8" s="740">
        <f>'[1]PLAN DE DESARROLLO 2024 - 2027'!$K$198</f>
        <v>6.9685846560846545E-2</v>
      </c>
      <c r="C8" s="738" t="s">
        <v>1994</v>
      </c>
      <c r="D8" s="740">
        <f>'[1]PLAN DE DESARROLLO 2024 - 2027'!$K$199</f>
        <v>6.974206349206348E-2</v>
      </c>
      <c r="E8" s="757" t="s">
        <v>1995</v>
      </c>
      <c r="F8" s="741">
        <f>'[1]PLAN DE DESARROLLO 2024 - 2027'!$K$201</f>
        <v>0</v>
      </c>
      <c r="G8" s="738" t="s">
        <v>1096</v>
      </c>
      <c r="H8" s="758" t="s">
        <v>1097</v>
      </c>
      <c r="I8" s="768">
        <f>+'Capitulo Etnico'!AK21</f>
        <v>0.17499999999999999</v>
      </c>
      <c r="J8" s="759" t="s">
        <v>551</v>
      </c>
      <c r="K8" s="742" t="s">
        <v>1996</v>
      </c>
      <c r="P8" s="732"/>
    </row>
    <row r="9" spans="1:16" ht="43.8" thickBot="1" x14ac:dyDescent="0.35">
      <c r="A9" s="738" t="s">
        <v>1993</v>
      </c>
      <c r="B9" s="740">
        <f>'[1]PLAN DE DESARROLLO 2024 - 2027'!$K$198</f>
        <v>6.9685846560846545E-2</v>
      </c>
      <c r="C9" s="738" t="s">
        <v>1997</v>
      </c>
      <c r="D9" s="740">
        <f>'[1]PLAN DE DESARROLLO 2024 - 2027'!$K$203</f>
        <v>6.9629629629629611E-2</v>
      </c>
      <c r="E9" s="757" t="s">
        <v>1840</v>
      </c>
      <c r="F9" s="741">
        <f>'[1]PLAN DE DESARROLLO 2024 - 2027'!$K$205</f>
        <v>0</v>
      </c>
      <c r="G9" s="738" t="s">
        <v>1130</v>
      </c>
      <c r="H9" s="758" t="s">
        <v>1131</v>
      </c>
      <c r="I9" s="768">
        <f>+'Capitulo Etnico'!AK41</f>
        <v>8.3333333333333329E-2</v>
      </c>
      <c r="J9" s="759" t="s">
        <v>162</v>
      </c>
      <c r="K9" s="742" t="s">
        <v>1996</v>
      </c>
      <c r="P9" s="732"/>
    </row>
    <row r="10" spans="1:16" ht="29.4" thickBot="1" x14ac:dyDescent="0.35">
      <c r="A10" s="738" t="s">
        <v>1993</v>
      </c>
      <c r="B10" s="740">
        <f>'[1]PLAN DE DESARROLLO 2024 - 2027'!$K$198</f>
        <v>6.9685846560846545E-2</v>
      </c>
      <c r="C10" s="738" t="s">
        <v>1997</v>
      </c>
      <c r="D10" s="740">
        <f>'[1]PLAN DE DESARROLLO 2024 - 2027'!$K$203</f>
        <v>6.9629629629629611E-2</v>
      </c>
      <c r="E10" s="757" t="s">
        <v>1840</v>
      </c>
      <c r="F10" s="741">
        <f>'[1]PLAN DE DESARROLLO 2024 - 2027'!$K$205</f>
        <v>0</v>
      </c>
      <c r="G10" s="738" t="s">
        <v>1132</v>
      </c>
      <c r="H10" s="758" t="s">
        <v>1133</v>
      </c>
      <c r="I10" s="768">
        <f>+'Capitulo Etnico'!AK42</f>
        <v>0.25</v>
      </c>
      <c r="J10" s="759" t="s">
        <v>162</v>
      </c>
      <c r="K10" s="742" t="s">
        <v>1996</v>
      </c>
      <c r="P10" s="732"/>
    </row>
    <row r="11" spans="1:16" ht="29.4" thickBot="1" x14ac:dyDescent="0.35">
      <c r="A11" s="738" t="s">
        <v>1993</v>
      </c>
      <c r="B11" s="740">
        <f>'[1]PLAN DE DESARROLLO 2024 - 2027'!$K$198</f>
        <v>6.9685846560846545E-2</v>
      </c>
      <c r="C11" s="738" t="s">
        <v>1997</v>
      </c>
      <c r="D11" s="740">
        <f>'[1]PLAN DE DESARROLLO 2024 - 2027'!$K$203</f>
        <v>6.9629629629629611E-2</v>
      </c>
      <c r="E11" s="757" t="s">
        <v>1840</v>
      </c>
      <c r="F11" s="741">
        <f>'[1]PLAN DE DESARROLLO 2024 - 2027'!$K$205</f>
        <v>0</v>
      </c>
      <c r="G11" s="738" t="s">
        <v>1134</v>
      </c>
      <c r="H11" s="758" t="s">
        <v>1135</v>
      </c>
      <c r="I11" s="768">
        <f>+'Capitulo Etnico'!AK43</f>
        <v>0.314</v>
      </c>
      <c r="J11" s="759" t="s">
        <v>58</v>
      </c>
      <c r="K11" s="742" t="s">
        <v>1996</v>
      </c>
      <c r="P11" s="732"/>
    </row>
    <row r="12" spans="1:16" ht="43.8" thickBot="1" x14ac:dyDescent="0.35">
      <c r="A12" s="738" t="s">
        <v>1993</v>
      </c>
      <c r="B12" s="740">
        <f>'[1]PLAN DE DESARROLLO 2024 - 2027'!$K$198</f>
        <v>6.9685846560846545E-2</v>
      </c>
      <c r="C12" s="738" t="s">
        <v>1997</v>
      </c>
      <c r="D12" s="740">
        <f>'[1]PLAN DE DESARROLLO 2024 - 2027'!$K$203</f>
        <v>6.9629629629629611E-2</v>
      </c>
      <c r="E12" s="757" t="s">
        <v>1840</v>
      </c>
      <c r="F12" s="741">
        <f>'[1]PLAN DE DESARROLLO 2024 - 2027'!$K$205</f>
        <v>0</v>
      </c>
      <c r="G12" s="738" t="s">
        <v>1136</v>
      </c>
      <c r="H12" s="758" t="s">
        <v>1137</v>
      </c>
      <c r="I12" s="768">
        <f>+'Capitulo Etnico'!AK44</f>
        <v>0.25</v>
      </c>
      <c r="J12" s="759" t="s">
        <v>620</v>
      </c>
      <c r="K12" s="742" t="s">
        <v>1996</v>
      </c>
      <c r="P12" s="732"/>
    </row>
    <row r="13" spans="1:16" ht="58.2" thickBot="1" x14ac:dyDescent="0.35">
      <c r="A13" s="738" t="s">
        <v>1993</v>
      </c>
      <c r="B13" s="740">
        <f>'[1]PLAN DE DESARROLLO 2024 - 2027'!$K$198</f>
        <v>6.9685846560846545E-2</v>
      </c>
      <c r="C13" s="738" t="s">
        <v>1997</v>
      </c>
      <c r="D13" s="740">
        <f>'[1]PLAN DE DESARROLLO 2024 - 2027'!$K$203</f>
        <v>6.9629629629629611E-2</v>
      </c>
      <c r="E13" s="757" t="s">
        <v>1840</v>
      </c>
      <c r="F13" s="741">
        <f>'[1]PLAN DE DESARROLLO 2024 - 2027'!$K$205</f>
        <v>0</v>
      </c>
      <c r="G13" s="738" t="s">
        <v>1138</v>
      </c>
      <c r="H13" s="758" t="s">
        <v>1139</v>
      </c>
      <c r="I13" s="768">
        <f>+'Capitulo Etnico'!AK45</f>
        <v>1</v>
      </c>
      <c r="J13" s="759" t="s">
        <v>565</v>
      </c>
      <c r="K13" s="742" t="s">
        <v>1996</v>
      </c>
      <c r="P13" s="732"/>
    </row>
    <row r="14" spans="1:16" ht="29.4" thickBot="1" x14ac:dyDescent="0.35">
      <c r="A14" s="738" t="s">
        <v>1993</v>
      </c>
      <c r="B14" s="740">
        <f>'[1]PLAN DE DESARROLLO 2024 - 2027'!$K$198</f>
        <v>6.9685846560846545E-2</v>
      </c>
      <c r="C14" s="738" t="s">
        <v>1997</v>
      </c>
      <c r="D14" s="740">
        <f>'[1]PLAN DE DESARROLLO 2024 - 2027'!$K$203</f>
        <v>6.9629629629629611E-2</v>
      </c>
      <c r="E14" s="757" t="s">
        <v>1840</v>
      </c>
      <c r="F14" s="741">
        <f>'[1]PLAN DE DESARROLLO 2024 - 2027'!$K$205</f>
        <v>0</v>
      </c>
      <c r="G14" s="738" t="s">
        <v>1140</v>
      </c>
      <c r="H14" s="758" t="s">
        <v>1141</v>
      </c>
      <c r="I14" s="768">
        <f>+'Capitulo Etnico'!AK46</f>
        <v>0.33333333333333331</v>
      </c>
      <c r="J14" s="759" t="s">
        <v>707</v>
      </c>
      <c r="K14" s="742" t="s">
        <v>1996</v>
      </c>
      <c r="P14" s="732"/>
    </row>
    <row r="15" spans="1:16" ht="29.4" thickBot="1" x14ac:dyDescent="0.35">
      <c r="A15" s="738" t="s">
        <v>1993</v>
      </c>
      <c r="B15" s="740">
        <f>'[1]PLAN DE DESARROLLO 2024 - 2027'!$K$198</f>
        <v>6.9685846560846545E-2</v>
      </c>
      <c r="C15" s="738" t="s">
        <v>1997</v>
      </c>
      <c r="D15" s="740">
        <f>'[1]PLAN DE DESARROLLO 2024 - 2027'!$K$203</f>
        <v>6.9629629629629611E-2</v>
      </c>
      <c r="E15" s="738" t="s">
        <v>1841</v>
      </c>
      <c r="F15" s="741">
        <f>'[1]PLAN DE DESARROLLO 2024 - 2027'!$K$206</f>
        <v>6.9999999999999993E-2</v>
      </c>
      <c r="G15" s="738" t="s">
        <v>1142</v>
      </c>
      <c r="H15" s="758" t="s">
        <v>1143</v>
      </c>
      <c r="I15" s="768">
        <f>+'Capitulo Etnico'!AK48</f>
        <v>1</v>
      </c>
      <c r="J15" s="759" t="s">
        <v>58</v>
      </c>
      <c r="K15" s="742" t="s">
        <v>1996</v>
      </c>
      <c r="P15" s="732"/>
    </row>
    <row r="16" spans="1:16" ht="29.4" thickBot="1" x14ac:dyDescent="0.35">
      <c r="A16" s="738" t="s">
        <v>1993</v>
      </c>
      <c r="B16" s="740">
        <f>'[1]PLAN DE DESARROLLO 2024 - 2027'!$K$198</f>
        <v>6.9685846560846545E-2</v>
      </c>
      <c r="C16" s="738" t="s">
        <v>1997</v>
      </c>
      <c r="D16" s="740">
        <f>'[1]PLAN DE DESARROLLO 2024 - 2027'!$K$203</f>
        <v>6.9629629629629611E-2</v>
      </c>
      <c r="E16" s="738" t="s">
        <v>1841</v>
      </c>
      <c r="F16" s="741">
        <f>'[1]PLAN DE DESARROLLO 2024 - 2027'!$K$206</f>
        <v>6.9999999999999993E-2</v>
      </c>
      <c r="G16" s="738" t="s">
        <v>1144</v>
      </c>
      <c r="H16" s="758" t="s">
        <v>1145</v>
      </c>
      <c r="I16" s="768">
        <f>+'Capitulo Etnico'!AK49</f>
        <v>0.38500000000000001</v>
      </c>
      <c r="J16" s="759" t="s">
        <v>297</v>
      </c>
      <c r="K16" s="742" t="s">
        <v>1996</v>
      </c>
      <c r="P16" s="732"/>
    </row>
    <row r="17" spans="1:16" ht="43.8" thickBot="1" x14ac:dyDescent="0.35">
      <c r="A17" s="738" t="s">
        <v>1993</v>
      </c>
      <c r="B17" s="740">
        <f>'[1]PLAN DE DESARROLLO 2024 - 2027'!$K$198</f>
        <v>6.9685846560846545E-2</v>
      </c>
      <c r="C17" s="738" t="s">
        <v>1997</v>
      </c>
      <c r="D17" s="740">
        <f>'[1]PLAN DE DESARROLLO 2024 - 2027'!$K$203</f>
        <v>6.9629629629629611E-2</v>
      </c>
      <c r="E17" s="738" t="s">
        <v>1841</v>
      </c>
      <c r="F17" s="741">
        <f>'[1]PLAN DE DESARROLLO 2024 - 2027'!$K$206</f>
        <v>6.9999999999999993E-2</v>
      </c>
      <c r="G17" s="738" t="s">
        <v>1147</v>
      </c>
      <c r="H17" s="758" t="s">
        <v>1148</v>
      </c>
      <c r="I17" s="768">
        <f>+'Capitulo Etnico'!AK50</f>
        <v>0.25</v>
      </c>
      <c r="J17" s="759" t="s">
        <v>516</v>
      </c>
      <c r="K17" s="742" t="s">
        <v>1996</v>
      </c>
      <c r="P17" s="732"/>
    </row>
    <row r="18" spans="1:16" ht="29.4" thickBot="1" x14ac:dyDescent="0.35">
      <c r="A18" s="738" t="s">
        <v>1993</v>
      </c>
      <c r="B18" s="740">
        <f>'[1]PLAN DE DESARROLLO 2024 - 2027'!$K$198</f>
        <v>6.9685846560846545E-2</v>
      </c>
      <c r="C18" s="738" t="s">
        <v>1997</v>
      </c>
      <c r="D18" s="740">
        <f>'[1]PLAN DE DESARROLLO 2024 - 2027'!$K$203</f>
        <v>6.9629629629629611E-2</v>
      </c>
      <c r="E18" s="738" t="s">
        <v>1841</v>
      </c>
      <c r="F18" s="741">
        <f>'[1]PLAN DE DESARROLLO 2024 - 2027'!$K$206</f>
        <v>6.9999999999999993E-2</v>
      </c>
      <c r="G18" s="738" t="s">
        <v>1149</v>
      </c>
      <c r="H18" s="758" t="s">
        <v>1150</v>
      </c>
      <c r="I18" s="768">
        <f>+'Capitulo Etnico'!AK51</f>
        <v>0.3</v>
      </c>
      <c r="J18" s="759" t="s">
        <v>1151</v>
      </c>
      <c r="K18" s="742" t="s">
        <v>1996</v>
      </c>
      <c r="P18" s="732"/>
    </row>
    <row r="19" spans="1:16" ht="29.4" thickBot="1" x14ac:dyDescent="0.35">
      <c r="A19" s="738" t="s">
        <v>1993</v>
      </c>
      <c r="B19" s="740">
        <f>'[1]PLAN DE DESARROLLO 2024 - 2027'!$K$198</f>
        <v>6.9685846560846545E-2</v>
      </c>
      <c r="C19" s="738" t="s">
        <v>1997</v>
      </c>
      <c r="D19" s="740">
        <f>'[1]PLAN DE DESARROLLO 2024 - 2027'!$K$203</f>
        <v>6.9629629629629611E-2</v>
      </c>
      <c r="E19" s="738" t="s">
        <v>1841</v>
      </c>
      <c r="F19" s="741">
        <f>'[1]PLAN DE DESARROLLO 2024 - 2027'!$K$206</f>
        <v>6.9999999999999993E-2</v>
      </c>
      <c r="G19" s="738" t="s">
        <v>1152</v>
      </c>
      <c r="H19" s="758" t="s">
        <v>1153</v>
      </c>
      <c r="I19" s="769">
        <f>+'Capitulo Etnico'!AK52</f>
        <v>0.4</v>
      </c>
      <c r="J19" s="759" t="s">
        <v>1151</v>
      </c>
      <c r="K19" s="742" t="s">
        <v>1996</v>
      </c>
      <c r="P19" s="732"/>
    </row>
    <row r="20" spans="1:16" ht="43.8" thickBot="1" x14ac:dyDescent="0.35">
      <c r="A20" s="738" t="s">
        <v>1993</v>
      </c>
      <c r="B20" s="740">
        <f>'[1]PLAN DE DESARROLLO 2024 - 2027'!$K$198</f>
        <v>6.9685846560846545E-2</v>
      </c>
      <c r="C20" s="738" t="s">
        <v>1994</v>
      </c>
      <c r="D20" s="740">
        <f>'[1]PLAN DE DESARROLLO 2024 - 2027'!$K$199</f>
        <v>6.974206349206348E-2</v>
      </c>
      <c r="E20" s="738" t="s">
        <v>1998</v>
      </c>
      <c r="F20" s="741">
        <f>'[1]PLAN DE DESARROLLO 2024 - 2027'!$K$200</f>
        <v>0.15208333333333332</v>
      </c>
      <c r="G20" s="738" t="s">
        <v>1066</v>
      </c>
      <c r="H20" s="758" t="s">
        <v>1067</v>
      </c>
      <c r="I20" s="770">
        <f>+'Capitulo Etnico'!AK6</f>
        <v>0.56666666666666665</v>
      </c>
      <c r="J20" s="759" t="s">
        <v>1999</v>
      </c>
      <c r="K20" s="742" t="s">
        <v>1996</v>
      </c>
      <c r="P20" s="732"/>
    </row>
    <row r="21" spans="1:16" ht="43.8" thickBot="1" x14ac:dyDescent="0.35">
      <c r="A21" s="738" t="s">
        <v>1993</v>
      </c>
      <c r="B21" s="740">
        <f>'[1]PLAN DE DESARROLLO 2024 - 2027'!$K$198</f>
        <v>6.9685846560846545E-2</v>
      </c>
      <c r="C21" s="738" t="s">
        <v>1994</v>
      </c>
      <c r="D21" s="740">
        <f>'[1]PLAN DE DESARROLLO 2024 - 2027'!$K$199</f>
        <v>6.974206349206348E-2</v>
      </c>
      <c r="E21" s="738" t="s">
        <v>1998</v>
      </c>
      <c r="F21" s="741">
        <f>'[1]PLAN DE DESARROLLO 2024 - 2027'!$K$200</f>
        <v>0.15208333333333332</v>
      </c>
      <c r="G21" s="738" t="s">
        <v>1069</v>
      </c>
      <c r="H21" s="758" t="s">
        <v>1070</v>
      </c>
      <c r="I21" s="770">
        <f>+'Capitulo Etnico'!AK7</f>
        <v>0.71399999999999997</v>
      </c>
      <c r="J21" s="759" t="s">
        <v>2000</v>
      </c>
      <c r="K21" s="742" t="s">
        <v>1996</v>
      </c>
      <c r="P21" s="732"/>
    </row>
    <row r="22" spans="1:16" ht="43.8" thickBot="1" x14ac:dyDescent="0.35">
      <c r="A22" s="738" t="s">
        <v>1993</v>
      </c>
      <c r="B22" s="740">
        <f>'[1]PLAN DE DESARROLLO 2024 - 2027'!$K$198</f>
        <v>6.9685846560846545E-2</v>
      </c>
      <c r="C22" s="738" t="s">
        <v>1994</v>
      </c>
      <c r="D22" s="740">
        <f>'[1]PLAN DE DESARROLLO 2024 - 2027'!$K$199</f>
        <v>6.974206349206348E-2</v>
      </c>
      <c r="E22" s="738" t="s">
        <v>1998</v>
      </c>
      <c r="F22" s="741">
        <f>'[1]PLAN DE DESARROLLO 2024 - 2027'!$K$200</f>
        <v>0.15208333333333332</v>
      </c>
      <c r="G22" s="738" t="s">
        <v>1072</v>
      </c>
      <c r="H22" s="758" t="s">
        <v>1073</v>
      </c>
      <c r="I22" s="770">
        <f>+'Capitulo Etnico'!AK8</f>
        <v>0.64</v>
      </c>
      <c r="J22" s="759" t="s">
        <v>1999</v>
      </c>
      <c r="K22" s="742" t="s">
        <v>1996</v>
      </c>
      <c r="P22" s="732"/>
    </row>
    <row r="23" spans="1:16" ht="43.8" thickBot="1" x14ac:dyDescent="0.35">
      <c r="A23" s="738" t="s">
        <v>1993</v>
      </c>
      <c r="B23" s="740">
        <f>'[1]PLAN DE DESARROLLO 2024 - 2027'!$K$198</f>
        <v>6.9685846560846545E-2</v>
      </c>
      <c r="C23" s="738" t="s">
        <v>1994</v>
      </c>
      <c r="D23" s="740">
        <f>'[1]PLAN DE DESARROLLO 2024 - 2027'!$K$199</f>
        <v>6.974206349206348E-2</v>
      </c>
      <c r="E23" s="738" t="s">
        <v>1998</v>
      </c>
      <c r="F23" s="741">
        <f>'[1]PLAN DE DESARROLLO 2024 - 2027'!$K$200</f>
        <v>0.15208333333333332</v>
      </c>
      <c r="G23" s="738" t="s">
        <v>2001</v>
      </c>
      <c r="H23" s="758" t="s">
        <v>2002</v>
      </c>
      <c r="I23" s="770">
        <f>+'Capitulo Etnico'!AK9</f>
        <v>0</v>
      </c>
      <c r="J23" s="759" t="s">
        <v>1999</v>
      </c>
      <c r="K23" s="742" t="s">
        <v>1996</v>
      </c>
      <c r="P23" s="732"/>
    </row>
    <row r="24" spans="1:16" ht="43.8" thickBot="1" x14ac:dyDescent="0.35">
      <c r="A24" s="738" t="s">
        <v>1993</v>
      </c>
      <c r="B24" s="740">
        <f>'[1]PLAN DE DESARROLLO 2024 - 2027'!$K$198</f>
        <v>6.9685846560846545E-2</v>
      </c>
      <c r="C24" s="738" t="s">
        <v>1994</v>
      </c>
      <c r="D24" s="740">
        <f>'[1]PLAN DE DESARROLLO 2024 - 2027'!$K$199</f>
        <v>6.974206349206348E-2</v>
      </c>
      <c r="E24" s="738" t="s">
        <v>1998</v>
      </c>
      <c r="F24" s="741">
        <f>'[1]PLAN DE DESARROLLO 2024 - 2027'!$K$200</f>
        <v>0.15208333333333332</v>
      </c>
      <c r="G24" s="738" t="s">
        <v>1076</v>
      </c>
      <c r="H24" s="758" t="s">
        <v>1077</v>
      </c>
      <c r="I24" s="770">
        <f>+'Capitulo Etnico'!AK10</f>
        <v>0</v>
      </c>
      <c r="J24" s="759" t="s">
        <v>1999</v>
      </c>
      <c r="K24" s="742" t="s">
        <v>1996</v>
      </c>
      <c r="P24" s="732"/>
    </row>
    <row r="25" spans="1:16" ht="43.8" thickBot="1" x14ac:dyDescent="0.35">
      <c r="A25" s="738" t="s">
        <v>1993</v>
      </c>
      <c r="B25" s="740">
        <f>'[1]PLAN DE DESARROLLO 2024 - 2027'!$K$198</f>
        <v>6.9685846560846545E-2</v>
      </c>
      <c r="C25" s="738" t="s">
        <v>1994</v>
      </c>
      <c r="D25" s="740">
        <f>'[1]PLAN DE DESARROLLO 2024 - 2027'!$K$199</f>
        <v>6.974206349206348E-2</v>
      </c>
      <c r="E25" s="738" t="s">
        <v>1998</v>
      </c>
      <c r="F25" s="741">
        <f>'[1]PLAN DE DESARROLLO 2024 - 2027'!$K$200</f>
        <v>0.15208333333333332</v>
      </c>
      <c r="G25" s="738" t="s">
        <v>1078</v>
      </c>
      <c r="H25" s="758" t="s">
        <v>1079</v>
      </c>
      <c r="I25" s="770">
        <f>+'Capitulo Etnico'!AK11</f>
        <v>0</v>
      </c>
      <c r="J25" s="759" t="s">
        <v>1999</v>
      </c>
      <c r="K25" s="742" t="s">
        <v>1996</v>
      </c>
      <c r="P25" s="732"/>
    </row>
    <row r="26" spans="1:16" ht="43.8" thickBot="1" x14ac:dyDescent="0.35">
      <c r="A26" s="738" t="s">
        <v>1993</v>
      </c>
      <c r="B26" s="740">
        <f>'[1]PLAN DE DESARROLLO 2024 - 2027'!$K$198</f>
        <v>6.9685846560846545E-2</v>
      </c>
      <c r="C26" s="738" t="s">
        <v>1994</v>
      </c>
      <c r="D26" s="740">
        <f>'[1]PLAN DE DESARROLLO 2024 - 2027'!$K$199</f>
        <v>6.974206349206348E-2</v>
      </c>
      <c r="E26" s="738" t="s">
        <v>1998</v>
      </c>
      <c r="F26" s="741">
        <f>'[1]PLAN DE DESARROLLO 2024 - 2027'!$K$200</f>
        <v>0.15208333333333332</v>
      </c>
      <c r="G26" s="738" t="s">
        <v>1080</v>
      </c>
      <c r="H26" s="758" t="s">
        <v>1081</v>
      </c>
      <c r="I26" s="770">
        <f>+'Capitulo Etnico'!AK12</f>
        <v>0</v>
      </c>
      <c r="J26" s="759" t="s">
        <v>1999</v>
      </c>
      <c r="K26" s="742" t="s">
        <v>1996</v>
      </c>
      <c r="P26" s="732"/>
    </row>
    <row r="27" spans="1:16" ht="43.8" thickBot="1" x14ac:dyDescent="0.35">
      <c r="A27" s="738" t="s">
        <v>1993</v>
      </c>
      <c r="B27" s="740">
        <f>'[1]PLAN DE DESARROLLO 2024 - 2027'!$K$198</f>
        <v>6.9685846560846545E-2</v>
      </c>
      <c r="C27" s="738" t="s">
        <v>1994</v>
      </c>
      <c r="D27" s="740">
        <f>'[1]PLAN DE DESARROLLO 2024 - 2027'!$K$199</f>
        <v>6.974206349206348E-2</v>
      </c>
      <c r="E27" s="738" t="s">
        <v>1998</v>
      </c>
      <c r="F27" s="741">
        <f>'[1]PLAN DE DESARROLLO 2024 - 2027'!$K$200</f>
        <v>0.15208333333333332</v>
      </c>
      <c r="G27" s="738" t="s">
        <v>1082</v>
      </c>
      <c r="H27" s="758" t="s">
        <v>1083</v>
      </c>
      <c r="I27" s="770">
        <f>+'Capitulo Etnico'!AK13</f>
        <v>0.53969696969696979</v>
      </c>
      <c r="J27" s="759" t="s">
        <v>1999</v>
      </c>
      <c r="K27" s="742" t="s">
        <v>1996</v>
      </c>
      <c r="P27" s="732"/>
    </row>
    <row r="28" spans="1:16" ht="58.2" thickBot="1" x14ac:dyDescent="0.35">
      <c r="A28" s="738" t="s">
        <v>1993</v>
      </c>
      <c r="B28" s="740">
        <f>'[1]PLAN DE DESARROLLO 2024 - 2027'!$K$198</f>
        <v>6.9685846560846545E-2</v>
      </c>
      <c r="C28" s="738" t="s">
        <v>1994</v>
      </c>
      <c r="D28" s="740">
        <f>'[1]PLAN DE DESARROLLO 2024 - 2027'!$K$199</f>
        <v>6.974206349206348E-2</v>
      </c>
      <c r="E28" s="738" t="s">
        <v>2003</v>
      </c>
      <c r="F28" s="741">
        <f>'[1]PLAN DE DESARROLLO 2024 - 2027'!$K$202</f>
        <v>5.7142857142857141E-2</v>
      </c>
      <c r="G28" s="738" t="s">
        <v>1098</v>
      </c>
      <c r="H28" s="738" t="s">
        <v>1099</v>
      </c>
      <c r="I28" s="770">
        <f>+'Capitulo Etnico'!AK23</f>
        <v>0.6</v>
      </c>
      <c r="J28" s="738" t="s">
        <v>560</v>
      </c>
      <c r="K28" s="742" t="s">
        <v>1996</v>
      </c>
      <c r="P28" s="732"/>
    </row>
    <row r="29" spans="1:16" ht="43.8" thickBot="1" x14ac:dyDescent="0.35">
      <c r="A29" s="738" t="s">
        <v>1993</v>
      </c>
      <c r="B29" s="740">
        <f>'[1]PLAN DE DESARROLLO 2024 - 2027'!$K$198</f>
        <v>6.9685846560846545E-2</v>
      </c>
      <c r="C29" s="738" t="s">
        <v>1994</v>
      </c>
      <c r="D29" s="740">
        <f>'[1]PLAN DE DESARROLLO 2024 - 2027'!$K$199</f>
        <v>6.974206349206348E-2</v>
      </c>
      <c r="E29" s="738" t="s">
        <v>2003</v>
      </c>
      <c r="F29" s="741">
        <f>'[1]PLAN DE DESARROLLO 2024 - 2027'!$K$202</f>
        <v>5.7142857142857141E-2</v>
      </c>
      <c r="G29" s="738" t="s">
        <v>1100</v>
      </c>
      <c r="H29" s="738" t="s">
        <v>1101</v>
      </c>
      <c r="I29" s="771">
        <f>+'Capitulo Etnico'!AK24</f>
        <v>0</v>
      </c>
      <c r="J29" s="738" t="s">
        <v>698</v>
      </c>
      <c r="K29" s="742" t="s">
        <v>1996</v>
      </c>
      <c r="P29" s="732"/>
    </row>
    <row r="30" spans="1:16" ht="43.8" thickBot="1" x14ac:dyDescent="0.35">
      <c r="A30" s="738" t="s">
        <v>1993</v>
      </c>
      <c r="B30" s="740">
        <f>'[1]PLAN DE DESARROLLO 2024 - 2027'!$K$198</f>
        <v>6.9685846560846545E-2</v>
      </c>
      <c r="C30" s="738" t="s">
        <v>1994</v>
      </c>
      <c r="D30" s="740">
        <f>'[1]PLAN DE DESARROLLO 2024 - 2027'!$K$199</f>
        <v>6.974206349206348E-2</v>
      </c>
      <c r="E30" s="738" t="s">
        <v>2003</v>
      </c>
      <c r="F30" s="741">
        <f>'[1]PLAN DE DESARROLLO 2024 - 2027'!$K$202</f>
        <v>5.7142857142857141E-2</v>
      </c>
      <c r="G30" s="738" t="s">
        <v>1102</v>
      </c>
      <c r="H30" s="738" t="s">
        <v>1103</v>
      </c>
      <c r="I30" s="771">
        <f>+'Capitulo Etnico'!AK25</f>
        <v>0.85</v>
      </c>
      <c r="J30" s="738" t="s">
        <v>565</v>
      </c>
      <c r="K30" s="742" t="s">
        <v>1996</v>
      </c>
      <c r="P30" s="732"/>
    </row>
    <row r="31" spans="1:16" ht="43.8" thickBot="1" x14ac:dyDescent="0.35">
      <c r="A31" s="738" t="s">
        <v>1993</v>
      </c>
      <c r="B31" s="740">
        <f>'[1]PLAN DE DESARROLLO 2024 - 2027'!$K$198</f>
        <v>6.9685846560846545E-2</v>
      </c>
      <c r="C31" s="738" t="s">
        <v>1994</v>
      </c>
      <c r="D31" s="740">
        <f>'[1]PLAN DE DESARROLLO 2024 - 2027'!$K$199</f>
        <v>6.974206349206348E-2</v>
      </c>
      <c r="E31" s="738" t="s">
        <v>2003</v>
      </c>
      <c r="F31" s="741">
        <f>'[1]PLAN DE DESARROLLO 2024 - 2027'!$K$202</f>
        <v>5.7142857142857141E-2</v>
      </c>
      <c r="G31" s="738" t="s">
        <v>1104</v>
      </c>
      <c r="H31" s="738" t="s">
        <v>1105</v>
      </c>
      <c r="I31" s="771">
        <f>+'Capitulo Etnico'!AK26</f>
        <v>1</v>
      </c>
      <c r="J31" s="738" t="s">
        <v>907</v>
      </c>
      <c r="K31" s="742" t="s">
        <v>1996</v>
      </c>
      <c r="P31" s="732"/>
    </row>
    <row r="32" spans="1:16" ht="43.8" thickBot="1" x14ac:dyDescent="0.35">
      <c r="A32" s="738" t="s">
        <v>1993</v>
      </c>
      <c r="B32" s="740">
        <f>'[1]PLAN DE DESARROLLO 2024 - 2027'!$K$198</f>
        <v>6.9685846560846545E-2</v>
      </c>
      <c r="C32" s="738" t="s">
        <v>1994</v>
      </c>
      <c r="D32" s="740">
        <f>'[1]PLAN DE DESARROLLO 2024 - 2027'!$K$199</f>
        <v>6.974206349206348E-2</v>
      </c>
      <c r="E32" s="738" t="s">
        <v>2003</v>
      </c>
      <c r="F32" s="741">
        <f>'[1]PLAN DE DESARROLLO 2024 - 2027'!$K$202</f>
        <v>5.7142857142857141E-2</v>
      </c>
      <c r="G32" s="738" t="s">
        <v>1106</v>
      </c>
      <c r="H32" s="738" t="s">
        <v>1107</v>
      </c>
      <c r="I32" s="771">
        <f>+'Capitulo Etnico'!AK27</f>
        <v>1</v>
      </c>
      <c r="J32" s="738" t="s">
        <v>2004</v>
      </c>
      <c r="K32" s="742" t="s">
        <v>1996</v>
      </c>
      <c r="P32" s="732"/>
    </row>
    <row r="33" spans="1:16" ht="58.2" thickBot="1" x14ac:dyDescent="0.35">
      <c r="A33" s="738" t="s">
        <v>1993</v>
      </c>
      <c r="B33" s="740">
        <f>'[1]PLAN DE DESARROLLO 2024 - 2027'!$K$198</f>
        <v>6.9685846560846545E-2</v>
      </c>
      <c r="C33" s="738" t="s">
        <v>1994</v>
      </c>
      <c r="D33" s="740">
        <f>'[1]PLAN DE DESARROLLO 2024 - 2027'!$K$199</f>
        <v>6.974206349206348E-2</v>
      </c>
      <c r="E33" s="738" t="s">
        <v>2003</v>
      </c>
      <c r="F33" s="741">
        <f>'[1]PLAN DE DESARROLLO 2024 - 2027'!$K$202</f>
        <v>5.7142857142857141E-2</v>
      </c>
      <c r="G33" s="738" t="s">
        <v>1109</v>
      </c>
      <c r="H33" s="738" t="s">
        <v>1110</v>
      </c>
      <c r="I33" s="771">
        <f>+'Capitulo Etnico'!AK28</f>
        <v>0</v>
      </c>
      <c r="J33" s="738" t="s">
        <v>2005</v>
      </c>
      <c r="K33" s="742" t="s">
        <v>1996</v>
      </c>
      <c r="P33" s="732"/>
    </row>
    <row r="34" spans="1:16" ht="43.8" thickBot="1" x14ac:dyDescent="0.35">
      <c r="A34" s="738" t="s">
        <v>1993</v>
      </c>
      <c r="B34" s="740">
        <f>'[1]PLAN DE DESARROLLO 2024 - 2027'!$K$198</f>
        <v>6.9685846560846545E-2</v>
      </c>
      <c r="C34" s="738" t="s">
        <v>1994</v>
      </c>
      <c r="D34" s="740">
        <f>'[1]PLAN DE DESARROLLO 2024 - 2027'!$K$199</f>
        <v>6.974206349206348E-2</v>
      </c>
      <c r="E34" s="738" t="s">
        <v>2003</v>
      </c>
      <c r="F34" s="741">
        <f>'[1]PLAN DE DESARROLLO 2024 - 2027'!$K$202</f>
        <v>5.7142857142857141E-2</v>
      </c>
      <c r="G34" s="738" t="s">
        <v>1112</v>
      </c>
      <c r="H34" s="738" t="s">
        <v>1113</v>
      </c>
      <c r="I34" s="771">
        <f>+'Capitulo Etnico'!AK29</f>
        <v>6.25E-2</v>
      </c>
      <c r="J34" s="738" t="s">
        <v>560</v>
      </c>
      <c r="K34" s="742" t="s">
        <v>1996</v>
      </c>
      <c r="P34" s="732"/>
    </row>
    <row r="35" spans="1:16" ht="43.8" thickBot="1" x14ac:dyDescent="0.35">
      <c r="A35" s="738" t="s">
        <v>1993</v>
      </c>
      <c r="B35" s="740">
        <f>'[1]PLAN DE DESARROLLO 2024 - 2027'!$K$198</f>
        <v>6.9685846560846545E-2</v>
      </c>
      <c r="C35" s="738" t="s">
        <v>1997</v>
      </c>
      <c r="D35" s="740">
        <f>'[1]PLAN DE DESARROLLO 2024 - 2027'!$K$203</f>
        <v>6.9629629629629611E-2</v>
      </c>
      <c r="E35" s="738" t="s">
        <v>1839</v>
      </c>
      <c r="F35" s="741">
        <f>'[1]PLAN DE DESARROLLO 2024 - 2027'!$K$204</f>
        <v>0.13888888888888887</v>
      </c>
      <c r="G35" s="738" t="s">
        <v>1114</v>
      </c>
      <c r="H35" s="738" t="s">
        <v>1115</v>
      </c>
      <c r="I35" s="771">
        <f>+'Capitulo Etnico'!AK32</f>
        <v>0</v>
      </c>
      <c r="J35" s="738" t="s">
        <v>12</v>
      </c>
      <c r="K35" s="742" t="s">
        <v>1996</v>
      </c>
      <c r="P35" s="732"/>
    </row>
    <row r="36" spans="1:16" ht="29.4" thickBot="1" x14ac:dyDescent="0.35">
      <c r="A36" s="738" t="s">
        <v>1993</v>
      </c>
      <c r="B36" s="740">
        <f>'[1]PLAN DE DESARROLLO 2024 - 2027'!$K$198</f>
        <v>6.9685846560846545E-2</v>
      </c>
      <c r="C36" s="738" t="s">
        <v>1997</v>
      </c>
      <c r="D36" s="740">
        <f>'[1]PLAN DE DESARROLLO 2024 - 2027'!$K$203</f>
        <v>6.9629629629629611E-2</v>
      </c>
      <c r="E36" s="738" t="s">
        <v>1839</v>
      </c>
      <c r="F36" s="741">
        <f>'[1]PLAN DE DESARROLLO 2024 - 2027'!$K$204</f>
        <v>0.13888888888888887</v>
      </c>
      <c r="G36" s="738" t="s">
        <v>1116</v>
      </c>
      <c r="H36" s="738" t="s">
        <v>1117</v>
      </c>
      <c r="I36" s="770">
        <f>+'Capitulo Etnico'!AK33</f>
        <v>0</v>
      </c>
      <c r="J36" s="738" t="s">
        <v>12</v>
      </c>
      <c r="K36" s="742" t="s">
        <v>1996</v>
      </c>
      <c r="P36" s="732"/>
    </row>
    <row r="37" spans="1:16" ht="43.8" thickBot="1" x14ac:dyDescent="0.35">
      <c r="A37" s="738" t="s">
        <v>1993</v>
      </c>
      <c r="B37" s="740">
        <f>'[1]PLAN DE DESARROLLO 2024 - 2027'!$K$198</f>
        <v>6.9685846560846545E-2</v>
      </c>
      <c r="C37" s="738" t="s">
        <v>1997</v>
      </c>
      <c r="D37" s="740">
        <f>'[1]PLAN DE DESARROLLO 2024 - 2027'!$K$203</f>
        <v>6.9629629629629611E-2</v>
      </c>
      <c r="E37" s="738" t="s">
        <v>1839</v>
      </c>
      <c r="F37" s="741">
        <f>'[1]PLAN DE DESARROLLO 2024 - 2027'!$K$204</f>
        <v>0.13888888888888887</v>
      </c>
      <c r="G37" s="738" t="s">
        <v>2006</v>
      </c>
      <c r="H37" s="738" t="s">
        <v>1119</v>
      </c>
      <c r="I37" s="771">
        <f>+'Capitulo Etnico'!AK34</f>
        <v>0.19111111111111112</v>
      </c>
      <c r="J37" s="738" t="s">
        <v>551</v>
      </c>
      <c r="K37" s="742" t="s">
        <v>1996</v>
      </c>
      <c r="P37" s="732"/>
    </row>
    <row r="38" spans="1:16" ht="29.4" thickBot="1" x14ac:dyDescent="0.35">
      <c r="A38" s="738" t="s">
        <v>1993</v>
      </c>
      <c r="B38" s="740">
        <f>'[1]PLAN DE DESARROLLO 2024 - 2027'!$K$198</f>
        <v>6.9685846560846545E-2</v>
      </c>
      <c r="C38" s="738" t="s">
        <v>1997</v>
      </c>
      <c r="D38" s="740">
        <f>'[1]PLAN DE DESARROLLO 2024 - 2027'!$K$203</f>
        <v>6.9629629629629611E-2</v>
      </c>
      <c r="E38" s="738" t="s">
        <v>1839</v>
      </c>
      <c r="F38" s="741">
        <f>'[1]PLAN DE DESARROLLO 2024 - 2027'!$K$204</f>
        <v>0.13888888888888887</v>
      </c>
      <c r="G38" s="738" t="s">
        <v>1120</v>
      </c>
      <c r="H38" s="738" t="s">
        <v>1121</v>
      </c>
      <c r="I38" s="770">
        <f>+'Capitulo Etnico'!AK35</f>
        <v>0.5</v>
      </c>
      <c r="J38" s="738" t="s">
        <v>12</v>
      </c>
      <c r="K38" s="742" t="s">
        <v>1996</v>
      </c>
      <c r="P38" s="732"/>
    </row>
    <row r="39" spans="1:16" ht="29.4" thickBot="1" x14ac:dyDescent="0.35">
      <c r="A39" s="738" t="s">
        <v>1993</v>
      </c>
      <c r="B39" s="740">
        <f>'[1]PLAN DE DESARROLLO 2024 - 2027'!$K$198</f>
        <v>6.9685846560846545E-2</v>
      </c>
      <c r="C39" s="738" t="s">
        <v>1997</v>
      </c>
      <c r="D39" s="740">
        <f>'[1]PLAN DE DESARROLLO 2024 - 2027'!$K$203</f>
        <v>6.9629629629629611E-2</v>
      </c>
      <c r="E39" s="738" t="s">
        <v>1839</v>
      </c>
      <c r="F39" s="741">
        <f>'[1]PLAN DE DESARROLLO 2024 - 2027'!$K$204</f>
        <v>0.13888888888888887</v>
      </c>
      <c r="G39" s="738" t="s">
        <v>1122</v>
      </c>
      <c r="H39" s="738" t="s">
        <v>1123</v>
      </c>
      <c r="I39" s="770">
        <f>+'Capitulo Etnico'!AK36</f>
        <v>0.4</v>
      </c>
      <c r="J39" s="738" t="s">
        <v>12</v>
      </c>
      <c r="K39" s="742" t="s">
        <v>1996</v>
      </c>
      <c r="P39" s="732"/>
    </row>
    <row r="40" spans="1:16" ht="43.8" thickBot="1" x14ac:dyDescent="0.35">
      <c r="A40" s="738" t="s">
        <v>1993</v>
      </c>
      <c r="B40" s="740">
        <f>'[1]PLAN DE DESARROLLO 2024 - 2027'!$K$198</f>
        <v>6.9685846560846545E-2</v>
      </c>
      <c r="C40" s="738" t="s">
        <v>1997</v>
      </c>
      <c r="D40" s="740">
        <f>'[1]PLAN DE DESARROLLO 2024 - 2027'!$K$203</f>
        <v>6.9629629629629611E-2</v>
      </c>
      <c r="E40" s="738" t="s">
        <v>1839</v>
      </c>
      <c r="F40" s="741">
        <f>'[1]PLAN DE DESARROLLO 2024 - 2027'!$K$204</f>
        <v>0.13888888888888887</v>
      </c>
      <c r="G40" s="738" t="s">
        <v>1124</v>
      </c>
      <c r="H40" s="738" t="s">
        <v>1125</v>
      </c>
      <c r="I40" s="770">
        <f>+'Capitulo Etnico'!AK37</f>
        <v>0.33333333333333331</v>
      </c>
      <c r="J40" s="738" t="s">
        <v>12</v>
      </c>
      <c r="K40" s="742" t="s">
        <v>1996</v>
      </c>
      <c r="P40" s="732"/>
    </row>
    <row r="41" spans="1:16" ht="43.8" thickBot="1" x14ac:dyDescent="0.35">
      <c r="A41" s="738" t="s">
        <v>1993</v>
      </c>
      <c r="B41" s="740">
        <f>'[1]PLAN DE DESARROLLO 2024 - 2027'!$K$198</f>
        <v>6.9685846560846545E-2</v>
      </c>
      <c r="C41" s="738" t="s">
        <v>1997</v>
      </c>
      <c r="D41" s="740">
        <f>'[1]PLAN DE DESARROLLO 2024 - 2027'!$K$203</f>
        <v>6.9629629629629611E-2</v>
      </c>
      <c r="E41" s="738" t="s">
        <v>1839</v>
      </c>
      <c r="F41" s="741">
        <f>'[1]PLAN DE DESARROLLO 2024 - 2027'!$K$204</f>
        <v>0.13888888888888887</v>
      </c>
      <c r="G41" s="738" t="s">
        <v>1126</v>
      </c>
      <c r="H41" s="738" t="s">
        <v>1127</v>
      </c>
      <c r="I41" s="771">
        <f>+'Capitulo Etnico'!AK38</f>
        <v>0</v>
      </c>
      <c r="J41" s="738" t="s">
        <v>12</v>
      </c>
      <c r="K41" s="742" t="s">
        <v>1996</v>
      </c>
      <c r="P41" s="732"/>
    </row>
    <row r="42" spans="1:16" ht="65.400000000000006" customHeight="1" thickBot="1" x14ac:dyDescent="0.35">
      <c r="A42" s="738" t="s">
        <v>1993</v>
      </c>
      <c r="B42" s="740">
        <f>'[1]PLAN DE DESARROLLO 2024 - 2027'!$K$198</f>
        <v>6.9685846560846545E-2</v>
      </c>
      <c r="C42" s="738" t="s">
        <v>1997</v>
      </c>
      <c r="D42" s="740">
        <f>'[1]PLAN DE DESARROLLO 2024 - 2027'!$K$203</f>
        <v>6.9629629629629611E-2</v>
      </c>
      <c r="E42" s="738" t="s">
        <v>1839</v>
      </c>
      <c r="F42" s="741">
        <f>'[1]PLAN DE DESARROLLO 2024 - 2027'!$K$204</f>
        <v>0.13888888888888887</v>
      </c>
      <c r="G42" s="738" t="s">
        <v>1128</v>
      </c>
      <c r="H42" s="738" t="s">
        <v>1129</v>
      </c>
      <c r="I42" s="770">
        <f>+'Capitulo Etnico'!AK39</f>
        <v>0.6020833333333333</v>
      </c>
      <c r="J42" s="738" t="s">
        <v>12</v>
      </c>
      <c r="K42" s="742" t="s">
        <v>1996</v>
      </c>
      <c r="P42" s="732"/>
    </row>
    <row r="43" spans="1:16" ht="22.8" customHeight="1" thickBot="1" x14ac:dyDescent="0.35">
      <c r="A43" s="761" t="s">
        <v>2007</v>
      </c>
      <c r="B43" s="762" t="s">
        <v>2008</v>
      </c>
      <c r="C43" s="761" t="s">
        <v>2009</v>
      </c>
      <c r="D43" s="763" t="s">
        <v>2010</v>
      </c>
      <c r="E43" s="761" t="s">
        <v>2011</v>
      </c>
      <c r="F43" s="762" t="s">
        <v>2012</v>
      </c>
      <c r="G43" s="761" t="s">
        <v>2013</v>
      </c>
      <c r="H43" s="761" t="s">
        <v>2014</v>
      </c>
      <c r="I43" s="772"/>
      <c r="J43" s="761" t="s">
        <v>2015</v>
      </c>
      <c r="K43" s="763" t="s">
        <v>2016</v>
      </c>
    </row>
    <row r="44" spans="1:16" ht="43.8" thickBot="1" x14ac:dyDescent="0.35">
      <c r="A44" s="738" t="s">
        <v>2017</v>
      </c>
      <c r="B44" s="740">
        <f>'[1]PLAN DE DESARROLLO 2024 - 2027'!$K$123</f>
        <v>0.26239975735212717</v>
      </c>
      <c r="C44" s="738" t="s">
        <v>2018</v>
      </c>
      <c r="D44" s="740">
        <f>'[1]PLAN DE DESARROLLO 2024 - 2027'!$K$143</f>
        <v>0.16314336734693877</v>
      </c>
      <c r="E44" s="738" t="s">
        <v>2019</v>
      </c>
      <c r="F44" s="741">
        <f>'[1]PLAN DE DESARROLLO 2024 - 2027'!$K$145</f>
        <v>0.02</v>
      </c>
      <c r="G44" s="738" t="s">
        <v>878</v>
      </c>
      <c r="H44" s="738" t="s">
        <v>1327</v>
      </c>
      <c r="I44" s="770">
        <f>+'Ciudad Conectada'!AK92</f>
        <v>0.5</v>
      </c>
      <c r="J44" s="738" t="s">
        <v>2020</v>
      </c>
      <c r="K44" s="742" t="s">
        <v>1996</v>
      </c>
      <c r="P44" s="732"/>
    </row>
    <row r="45" spans="1:16" ht="58.2" thickBot="1" x14ac:dyDescent="0.35">
      <c r="A45" s="738" t="s">
        <v>2017</v>
      </c>
      <c r="B45" s="740">
        <f>'[1]PLAN DE DESARROLLO 2024 - 2027'!$K$123</f>
        <v>0.26239975735212717</v>
      </c>
      <c r="C45" s="738" t="s">
        <v>2018</v>
      </c>
      <c r="D45" s="740">
        <f>'[1]PLAN DE DESARROLLO 2024 - 2027'!$K$143</f>
        <v>0.16314336734693877</v>
      </c>
      <c r="E45" s="738" t="s">
        <v>2019</v>
      </c>
      <c r="F45" s="741">
        <f>'[1]PLAN DE DESARROLLO 2024 - 2027'!$K$145</f>
        <v>0.02</v>
      </c>
      <c r="G45" s="738" t="s">
        <v>880</v>
      </c>
      <c r="H45" s="738" t="s">
        <v>1328</v>
      </c>
      <c r="I45" s="771">
        <f>+'Ciudad Conectada'!AK93</f>
        <v>0</v>
      </c>
      <c r="J45" s="738" t="s">
        <v>2021</v>
      </c>
      <c r="K45" s="742" t="s">
        <v>1996</v>
      </c>
      <c r="P45" s="732"/>
    </row>
    <row r="46" spans="1:16" ht="43.8" thickBot="1" x14ac:dyDescent="0.35">
      <c r="A46" s="738" t="s">
        <v>2017</v>
      </c>
      <c r="B46" s="740">
        <f>'[1]PLAN DE DESARROLLO 2024 - 2027'!$K$123</f>
        <v>0.26239975735212717</v>
      </c>
      <c r="C46" s="738" t="s">
        <v>2018</v>
      </c>
      <c r="D46" s="740">
        <f>'[1]PLAN DE DESARROLLO 2024 - 2027'!$K$143</f>
        <v>0.16314336734693877</v>
      </c>
      <c r="E46" s="738" t="s">
        <v>2019</v>
      </c>
      <c r="F46" s="741">
        <f>'[1]PLAN DE DESARROLLO 2024 - 2027'!$K$145</f>
        <v>0.02</v>
      </c>
      <c r="G46" s="738" t="s">
        <v>881</v>
      </c>
      <c r="H46" s="738" t="s">
        <v>1329</v>
      </c>
      <c r="I46" s="770">
        <f>+'Ciudad Conectada'!AK94</f>
        <v>0.11499999999999999</v>
      </c>
      <c r="J46" s="738" t="s">
        <v>2022</v>
      </c>
      <c r="K46" s="742" t="s">
        <v>1996</v>
      </c>
      <c r="P46" s="732"/>
    </row>
    <row r="47" spans="1:16" ht="29.4" thickBot="1" x14ac:dyDescent="0.35">
      <c r="A47" s="738" t="s">
        <v>2017</v>
      </c>
      <c r="B47" s="740">
        <f>'[1]PLAN DE DESARROLLO 2024 - 2027'!$K$123</f>
        <v>0.26239975735212717</v>
      </c>
      <c r="C47" s="738" t="s">
        <v>2023</v>
      </c>
      <c r="D47" s="741">
        <f>'[1]PLAN DE DESARROLLO 2024 - 2027'!$K$147</f>
        <v>0.37391919805103979</v>
      </c>
      <c r="E47" s="738" t="s">
        <v>2024</v>
      </c>
      <c r="F47" s="741">
        <f>'[1]PLAN DE DESARROLLO 2024 - 2027'!$K$148</f>
        <v>0</v>
      </c>
      <c r="G47" s="738" t="s">
        <v>886</v>
      </c>
      <c r="H47" s="738" t="s">
        <v>1331</v>
      </c>
      <c r="I47" s="770">
        <f>+'Ciudad Conectada'!AK99</f>
        <v>0.4</v>
      </c>
      <c r="J47" s="738" t="s">
        <v>825</v>
      </c>
      <c r="K47" s="742" t="s">
        <v>1996</v>
      </c>
      <c r="P47" s="732"/>
    </row>
    <row r="48" spans="1:16" ht="29.4" thickBot="1" x14ac:dyDescent="0.35">
      <c r="A48" s="738" t="s">
        <v>2017</v>
      </c>
      <c r="B48" s="740">
        <f>'[1]PLAN DE DESARROLLO 2024 - 2027'!$K$123</f>
        <v>0.26239975735212717</v>
      </c>
      <c r="C48" s="738" t="s">
        <v>2023</v>
      </c>
      <c r="D48" s="741">
        <f>'[1]PLAN DE DESARROLLO 2024 - 2027'!$K$147</f>
        <v>0.37391919805103979</v>
      </c>
      <c r="E48" s="738" t="s">
        <v>1814</v>
      </c>
      <c r="F48" s="741">
        <f>'[1]PLAN DE DESARROLLO 2024 - 2027'!$K$150</f>
        <v>0</v>
      </c>
      <c r="G48" s="738" t="s">
        <v>892</v>
      </c>
      <c r="H48" s="738" t="s">
        <v>1336</v>
      </c>
      <c r="I48" s="770">
        <f>+'Ciudad Conectada'!AK106</f>
        <v>0</v>
      </c>
      <c r="J48" s="738" t="s">
        <v>863</v>
      </c>
      <c r="K48" s="742" t="s">
        <v>1996</v>
      </c>
      <c r="P48" s="732"/>
    </row>
    <row r="49" spans="1:16" ht="29.4" thickBot="1" x14ac:dyDescent="0.35">
      <c r="A49" s="738" t="s">
        <v>2017</v>
      </c>
      <c r="B49" s="740">
        <f>'[1]PLAN DE DESARROLLO 2024 - 2027'!$K$123</f>
        <v>0.26239975735212717</v>
      </c>
      <c r="C49" s="738" t="s">
        <v>2023</v>
      </c>
      <c r="D49" s="741">
        <f>'[1]PLAN DE DESARROLLO 2024 - 2027'!$K$147</f>
        <v>0.37391919805103979</v>
      </c>
      <c r="E49" s="738" t="s">
        <v>1814</v>
      </c>
      <c r="F49" s="741">
        <f>'[1]PLAN DE DESARROLLO 2024 - 2027'!$K$150</f>
        <v>0</v>
      </c>
      <c r="G49" s="738" t="s">
        <v>893</v>
      </c>
      <c r="H49" s="738" t="s">
        <v>1337</v>
      </c>
      <c r="I49" s="770">
        <f>+'Ciudad Conectada'!AK107</f>
        <v>0.58499999999999996</v>
      </c>
      <c r="J49" s="738" t="s">
        <v>863</v>
      </c>
      <c r="K49" s="742" t="s">
        <v>1996</v>
      </c>
      <c r="P49" s="732"/>
    </row>
    <row r="50" spans="1:16" ht="29.4" thickBot="1" x14ac:dyDescent="0.35">
      <c r="A50" s="738" t="s">
        <v>2017</v>
      </c>
      <c r="B50" s="740">
        <f>'[1]PLAN DE DESARROLLO 2024 - 2027'!$K$123</f>
        <v>0.26239975735212717</v>
      </c>
      <c r="C50" s="738" t="s">
        <v>2023</v>
      </c>
      <c r="D50" s="741">
        <f>'[1]PLAN DE DESARROLLO 2024 - 2027'!$K$147</f>
        <v>0.37391919805103979</v>
      </c>
      <c r="E50" s="738" t="s">
        <v>1814</v>
      </c>
      <c r="F50" s="741">
        <f>'[1]PLAN DE DESARROLLO 2024 - 2027'!$K$150</f>
        <v>0</v>
      </c>
      <c r="G50" s="738" t="s">
        <v>894</v>
      </c>
      <c r="H50" s="738" t="s">
        <v>1338</v>
      </c>
      <c r="I50" s="770">
        <f>+'Ciudad Conectada'!AK108</f>
        <v>0</v>
      </c>
      <c r="J50" s="738" t="s">
        <v>863</v>
      </c>
      <c r="K50" s="742" t="s">
        <v>1996</v>
      </c>
      <c r="P50" s="732"/>
    </row>
    <row r="51" spans="1:16" ht="29.4" thickBot="1" x14ac:dyDescent="0.35">
      <c r="A51" s="738" t="s">
        <v>2017</v>
      </c>
      <c r="B51" s="740">
        <f>'[1]PLAN DE DESARROLLO 2024 - 2027'!$K$123</f>
        <v>0.26239975735212717</v>
      </c>
      <c r="C51" s="738" t="s">
        <v>2025</v>
      </c>
      <c r="D51" s="740">
        <f>'[1]PLAN DE DESARROLLO 2024 - 2027'!$K$153</f>
        <v>0.34122708333333335</v>
      </c>
      <c r="E51" s="738" t="s">
        <v>2026</v>
      </c>
      <c r="F51" s="741">
        <f>'[1]PLAN DE DESARROLLO 2024 - 2027'!$K$158</f>
        <v>0</v>
      </c>
      <c r="G51" s="738" t="s">
        <v>944</v>
      </c>
      <c r="H51" s="738" t="s">
        <v>1381</v>
      </c>
      <c r="I51" s="771">
        <f>+'Ciudad Conectada'!AK160</f>
        <v>0</v>
      </c>
      <c r="J51" s="738" t="s">
        <v>560</v>
      </c>
      <c r="K51" s="742" t="s">
        <v>1996</v>
      </c>
      <c r="P51" s="732"/>
    </row>
    <row r="52" spans="1:16" ht="29.4" thickBot="1" x14ac:dyDescent="0.35">
      <c r="A52" s="738" t="s">
        <v>2017</v>
      </c>
      <c r="B52" s="740">
        <f>'[1]PLAN DE DESARROLLO 2024 - 2027'!$K$123</f>
        <v>0.26239975735212717</v>
      </c>
      <c r="C52" s="738" t="s">
        <v>2025</v>
      </c>
      <c r="D52" s="740">
        <f>'[1]PLAN DE DESARROLLO 2024 - 2027'!$K$153</f>
        <v>0.34122708333333335</v>
      </c>
      <c r="E52" s="738" t="s">
        <v>2026</v>
      </c>
      <c r="F52" s="741">
        <f>'[1]PLAN DE DESARROLLO 2024 - 2027'!$K$158</f>
        <v>0</v>
      </c>
      <c r="G52" s="738" t="s">
        <v>945</v>
      </c>
      <c r="H52" s="738" t="s">
        <v>1382</v>
      </c>
      <c r="I52" s="771">
        <f>+'Ciudad Conectada'!AK161</f>
        <v>0</v>
      </c>
      <c r="J52" s="738" t="s">
        <v>560</v>
      </c>
      <c r="K52" s="742" t="s">
        <v>1996</v>
      </c>
      <c r="P52" s="732"/>
    </row>
    <row r="53" spans="1:16" ht="15" thickBot="1" x14ac:dyDescent="0.35">
      <c r="A53" s="738" t="s">
        <v>2017</v>
      </c>
      <c r="B53" s="740">
        <f>'[1]PLAN DE DESARROLLO 2024 - 2027'!$K$123</f>
        <v>0.26239975735212717</v>
      </c>
      <c r="C53" s="738" t="s">
        <v>2025</v>
      </c>
      <c r="D53" s="740">
        <f>'[1]PLAN DE DESARROLLO 2024 - 2027'!$K$153</f>
        <v>0.34122708333333335</v>
      </c>
      <c r="E53" s="738" t="s">
        <v>2026</v>
      </c>
      <c r="F53" s="741">
        <f>'[1]PLAN DE DESARROLLO 2024 - 2027'!$K$158</f>
        <v>0</v>
      </c>
      <c r="G53" s="738" t="s">
        <v>946</v>
      </c>
      <c r="H53" s="738" t="s">
        <v>1383</v>
      </c>
      <c r="I53" s="771">
        <f>+'Ciudad Conectada'!AK162</f>
        <v>0</v>
      </c>
      <c r="J53" s="738" t="s">
        <v>560</v>
      </c>
      <c r="K53" s="742" t="s">
        <v>1996</v>
      </c>
      <c r="P53" s="732"/>
    </row>
    <row r="54" spans="1:16" ht="43.8" thickBot="1" x14ac:dyDescent="0.35">
      <c r="A54" s="738" t="s">
        <v>2017</v>
      </c>
      <c r="B54" s="740">
        <f>'[1]PLAN DE DESARROLLO 2024 - 2027'!$K$123</f>
        <v>0.26239975735212717</v>
      </c>
      <c r="C54" s="738" t="s">
        <v>2025</v>
      </c>
      <c r="D54" s="740">
        <f>'[1]PLAN DE DESARROLLO 2024 - 2027'!$K$153</f>
        <v>0.34122708333333335</v>
      </c>
      <c r="E54" s="738" t="s">
        <v>2026</v>
      </c>
      <c r="F54" s="741">
        <f>'[1]PLAN DE DESARROLLO 2024 - 2027'!$K$158</f>
        <v>0</v>
      </c>
      <c r="G54" s="738" t="s">
        <v>947</v>
      </c>
      <c r="H54" s="738" t="s">
        <v>1384</v>
      </c>
      <c r="I54" s="771">
        <f>+'Ciudad Conectada'!AK163</f>
        <v>0.2</v>
      </c>
      <c r="J54" s="738" t="s">
        <v>560</v>
      </c>
      <c r="K54" s="742" t="s">
        <v>1996</v>
      </c>
      <c r="P54" s="732"/>
    </row>
    <row r="55" spans="1:16" ht="29.4" thickBot="1" x14ac:dyDescent="0.35">
      <c r="A55" s="738" t="s">
        <v>2017</v>
      </c>
      <c r="B55" s="740">
        <f>'[1]PLAN DE DESARROLLO 2024 - 2027'!$K$123</f>
        <v>0.26239975735212717</v>
      </c>
      <c r="C55" s="738" t="s">
        <v>2025</v>
      </c>
      <c r="D55" s="740">
        <f>'[1]PLAN DE DESARROLLO 2024 - 2027'!$K$153</f>
        <v>0.34122708333333335</v>
      </c>
      <c r="E55" s="738" t="s">
        <v>2026</v>
      </c>
      <c r="F55" s="741">
        <f>'[1]PLAN DE DESARROLLO 2024 - 2027'!$K$158</f>
        <v>0</v>
      </c>
      <c r="G55" s="738" t="s">
        <v>948</v>
      </c>
      <c r="H55" s="738" t="s">
        <v>1385</v>
      </c>
      <c r="I55" s="771">
        <f>+'Ciudad Conectada'!AK164</f>
        <v>0</v>
      </c>
      <c r="J55" s="738" t="s">
        <v>2027</v>
      </c>
      <c r="K55" s="742" t="s">
        <v>1996</v>
      </c>
      <c r="P55" s="732"/>
    </row>
    <row r="56" spans="1:16" ht="43.8" thickBot="1" x14ac:dyDescent="0.35">
      <c r="A56" s="738" t="s">
        <v>2017</v>
      </c>
      <c r="B56" s="740">
        <f>'[1]PLAN DE DESARROLLO 2024 - 2027'!$K$123</f>
        <v>0.26239975735212717</v>
      </c>
      <c r="C56" s="738" t="s">
        <v>2025</v>
      </c>
      <c r="D56" s="740">
        <f>'[1]PLAN DE DESARROLLO 2024 - 2027'!$K$153</f>
        <v>0.34122708333333335</v>
      </c>
      <c r="E56" s="738" t="s">
        <v>2026</v>
      </c>
      <c r="F56" s="741">
        <f>'[1]PLAN DE DESARROLLO 2024 - 2027'!$K$158</f>
        <v>0</v>
      </c>
      <c r="G56" s="738" t="s">
        <v>949</v>
      </c>
      <c r="H56" s="738" t="s">
        <v>1386</v>
      </c>
      <c r="I56" s="771">
        <f>+'Ciudad Conectada'!AK165</f>
        <v>0</v>
      </c>
      <c r="J56" s="738" t="s">
        <v>560</v>
      </c>
      <c r="K56" s="742" t="s">
        <v>1996</v>
      </c>
      <c r="P56" s="732"/>
    </row>
    <row r="57" spans="1:16" ht="58.2" thickBot="1" x14ac:dyDescent="0.35">
      <c r="A57" s="738" t="s">
        <v>2017</v>
      </c>
      <c r="B57" s="740">
        <f>'[1]PLAN DE DESARROLLO 2024 - 2027'!$K$123</f>
        <v>0.26239975735212717</v>
      </c>
      <c r="C57" s="738" t="s">
        <v>2025</v>
      </c>
      <c r="D57" s="740">
        <f>'[1]PLAN DE DESARROLLO 2024 - 2027'!$K$153</f>
        <v>0.34122708333333335</v>
      </c>
      <c r="E57" s="738" t="s">
        <v>2026</v>
      </c>
      <c r="F57" s="741">
        <f>'[1]PLAN DE DESARROLLO 2024 - 2027'!$K$158</f>
        <v>0</v>
      </c>
      <c r="G57" s="738" t="s">
        <v>950</v>
      </c>
      <c r="H57" s="738" t="s">
        <v>1387</v>
      </c>
      <c r="I57" s="771">
        <f>+'Ciudad Conectada'!AK166</f>
        <v>0</v>
      </c>
      <c r="J57" s="738" t="s">
        <v>560</v>
      </c>
      <c r="K57" s="742" t="s">
        <v>1996</v>
      </c>
      <c r="P57" s="732"/>
    </row>
    <row r="58" spans="1:16" ht="29.4" thickBot="1" x14ac:dyDescent="0.35">
      <c r="A58" s="738" t="s">
        <v>2017</v>
      </c>
      <c r="B58" s="740">
        <f>'[1]PLAN DE DESARROLLO 2024 - 2027'!$K$123</f>
        <v>0.26239975735212717</v>
      </c>
      <c r="C58" s="738" t="s">
        <v>2023</v>
      </c>
      <c r="D58" s="741">
        <f>'[1]PLAN DE DESARROLLO 2024 - 2027'!$K$147</f>
        <v>0.37391919805103979</v>
      </c>
      <c r="E58" s="738" t="s">
        <v>2028</v>
      </c>
      <c r="F58" s="741">
        <f>'[1]PLAN DE DESARROLLO 2024 - 2027'!$K$149</f>
        <v>0.54581547619047621</v>
      </c>
      <c r="G58" s="738" t="s">
        <v>888</v>
      </c>
      <c r="H58" s="738" t="s">
        <v>1332</v>
      </c>
      <c r="I58" s="770">
        <f>+'Ciudad Conectada'!AK101</f>
        <v>1</v>
      </c>
      <c r="J58" s="738" t="s">
        <v>825</v>
      </c>
      <c r="K58" s="742" t="s">
        <v>1996</v>
      </c>
      <c r="P58" s="732"/>
    </row>
    <row r="59" spans="1:16" ht="29.4" thickBot="1" x14ac:dyDescent="0.35">
      <c r="A59" s="738" t="s">
        <v>2017</v>
      </c>
      <c r="B59" s="740">
        <f>'[1]PLAN DE DESARROLLO 2024 - 2027'!$K$123</f>
        <v>0.26239975735212717</v>
      </c>
      <c r="C59" s="738" t="s">
        <v>2023</v>
      </c>
      <c r="D59" s="741">
        <f>'[1]PLAN DE DESARROLLO 2024 - 2027'!$K$147</f>
        <v>0.37391919805103979</v>
      </c>
      <c r="E59" s="738" t="s">
        <v>2028</v>
      </c>
      <c r="F59" s="741">
        <f>'[1]PLAN DE DESARROLLO 2024 - 2027'!$K$149</f>
        <v>0.54581547619047621</v>
      </c>
      <c r="G59" s="738" t="s">
        <v>889</v>
      </c>
      <c r="H59" s="738" t="s">
        <v>1333</v>
      </c>
      <c r="I59" s="770">
        <f>+'Ciudad Conectada'!AK102</f>
        <v>1</v>
      </c>
      <c r="J59" s="738" t="s">
        <v>825</v>
      </c>
      <c r="K59" s="742" t="s">
        <v>1996</v>
      </c>
      <c r="P59" s="732"/>
    </row>
    <row r="60" spans="1:16" ht="29.4" thickBot="1" x14ac:dyDescent="0.35">
      <c r="A60" s="738" t="s">
        <v>2017</v>
      </c>
      <c r="B60" s="740">
        <f>'[1]PLAN DE DESARROLLO 2024 - 2027'!$K$123</f>
        <v>0.26239975735212717</v>
      </c>
      <c r="C60" s="738" t="s">
        <v>2023</v>
      </c>
      <c r="D60" s="741">
        <f>'[1]PLAN DE DESARROLLO 2024 - 2027'!$K$147</f>
        <v>0.37391919805103979</v>
      </c>
      <c r="E60" s="738" t="s">
        <v>2028</v>
      </c>
      <c r="F60" s="741">
        <f>'[1]PLAN DE DESARROLLO 2024 - 2027'!$K$149</f>
        <v>0.54581547619047621</v>
      </c>
      <c r="G60" s="738" t="s">
        <v>890</v>
      </c>
      <c r="H60" s="738" t="s">
        <v>1334</v>
      </c>
      <c r="I60" s="770">
        <f>+'Ciudad Conectada'!AK103</f>
        <v>1</v>
      </c>
      <c r="J60" s="738" t="s">
        <v>825</v>
      </c>
      <c r="K60" s="742" t="s">
        <v>1996</v>
      </c>
      <c r="P60" s="732"/>
    </row>
    <row r="61" spans="1:16" ht="29.4" thickBot="1" x14ac:dyDescent="0.35">
      <c r="A61" s="738" t="s">
        <v>2017</v>
      </c>
      <c r="B61" s="740">
        <f>'[1]PLAN DE DESARROLLO 2024 - 2027'!$K$123</f>
        <v>0.26239975735212717</v>
      </c>
      <c r="C61" s="738" t="s">
        <v>2023</v>
      </c>
      <c r="D61" s="741">
        <f>'[1]PLAN DE DESARROLLO 2024 - 2027'!$K$147</f>
        <v>0.37391919805103979</v>
      </c>
      <c r="E61" s="738" t="s">
        <v>2028</v>
      </c>
      <c r="F61" s="741">
        <f>'[1]PLAN DE DESARROLLO 2024 - 2027'!$K$149</f>
        <v>0.54581547619047621</v>
      </c>
      <c r="G61" s="738" t="s">
        <v>891</v>
      </c>
      <c r="H61" s="738" t="s">
        <v>1335</v>
      </c>
      <c r="I61" s="770">
        <f>+'Ciudad Conectada'!AK104</f>
        <v>1</v>
      </c>
      <c r="J61" s="738" t="s">
        <v>825</v>
      </c>
      <c r="K61" s="742" t="s">
        <v>1996</v>
      </c>
      <c r="P61" s="732"/>
    </row>
    <row r="62" spans="1:16" ht="29.4" thickBot="1" x14ac:dyDescent="0.35">
      <c r="A62" s="738" t="s">
        <v>2017</v>
      </c>
      <c r="B62" s="740">
        <f>'[1]PLAN DE DESARROLLO 2024 - 2027'!$K$123</f>
        <v>0.26239975735212717</v>
      </c>
      <c r="C62" s="738" t="s">
        <v>2023</v>
      </c>
      <c r="D62" s="741">
        <f>'[1]PLAN DE DESARROLLO 2024 - 2027'!$K$147</f>
        <v>0.37391919805103979</v>
      </c>
      <c r="E62" s="738" t="s">
        <v>2029</v>
      </c>
      <c r="F62" s="741">
        <f>'[1]PLAN DE DESARROLLO 2024 - 2027'!$K$151</f>
        <v>0.33406220779610435</v>
      </c>
      <c r="G62" s="738" t="s">
        <v>895</v>
      </c>
      <c r="H62" s="738" t="s">
        <v>1339</v>
      </c>
      <c r="I62" s="770">
        <f>+'Ciudad Conectada'!AK110</f>
        <v>0.45391000436871998</v>
      </c>
      <c r="J62" s="738" t="s">
        <v>48</v>
      </c>
      <c r="K62" s="742" t="s">
        <v>1996</v>
      </c>
      <c r="P62" s="732"/>
    </row>
    <row r="63" spans="1:16" ht="29.4" thickBot="1" x14ac:dyDescent="0.35">
      <c r="A63" s="738" t="s">
        <v>2017</v>
      </c>
      <c r="B63" s="740">
        <f>'[1]PLAN DE DESARROLLO 2024 - 2027'!$K$123</f>
        <v>0.26239975735212717</v>
      </c>
      <c r="C63" s="738" t="s">
        <v>2023</v>
      </c>
      <c r="D63" s="741">
        <f>'[1]PLAN DE DESARROLLO 2024 - 2027'!$K$147</f>
        <v>0.37391919805103979</v>
      </c>
      <c r="E63" s="738" t="s">
        <v>2029</v>
      </c>
      <c r="F63" s="741">
        <f>'[1]PLAN DE DESARROLLO 2024 - 2027'!$K$151</f>
        <v>0.33406220779610435</v>
      </c>
      <c r="G63" s="738" t="s">
        <v>896</v>
      </c>
      <c r="H63" s="738" t="s">
        <v>1536</v>
      </c>
      <c r="I63" s="770">
        <f>+'Ciudad Conectada'!AK111</f>
        <v>0.20259208731241471</v>
      </c>
      <c r="J63" s="738" t="s">
        <v>48</v>
      </c>
      <c r="K63" s="742" t="s">
        <v>1996</v>
      </c>
      <c r="P63" s="732"/>
    </row>
    <row r="64" spans="1:16" ht="29.4" thickBot="1" x14ac:dyDescent="0.35">
      <c r="A64" s="738" t="s">
        <v>2017</v>
      </c>
      <c r="B64" s="740">
        <f>'[1]PLAN DE DESARROLLO 2024 - 2027'!$K$123</f>
        <v>0.26239975735212717</v>
      </c>
      <c r="C64" s="738" t="s">
        <v>2023</v>
      </c>
      <c r="D64" s="741">
        <f>'[1]PLAN DE DESARROLLO 2024 - 2027'!$K$147</f>
        <v>0.37391919805103979</v>
      </c>
      <c r="E64" s="738" t="s">
        <v>2029</v>
      </c>
      <c r="F64" s="741">
        <f>'[1]PLAN DE DESARROLLO 2024 - 2027'!$K$151</f>
        <v>0.33406220779610435</v>
      </c>
      <c r="G64" s="738" t="s">
        <v>897</v>
      </c>
      <c r="H64" s="738" t="s">
        <v>1340</v>
      </c>
      <c r="I64" s="770">
        <f>+'Ciudad Conectada'!AK112</f>
        <v>0.16250000000000001</v>
      </c>
      <c r="J64" s="738" t="s">
        <v>2030</v>
      </c>
      <c r="K64" s="742" t="s">
        <v>1996</v>
      </c>
      <c r="P64" s="732"/>
    </row>
    <row r="65" spans="1:16" ht="29.4" thickBot="1" x14ac:dyDescent="0.35">
      <c r="A65" s="738" t="s">
        <v>2017</v>
      </c>
      <c r="B65" s="740">
        <f>'[1]PLAN DE DESARROLLO 2024 - 2027'!$K$123</f>
        <v>0.26239975735212717</v>
      </c>
      <c r="C65" s="738" t="s">
        <v>2023</v>
      </c>
      <c r="D65" s="741">
        <f>'[1]PLAN DE DESARROLLO 2024 - 2027'!$K$147</f>
        <v>0.37391919805103979</v>
      </c>
      <c r="E65" s="738" t="s">
        <v>2029</v>
      </c>
      <c r="F65" s="741">
        <f>'[1]PLAN DE DESARROLLO 2024 - 2027'!$K$151</f>
        <v>0.33406220779610435</v>
      </c>
      <c r="G65" s="738" t="s">
        <v>898</v>
      </c>
      <c r="H65" s="738" t="s">
        <v>1341</v>
      </c>
      <c r="I65" s="770">
        <f>+'Ciudad Conectada'!AK113</f>
        <v>0.57999999999999996</v>
      </c>
      <c r="J65" s="738" t="s">
        <v>48</v>
      </c>
      <c r="K65" s="742" t="s">
        <v>1996</v>
      </c>
      <c r="P65" s="732"/>
    </row>
    <row r="66" spans="1:16" ht="29.4" thickBot="1" x14ac:dyDescent="0.35">
      <c r="A66" s="738" t="s">
        <v>2017</v>
      </c>
      <c r="B66" s="740">
        <f>'[1]PLAN DE DESARROLLO 2024 - 2027'!$K$123</f>
        <v>0.26239975735212717</v>
      </c>
      <c r="C66" s="738" t="s">
        <v>2023</v>
      </c>
      <c r="D66" s="741">
        <f>'[1]PLAN DE DESARROLLO 2024 - 2027'!$K$147</f>
        <v>0.37391919805103979</v>
      </c>
      <c r="E66" s="738" t="s">
        <v>2029</v>
      </c>
      <c r="F66" s="741">
        <f>'[1]PLAN DE DESARROLLO 2024 - 2027'!$K$151</f>
        <v>0.33406220779610435</v>
      </c>
      <c r="G66" s="738" t="s">
        <v>899</v>
      </c>
      <c r="H66" s="738" t="s">
        <v>1342</v>
      </c>
      <c r="I66" s="770">
        <f>+'Ciudad Conectada'!AK114</f>
        <v>0.5</v>
      </c>
      <c r="J66" s="738" t="s">
        <v>48</v>
      </c>
      <c r="K66" s="742" t="s">
        <v>1996</v>
      </c>
      <c r="P66" s="732"/>
    </row>
    <row r="67" spans="1:16" ht="29.4" thickBot="1" x14ac:dyDescent="0.35">
      <c r="A67" s="738" t="s">
        <v>2017</v>
      </c>
      <c r="B67" s="740">
        <f>'[1]PLAN DE DESARROLLO 2024 - 2027'!$K$123</f>
        <v>0.26239975735212717</v>
      </c>
      <c r="C67" s="738" t="s">
        <v>2023</v>
      </c>
      <c r="D67" s="741">
        <f>'[1]PLAN DE DESARROLLO 2024 - 2027'!$K$147</f>
        <v>0.37391919805103979</v>
      </c>
      <c r="E67" s="738" t="s">
        <v>2029</v>
      </c>
      <c r="F67" s="741">
        <f>'[1]PLAN DE DESARROLLO 2024 - 2027'!$K$151</f>
        <v>0.33406220779610435</v>
      </c>
      <c r="G67" s="738" t="s">
        <v>900</v>
      </c>
      <c r="H67" s="738" t="s">
        <v>1343</v>
      </c>
      <c r="I67" s="770">
        <f>+'Ciudad Conectada'!AK115</f>
        <v>0.8</v>
      </c>
      <c r="J67" s="738" t="s">
        <v>48</v>
      </c>
      <c r="K67" s="742" t="s">
        <v>1996</v>
      </c>
      <c r="P67" s="732"/>
    </row>
    <row r="68" spans="1:16" ht="29.4" thickBot="1" x14ac:dyDescent="0.35">
      <c r="A68" s="738" t="s">
        <v>2017</v>
      </c>
      <c r="B68" s="740">
        <f>'[1]PLAN DE DESARROLLO 2024 - 2027'!$K$123</f>
        <v>0.26239975735212717</v>
      </c>
      <c r="C68" s="738" t="s">
        <v>2023</v>
      </c>
      <c r="D68" s="741">
        <f>'[1]PLAN DE DESARROLLO 2024 - 2027'!$K$147</f>
        <v>0.37391919805103979</v>
      </c>
      <c r="E68" s="738" t="s">
        <v>2029</v>
      </c>
      <c r="F68" s="741">
        <f>'[1]PLAN DE DESARROLLO 2024 - 2027'!$K$151</f>
        <v>0.33406220779610435</v>
      </c>
      <c r="G68" s="738" t="s">
        <v>901</v>
      </c>
      <c r="H68" s="738" t="s">
        <v>1344</v>
      </c>
      <c r="I68" s="770">
        <f>+'Ciudad Conectada'!AK116</f>
        <v>0.77777777777777779</v>
      </c>
      <c r="J68" s="738" t="s">
        <v>48</v>
      </c>
      <c r="K68" s="742" t="s">
        <v>1996</v>
      </c>
      <c r="P68" s="732"/>
    </row>
    <row r="69" spans="1:16" ht="29.4" thickBot="1" x14ac:dyDescent="0.35">
      <c r="A69" s="738" t="s">
        <v>2017</v>
      </c>
      <c r="B69" s="740">
        <f>'[1]PLAN DE DESARROLLO 2024 - 2027'!$K$123</f>
        <v>0.26239975735212717</v>
      </c>
      <c r="C69" s="738" t="s">
        <v>2023</v>
      </c>
      <c r="D69" s="741">
        <f>'[1]PLAN DE DESARROLLO 2024 - 2027'!$K$147</f>
        <v>0.37391919805103979</v>
      </c>
      <c r="E69" s="738" t="s">
        <v>2029</v>
      </c>
      <c r="F69" s="741">
        <f>'[1]PLAN DE DESARROLLO 2024 - 2027'!$K$151</f>
        <v>0.33406220779610435</v>
      </c>
      <c r="G69" s="738" t="s">
        <v>902</v>
      </c>
      <c r="H69" s="738" t="s">
        <v>1345</v>
      </c>
      <c r="I69" s="770">
        <f>+'Ciudad Conectada'!AK117</f>
        <v>8.7499999999999994E-2</v>
      </c>
      <c r="J69" s="738" t="s">
        <v>2030</v>
      </c>
      <c r="K69" s="742" t="s">
        <v>1996</v>
      </c>
      <c r="P69" s="732"/>
    </row>
    <row r="70" spans="1:16" ht="29.4" thickBot="1" x14ac:dyDescent="0.35">
      <c r="A70" s="738" t="s">
        <v>2017</v>
      </c>
      <c r="B70" s="740">
        <f>'[1]PLAN DE DESARROLLO 2024 - 2027'!$K$123</f>
        <v>0.26239975735212717</v>
      </c>
      <c r="C70" s="738" t="s">
        <v>2023</v>
      </c>
      <c r="D70" s="741">
        <f>'[1]PLAN DE DESARROLLO 2024 - 2027'!$K$147</f>
        <v>0.37391919805103979</v>
      </c>
      <c r="E70" s="738" t="s">
        <v>2029</v>
      </c>
      <c r="F70" s="741">
        <f>'[1]PLAN DE DESARROLLO 2024 - 2027'!$K$151</f>
        <v>0.33406220779610435</v>
      </c>
      <c r="G70" s="738" t="s">
        <v>903</v>
      </c>
      <c r="H70" s="738" t="s">
        <v>1346</v>
      </c>
      <c r="I70" s="770">
        <f>+'Ciudad Conectada'!AK118</f>
        <v>1</v>
      </c>
      <c r="J70" s="738" t="s">
        <v>48</v>
      </c>
      <c r="K70" s="742" t="s">
        <v>1996</v>
      </c>
      <c r="P70" s="732"/>
    </row>
    <row r="71" spans="1:16" ht="29.4" thickBot="1" x14ac:dyDescent="0.35">
      <c r="A71" s="738" t="s">
        <v>2017</v>
      </c>
      <c r="B71" s="740">
        <f>'[1]PLAN DE DESARROLLO 2024 - 2027'!$K$123</f>
        <v>0.26239975735212717</v>
      </c>
      <c r="C71" s="738" t="s">
        <v>2023</v>
      </c>
      <c r="D71" s="741">
        <f>'[1]PLAN DE DESARROLLO 2024 - 2027'!$K$147</f>
        <v>0.37391919805103979</v>
      </c>
      <c r="E71" s="738" t="s">
        <v>2029</v>
      </c>
      <c r="F71" s="741">
        <f>'[1]PLAN DE DESARROLLO 2024 - 2027'!$K$151</f>
        <v>0.33406220779610435</v>
      </c>
      <c r="G71" s="738" t="s">
        <v>904</v>
      </c>
      <c r="H71" s="738" t="s">
        <v>1347</v>
      </c>
      <c r="I71" s="770">
        <f>+'Ciudad Conectada'!AK119</f>
        <v>1</v>
      </c>
      <c r="J71" s="738" t="s">
        <v>48</v>
      </c>
      <c r="K71" s="742" t="s">
        <v>1996</v>
      </c>
      <c r="P71" s="732"/>
    </row>
    <row r="72" spans="1:16" ht="29.4" thickBot="1" x14ac:dyDescent="0.35">
      <c r="A72" s="738" t="s">
        <v>2017</v>
      </c>
      <c r="B72" s="740">
        <f>'[1]PLAN DE DESARROLLO 2024 - 2027'!$K$123</f>
        <v>0.26239975735212717</v>
      </c>
      <c r="C72" s="738" t="s">
        <v>2023</v>
      </c>
      <c r="D72" s="741">
        <f>'[1]PLAN DE DESARROLLO 2024 - 2027'!$K$147</f>
        <v>0.37391919805103979</v>
      </c>
      <c r="E72" s="738" t="s">
        <v>2029</v>
      </c>
      <c r="F72" s="741">
        <f>'[1]PLAN DE DESARROLLO 2024 - 2027'!$K$151</f>
        <v>0.33406220779610435</v>
      </c>
      <c r="G72" s="738" t="s">
        <v>905</v>
      </c>
      <c r="H72" s="738" t="s">
        <v>1348</v>
      </c>
      <c r="I72" s="770">
        <f>+'Ciudad Conectada'!AK120</f>
        <v>0.8</v>
      </c>
      <c r="J72" s="738" t="s">
        <v>48</v>
      </c>
      <c r="K72" s="742" t="s">
        <v>1996</v>
      </c>
      <c r="P72" s="732"/>
    </row>
    <row r="73" spans="1:16" ht="38.4" customHeight="1" thickBot="1" x14ac:dyDescent="0.35">
      <c r="A73" s="738" t="s">
        <v>2017</v>
      </c>
      <c r="B73" s="740">
        <f>'[1]PLAN DE DESARROLLO 2024 - 2027'!$K$123</f>
        <v>0.26239975735212717</v>
      </c>
      <c r="C73" s="738" t="s">
        <v>2023</v>
      </c>
      <c r="D73" s="741">
        <f>'[1]PLAN DE DESARROLLO 2024 - 2027'!$K$147</f>
        <v>0.37391919805103979</v>
      </c>
      <c r="E73" s="738" t="s">
        <v>2031</v>
      </c>
      <c r="F73" s="741">
        <f>'[1]PLAN DE DESARROLLO 2024 - 2027'!$K$152</f>
        <v>0.61579910821757866</v>
      </c>
      <c r="G73" s="738" t="s">
        <v>906</v>
      </c>
      <c r="H73" s="738" t="s">
        <v>1349</v>
      </c>
      <c r="I73" s="770">
        <f>+'Ciudad Conectada'!AK122</f>
        <v>1</v>
      </c>
      <c r="J73" s="738" t="s">
        <v>907</v>
      </c>
      <c r="K73" s="742" t="s">
        <v>1996</v>
      </c>
      <c r="P73" s="732"/>
    </row>
    <row r="74" spans="1:16" ht="29.4" thickBot="1" x14ac:dyDescent="0.35">
      <c r="A74" s="738" t="s">
        <v>2017</v>
      </c>
      <c r="B74" s="740">
        <f>'[1]PLAN DE DESARROLLO 2024 - 2027'!$K$123</f>
        <v>0.26239975735212717</v>
      </c>
      <c r="C74" s="738" t="s">
        <v>2023</v>
      </c>
      <c r="D74" s="741">
        <f>'[1]PLAN DE DESARROLLO 2024 - 2027'!$K$147</f>
        <v>0.37391919805103979</v>
      </c>
      <c r="E74" s="738" t="s">
        <v>2031</v>
      </c>
      <c r="F74" s="741">
        <f>'[1]PLAN DE DESARROLLO 2024 - 2027'!$K$152</f>
        <v>0.61579910821757866</v>
      </c>
      <c r="G74" s="738" t="s">
        <v>908</v>
      </c>
      <c r="H74" s="738" t="s">
        <v>1350</v>
      </c>
      <c r="I74" s="770">
        <f>+'Ciudad Conectada'!AK123</f>
        <v>1</v>
      </c>
      <c r="J74" s="738" t="s">
        <v>907</v>
      </c>
      <c r="K74" s="742" t="s">
        <v>1996</v>
      </c>
      <c r="P74" s="732"/>
    </row>
    <row r="75" spans="1:16" ht="29.4" thickBot="1" x14ac:dyDescent="0.35">
      <c r="A75" s="738" t="s">
        <v>2017</v>
      </c>
      <c r="B75" s="740">
        <f>'[1]PLAN DE DESARROLLO 2024 - 2027'!$K$123</f>
        <v>0.26239975735212717</v>
      </c>
      <c r="C75" s="738" t="s">
        <v>2023</v>
      </c>
      <c r="D75" s="741">
        <f>'[1]PLAN DE DESARROLLO 2024 - 2027'!$K$147</f>
        <v>0.37391919805103979</v>
      </c>
      <c r="E75" s="738" t="s">
        <v>2031</v>
      </c>
      <c r="F75" s="741">
        <f>'[1]PLAN DE DESARROLLO 2024 - 2027'!$K$152</f>
        <v>0.61579910821757866</v>
      </c>
      <c r="G75" s="738" t="s">
        <v>909</v>
      </c>
      <c r="H75" s="738" t="s">
        <v>1351</v>
      </c>
      <c r="I75" s="771">
        <f>+'Ciudad Conectada'!AK124</f>
        <v>0</v>
      </c>
      <c r="J75" s="738" t="s">
        <v>907</v>
      </c>
      <c r="K75" s="742" t="s">
        <v>1996</v>
      </c>
      <c r="P75" s="732"/>
    </row>
    <row r="76" spans="1:16" ht="29.4" thickBot="1" x14ac:dyDescent="0.35">
      <c r="A76" s="738" t="s">
        <v>2017</v>
      </c>
      <c r="B76" s="740">
        <f>'[1]PLAN DE DESARROLLO 2024 - 2027'!$K$123</f>
        <v>0.26239975735212717</v>
      </c>
      <c r="C76" s="738" t="s">
        <v>2023</v>
      </c>
      <c r="D76" s="741">
        <f>'[1]PLAN DE DESARROLLO 2024 - 2027'!$K$147</f>
        <v>0.37391919805103979</v>
      </c>
      <c r="E76" s="738" t="s">
        <v>2031</v>
      </c>
      <c r="F76" s="741">
        <f>'[1]PLAN DE DESARROLLO 2024 - 2027'!$K$152</f>
        <v>0.61579910821757866</v>
      </c>
      <c r="G76" s="738" t="s">
        <v>910</v>
      </c>
      <c r="H76" s="738" t="s">
        <v>1352</v>
      </c>
      <c r="I76" s="770">
        <f>+'Ciudad Conectada'!AK125</f>
        <v>1</v>
      </c>
      <c r="J76" s="738" t="s">
        <v>907</v>
      </c>
      <c r="K76" s="742" t="s">
        <v>1996</v>
      </c>
      <c r="P76" s="732"/>
    </row>
    <row r="77" spans="1:16" ht="29.4" thickBot="1" x14ac:dyDescent="0.35">
      <c r="A77" s="738" t="s">
        <v>2017</v>
      </c>
      <c r="B77" s="740">
        <f>'[1]PLAN DE DESARROLLO 2024 - 2027'!$K$123</f>
        <v>0.26239975735212717</v>
      </c>
      <c r="C77" s="738" t="s">
        <v>2023</v>
      </c>
      <c r="D77" s="741">
        <f>'[1]PLAN DE DESARROLLO 2024 - 2027'!$K$147</f>
        <v>0.37391919805103979</v>
      </c>
      <c r="E77" s="738" t="s">
        <v>2031</v>
      </c>
      <c r="F77" s="741">
        <f>'[1]PLAN DE DESARROLLO 2024 - 2027'!$K$152</f>
        <v>0.61579910821757866</v>
      </c>
      <c r="G77" s="738" t="s">
        <v>911</v>
      </c>
      <c r="H77" s="738" t="s">
        <v>1353</v>
      </c>
      <c r="I77" s="771">
        <f>+'Ciudad Conectada'!AK126</f>
        <v>0</v>
      </c>
      <c r="J77" s="738" t="s">
        <v>907</v>
      </c>
      <c r="K77" s="742" t="s">
        <v>1996</v>
      </c>
      <c r="P77" s="732"/>
    </row>
    <row r="78" spans="1:16" ht="29.4" thickBot="1" x14ac:dyDescent="0.35">
      <c r="A78" s="738" t="s">
        <v>2017</v>
      </c>
      <c r="B78" s="740">
        <f>'[1]PLAN DE DESARROLLO 2024 - 2027'!$K$123</f>
        <v>0.26239975735212717</v>
      </c>
      <c r="C78" s="738" t="s">
        <v>2023</v>
      </c>
      <c r="D78" s="741">
        <f>'[1]PLAN DE DESARROLLO 2024 - 2027'!$K$147</f>
        <v>0.37391919805103979</v>
      </c>
      <c r="E78" s="738" t="s">
        <v>2031</v>
      </c>
      <c r="F78" s="741">
        <f>'[1]PLAN DE DESARROLLO 2024 - 2027'!$K$152</f>
        <v>0.61579910821757866</v>
      </c>
      <c r="G78" s="738" t="s">
        <v>912</v>
      </c>
      <c r="H78" s="738" t="s">
        <v>1354</v>
      </c>
      <c r="I78" s="770">
        <f>+'Ciudad Conectada'!AK127</f>
        <v>1</v>
      </c>
      <c r="J78" s="738" t="s">
        <v>907</v>
      </c>
      <c r="K78" s="742" t="s">
        <v>1996</v>
      </c>
      <c r="P78" s="732"/>
    </row>
    <row r="79" spans="1:16" ht="29.4" thickBot="1" x14ac:dyDescent="0.35">
      <c r="A79" s="738" t="s">
        <v>2017</v>
      </c>
      <c r="B79" s="740">
        <f>'[1]PLAN DE DESARROLLO 2024 - 2027'!$K$123</f>
        <v>0.26239975735212717</v>
      </c>
      <c r="C79" s="738" t="s">
        <v>2023</v>
      </c>
      <c r="D79" s="741">
        <f>'[1]PLAN DE DESARROLLO 2024 - 2027'!$K$147</f>
        <v>0.37391919805103979</v>
      </c>
      <c r="E79" s="738" t="s">
        <v>2031</v>
      </c>
      <c r="F79" s="741">
        <f>'[1]PLAN DE DESARROLLO 2024 - 2027'!$K$152</f>
        <v>0.61579910821757866</v>
      </c>
      <c r="G79" s="738" t="s">
        <v>913</v>
      </c>
      <c r="H79" s="738" t="s">
        <v>1355</v>
      </c>
      <c r="I79" s="770">
        <f>+'Ciudad Conectada'!AK128</f>
        <v>0.76</v>
      </c>
      <c r="J79" s="738" t="s">
        <v>907</v>
      </c>
      <c r="K79" s="742" t="s">
        <v>1996</v>
      </c>
      <c r="P79" s="732"/>
    </row>
    <row r="80" spans="1:16" ht="29.4" thickBot="1" x14ac:dyDescent="0.35">
      <c r="A80" s="738" t="s">
        <v>2017</v>
      </c>
      <c r="B80" s="740">
        <f>'[1]PLAN DE DESARROLLO 2024 - 2027'!$K$123</f>
        <v>0.26239975735212717</v>
      </c>
      <c r="C80" s="738" t="s">
        <v>2023</v>
      </c>
      <c r="D80" s="741">
        <f>'[1]PLAN DE DESARROLLO 2024 - 2027'!$K$147</f>
        <v>0.37391919805103979</v>
      </c>
      <c r="E80" s="738" t="s">
        <v>2031</v>
      </c>
      <c r="F80" s="741">
        <f>'[1]PLAN DE DESARROLLO 2024 - 2027'!$K$152</f>
        <v>0.61579910821757866</v>
      </c>
      <c r="G80" s="738" t="s">
        <v>914</v>
      </c>
      <c r="H80" s="738" t="s">
        <v>1356</v>
      </c>
      <c r="I80" s="770">
        <f>+'Ciudad Conectada'!AK129</f>
        <v>0.66666666666666663</v>
      </c>
      <c r="J80" s="738" t="s">
        <v>2032</v>
      </c>
      <c r="K80" s="742" t="s">
        <v>1996</v>
      </c>
      <c r="P80" s="732"/>
    </row>
    <row r="81" spans="1:16" ht="29.4" thickBot="1" x14ac:dyDescent="0.35">
      <c r="A81" s="738" t="s">
        <v>2017</v>
      </c>
      <c r="B81" s="740">
        <f>'[1]PLAN DE DESARROLLO 2024 - 2027'!$K$123</f>
        <v>0.26239975735212717</v>
      </c>
      <c r="C81" s="738" t="s">
        <v>2023</v>
      </c>
      <c r="D81" s="741">
        <f>'[1]PLAN DE DESARROLLO 2024 - 2027'!$K$147</f>
        <v>0.37391919805103979</v>
      </c>
      <c r="E81" s="738" t="s">
        <v>2031</v>
      </c>
      <c r="F81" s="741">
        <f>'[1]PLAN DE DESARROLLO 2024 - 2027'!$K$152</f>
        <v>0.61579910821757866</v>
      </c>
      <c r="G81" s="738" t="s">
        <v>916</v>
      </c>
      <c r="H81" s="738" t="s">
        <v>1357</v>
      </c>
      <c r="I81" s="771">
        <f>+'Ciudad Conectada'!AK130</f>
        <v>0</v>
      </c>
      <c r="J81" s="738" t="s">
        <v>2033</v>
      </c>
      <c r="K81" s="742" t="s">
        <v>1996</v>
      </c>
      <c r="P81" s="732"/>
    </row>
    <row r="82" spans="1:16" ht="29.4" thickBot="1" x14ac:dyDescent="0.35">
      <c r="A82" s="738" t="s">
        <v>2017</v>
      </c>
      <c r="B82" s="740">
        <f>'[1]PLAN DE DESARROLLO 2024 - 2027'!$K$123</f>
        <v>0.26239975735212717</v>
      </c>
      <c r="C82" s="738" t="s">
        <v>2023</v>
      </c>
      <c r="D82" s="741">
        <f>'[1]PLAN DE DESARROLLO 2024 - 2027'!$K$147</f>
        <v>0.37391919805103979</v>
      </c>
      <c r="E82" s="738" t="s">
        <v>2031</v>
      </c>
      <c r="F82" s="741">
        <f>'[1]PLAN DE DESARROLLO 2024 - 2027'!$K$152</f>
        <v>0.61579910821757866</v>
      </c>
      <c r="G82" s="738" t="s">
        <v>918</v>
      </c>
      <c r="H82" s="738" t="s">
        <v>1358</v>
      </c>
      <c r="I82" s="770">
        <f>+'Ciudad Conectada'!AK131</f>
        <v>0.2</v>
      </c>
      <c r="J82" s="738" t="s">
        <v>2033</v>
      </c>
      <c r="K82" s="742" t="s">
        <v>1996</v>
      </c>
      <c r="P82" s="732"/>
    </row>
    <row r="83" spans="1:16" ht="29.4" thickBot="1" x14ac:dyDescent="0.35">
      <c r="A83" s="738" t="s">
        <v>2017</v>
      </c>
      <c r="B83" s="740">
        <f>'[1]PLAN DE DESARROLLO 2024 - 2027'!$K$123</f>
        <v>0.26239975735212717</v>
      </c>
      <c r="C83" s="738" t="s">
        <v>2023</v>
      </c>
      <c r="D83" s="741">
        <f>'[1]PLAN DE DESARROLLO 2024 - 2027'!$K$147</f>
        <v>0.37391919805103979</v>
      </c>
      <c r="E83" s="738" t="s">
        <v>2031</v>
      </c>
      <c r="F83" s="741">
        <f>'[1]PLAN DE DESARROLLO 2024 - 2027'!$K$152</f>
        <v>0.61579910821757866</v>
      </c>
      <c r="G83" s="738" t="s">
        <v>919</v>
      </c>
      <c r="H83" s="738" t="s">
        <v>1359</v>
      </c>
      <c r="I83" s="770">
        <f>+'Ciudad Conectada'!AK132</f>
        <v>1</v>
      </c>
      <c r="J83" s="738" t="s">
        <v>907</v>
      </c>
      <c r="K83" s="742" t="s">
        <v>1996</v>
      </c>
      <c r="P83" s="732"/>
    </row>
    <row r="84" spans="1:16" ht="29.4" thickBot="1" x14ac:dyDescent="0.35">
      <c r="A84" s="738" t="s">
        <v>2017</v>
      </c>
      <c r="B84" s="740">
        <f>'[1]PLAN DE DESARROLLO 2024 - 2027'!$K$123</f>
        <v>0.26239975735212717</v>
      </c>
      <c r="C84" s="738" t="s">
        <v>2023</v>
      </c>
      <c r="D84" s="741">
        <f>'[1]PLAN DE DESARROLLO 2024 - 2027'!$K$147</f>
        <v>0.37391919805103979</v>
      </c>
      <c r="E84" s="738" t="s">
        <v>2031</v>
      </c>
      <c r="F84" s="741">
        <f>'[1]PLAN DE DESARROLLO 2024 - 2027'!$K$152</f>
        <v>0.61579910821757866</v>
      </c>
      <c r="G84" s="738" t="s">
        <v>920</v>
      </c>
      <c r="H84" s="738" t="s">
        <v>1360</v>
      </c>
      <c r="I84" s="770">
        <f>+'Ciudad Conectada'!AK133</f>
        <v>1</v>
      </c>
      <c r="J84" s="738" t="s">
        <v>907</v>
      </c>
      <c r="K84" s="742" t="s">
        <v>1996</v>
      </c>
      <c r="P84" s="732"/>
    </row>
    <row r="85" spans="1:16" ht="29.4" thickBot="1" x14ac:dyDescent="0.35">
      <c r="A85" s="738" t="s">
        <v>2017</v>
      </c>
      <c r="B85" s="740">
        <f>'[1]PLAN DE DESARROLLO 2024 - 2027'!$K$123</f>
        <v>0.26239975735212717</v>
      </c>
      <c r="C85" s="738" t="s">
        <v>2023</v>
      </c>
      <c r="D85" s="741">
        <f>'[1]PLAN DE DESARROLLO 2024 - 2027'!$K$147</f>
        <v>0.37391919805103979</v>
      </c>
      <c r="E85" s="738" t="s">
        <v>2031</v>
      </c>
      <c r="F85" s="741">
        <f>'[1]PLAN DE DESARROLLO 2024 - 2027'!$K$152</f>
        <v>0.61579910821757866</v>
      </c>
      <c r="G85" s="738" t="s">
        <v>921</v>
      </c>
      <c r="H85" s="738" t="s">
        <v>1361</v>
      </c>
      <c r="I85" s="770">
        <f>+'Ciudad Conectada'!AK134</f>
        <v>0.4661976572427064</v>
      </c>
      <c r="J85" s="738" t="s">
        <v>907</v>
      </c>
      <c r="K85" s="742" t="s">
        <v>1996</v>
      </c>
      <c r="P85" s="732"/>
    </row>
    <row r="86" spans="1:16" ht="29.4" thickBot="1" x14ac:dyDescent="0.35">
      <c r="A86" s="738" t="s">
        <v>2017</v>
      </c>
      <c r="B86" s="743">
        <f>'[1]PLAN DE DESARROLLO 2024 - 2027'!$K$123</f>
        <v>0.26239975735212717</v>
      </c>
      <c r="C86" s="738" t="s">
        <v>2034</v>
      </c>
      <c r="D86" s="744">
        <v>0</v>
      </c>
      <c r="E86" s="738" t="s">
        <v>1751</v>
      </c>
      <c r="F86" s="744">
        <v>0</v>
      </c>
      <c r="G86" s="738" t="s">
        <v>951</v>
      </c>
      <c r="H86" s="738" t="s">
        <v>1388</v>
      </c>
      <c r="I86" s="771">
        <v>0</v>
      </c>
      <c r="J86" s="738" t="s">
        <v>560</v>
      </c>
      <c r="K86" s="745" t="s">
        <v>1996</v>
      </c>
      <c r="P86" s="732"/>
    </row>
    <row r="87" spans="1:16" ht="29.4" thickBot="1" x14ac:dyDescent="0.35">
      <c r="A87" s="738" t="s">
        <v>2017</v>
      </c>
      <c r="B87" s="743">
        <f>'[1]PLAN DE DESARROLLO 2024 - 2027'!$K$123</f>
        <v>0.26239975735212717</v>
      </c>
      <c r="C87" s="738" t="s">
        <v>2034</v>
      </c>
      <c r="D87" s="744">
        <v>0</v>
      </c>
      <c r="E87" s="738" t="s">
        <v>1751</v>
      </c>
      <c r="F87" s="744">
        <v>0</v>
      </c>
      <c r="G87" s="738" t="s">
        <v>952</v>
      </c>
      <c r="H87" s="738" t="s">
        <v>1389</v>
      </c>
      <c r="I87" s="771">
        <v>0</v>
      </c>
      <c r="J87" s="738" t="s">
        <v>953</v>
      </c>
      <c r="K87" s="745" t="s">
        <v>1996</v>
      </c>
      <c r="P87" s="732"/>
    </row>
    <row r="88" spans="1:16" ht="29.4" thickBot="1" x14ac:dyDescent="0.35">
      <c r="A88" s="738" t="s">
        <v>2017</v>
      </c>
      <c r="B88" s="743">
        <f>'[1]PLAN DE DESARROLLO 2024 - 2027'!$K$123</f>
        <v>0.26239975735212717</v>
      </c>
      <c r="C88" s="738" t="s">
        <v>2034</v>
      </c>
      <c r="D88" s="744">
        <v>0</v>
      </c>
      <c r="E88" s="738" t="s">
        <v>1751</v>
      </c>
      <c r="F88" s="744">
        <v>0</v>
      </c>
      <c r="G88" s="738" t="s">
        <v>954</v>
      </c>
      <c r="H88" s="738" t="s">
        <v>1390</v>
      </c>
      <c r="I88" s="771">
        <v>0</v>
      </c>
      <c r="J88" s="738" t="s">
        <v>1872</v>
      </c>
      <c r="K88" s="745" t="s">
        <v>1996</v>
      </c>
      <c r="P88" s="732"/>
    </row>
    <row r="89" spans="1:16" ht="15" thickBot="1" x14ac:dyDescent="0.35">
      <c r="A89" s="738" t="s">
        <v>2017</v>
      </c>
      <c r="B89" s="740">
        <f>'[1]PLAN DE DESARROLLO 2024 - 2027'!$K$123</f>
        <v>0.26239975735212717</v>
      </c>
      <c r="C89" s="738" t="s">
        <v>2025</v>
      </c>
      <c r="D89" s="740">
        <f>'[1]PLAN DE DESARROLLO 2024 - 2027'!$K$153</f>
        <v>0.34122708333333335</v>
      </c>
      <c r="E89" s="738" t="s">
        <v>1816</v>
      </c>
      <c r="F89" s="741">
        <f>'[1]PLAN DE DESARROLLO 2024 - 2027'!$K$154</f>
        <v>0.18507500000000002</v>
      </c>
      <c r="G89" s="738" t="s">
        <v>922</v>
      </c>
      <c r="H89" s="738" t="s">
        <v>1362</v>
      </c>
      <c r="I89" s="770">
        <f>+'Ciudad Conectada'!AK137</f>
        <v>0.28907500000000003</v>
      </c>
      <c r="J89" s="738" t="s">
        <v>698</v>
      </c>
      <c r="K89" s="742" t="s">
        <v>1996</v>
      </c>
      <c r="P89" s="732"/>
    </row>
    <row r="90" spans="1:16" ht="29.4" thickBot="1" x14ac:dyDescent="0.35">
      <c r="A90" s="738" t="s">
        <v>2017</v>
      </c>
      <c r="B90" s="740">
        <f>'[1]PLAN DE DESARROLLO 2024 - 2027'!$K$123</f>
        <v>0.26239975735212717</v>
      </c>
      <c r="C90" s="738" t="s">
        <v>2025</v>
      </c>
      <c r="D90" s="740">
        <f>'[1]PLAN DE DESARROLLO 2024 - 2027'!$K$153</f>
        <v>0.34122708333333335</v>
      </c>
      <c r="E90" s="738" t="s">
        <v>1816</v>
      </c>
      <c r="F90" s="741">
        <f>'[1]PLAN DE DESARROLLO 2024 - 2027'!$K$154</f>
        <v>0.18507500000000002</v>
      </c>
      <c r="G90" s="738" t="s">
        <v>923</v>
      </c>
      <c r="H90" s="738" t="s">
        <v>1363</v>
      </c>
      <c r="I90" s="771">
        <f>+'Ciudad Conectada'!AK138</f>
        <v>0</v>
      </c>
      <c r="J90" s="738" t="s">
        <v>2035</v>
      </c>
      <c r="K90" s="742" t="s">
        <v>1996</v>
      </c>
      <c r="P90" s="732"/>
    </row>
    <row r="91" spans="1:16" ht="29.4" thickBot="1" x14ac:dyDescent="0.35">
      <c r="A91" s="738" t="s">
        <v>2017</v>
      </c>
      <c r="B91" s="740">
        <f>'[1]PLAN DE DESARROLLO 2024 - 2027'!$K$123</f>
        <v>0.26239975735212717</v>
      </c>
      <c r="C91" s="738" t="s">
        <v>2025</v>
      </c>
      <c r="D91" s="740">
        <f>'[1]PLAN DE DESARROLLO 2024 - 2027'!$K$153</f>
        <v>0.34122708333333335</v>
      </c>
      <c r="E91" s="738" t="s">
        <v>1816</v>
      </c>
      <c r="F91" s="741">
        <f>'[1]PLAN DE DESARROLLO 2024 - 2027'!$K$154</f>
        <v>0.18507500000000002</v>
      </c>
      <c r="G91" s="738" t="s">
        <v>925</v>
      </c>
      <c r="H91" s="738" t="s">
        <v>1364</v>
      </c>
      <c r="I91" s="771">
        <f>+'Ciudad Conectada'!AK139</f>
        <v>0</v>
      </c>
      <c r="J91" s="738" t="s">
        <v>2036</v>
      </c>
      <c r="K91" s="742" t="s">
        <v>1996</v>
      </c>
      <c r="P91" s="732"/>
    </row>
    <row r="92" spans="1:16" ht="29.4" thickBot="1" x14ac:dyDescent="0.35">
      <c r="A92" s="738" t="s">
        <v>2017</v>
      </c>
      <c r="B92" s="740">
        <f>'[1]PLAN DE DESARROLLO 2024 - 2027'!$K$123</f>
        <v>0.26239975735212717</v>
      </c>
      <c r="C92" s="738" t="s">
        <v>2025</v>
      </c>
      <c r="D92" s="740">
        <f>'[1]PLAN DE DESARROLLO 2024 - 2027'!$K$153</f>
        <v>0.34122708333333335</v>
      </c>
      <c r="E92" s="738" t="s">
        <v>1817</v>
      </c>
      <c r="F92" s="741">
        <f>'[1]PLAN DE DESARROLLO 2024 - 2027'!$K$155</f>
        <v>0.60866666666666669</v>
      </c>
      <c r="G92" s="738" t="s">
        <v>926</v>
      </c>
      <c r="H92" s="738" t="s">
        <v>1365</v>
      </c>
      <c r="I92" s="770">
        <f>+'Ciudad Conectada'!AK141</f>
        <v>1</v>
      </c>
      <c r="J92" s="738" t="s">
        <v>2037</v>
      </c>
      <c r="K92" s="742" t="s">
        <v>1996</v>
      </c>
      <c r="P92" s="732"/>
    </row>
    <row r="93" spans="1:16" ht="29.4" thickBot="1" x14ac:dyDescent="0.35">
      <c r="A93" s="738" t="s">
        <v>2017</v>
      </c>
      <c r="B93" s="740">
        <f>'[1]PLAN DE DESARROLLO 2024 - 2027'!$K$123</f>
        <v>0.26239975735212717</v>
      </c>
      <c r="C93" s="738" t="s">
        <v>2025</v>
      </c>
      <c r="D93" s="740">
        <f>'[1]PLAN DE DESARROLLO 2024 - 2027'!$K$153</f>
        <v>0.34122708333333335</v>
      </c>
      <c r="E93" s="738" t="s">
        <v>1817</v>
      </c>
      <c r="F93" s="741">
        <f>'[1]PLAN DE DESARROLLO 2024 - 2027'!$K$155</f>
        <v>0.60866666666666669</v>
      </c>
      <c r="G93" s="738" t="s">
        <v>928</v>
      </c>
      <c r="H93" s="738" t="s">
        <v>1366</v>
      </c>
      <c r="I93" s="770">
        <f>+'Ciudad Conectada'!AK142</f>
        <v>1</v>
      </c>
      <c r="J93" s="738" t="s">
        <v>2037</v>
      </c>
      <c r="K93" s="742" t="s">
        <v>1996</v>
      </c>
      <c r="P93" s="732"/>
    </row>
    <row r="94" spans="1:16" ht="29.4" thickBot="1" x14ac:dyDescent="0.35">
      <c r="A94" s="738" t="s">
        <v>2017</v>
      </c>
      <c r="B94" s="740">
        <f>'[1]PLAN DE DESARROLLO 2024 - 2027'!$K$123</f>
        <v>0.26239975735212717</v>
      </c>
      <c r="C94" s="738" t="s">
        <v>2025</v>
      </c>
      <c r="D94" s="740">
        <f>'[1]PLAN DE DESARROLLO 2024 - 2027'!$K$153</f>
        <v>0.34122708333333335</v>
      </c>
      <c r="E94" s="738" t="s">
        <v>1817</v>
      </c>
      <c r="F94" s="741">
        <f>'[1]PLAN DE DESARROLLO 2024 - 2027'!$K$155</f>
        <v>0.60866666666666669</v>
      </c>
      <c r="G94" s="738" t="s">
        <v>929</v>
      </c>
      <c r="H94" s="738" t="s">
        <v>1367</v>
      </c>
      <c r="I94" s="770">
        <f>+'Ciudad Conectada'!AK143</f>
        <v>1</v>
      </c>
      <c r="J94" s="738" t="s">
        <v>2037</v>
      </c>
      <c r="K94" s="742" t="s">
        <v>1996</v>
      </c>
      <c r="P94" s="732"/>
    </row>
    <row r="95" spans="1:16" ht="29.4" thickBot="1" x14ac:dyDescent="0.35">
      <c r="A95" s="738" t="s">
        <v>2017</v>
      </c>
      <c r="B95" s="740">
        <f>'[1]PLAN DE DESARROLLO 2024 - 2027'!$K$123</f>
        <v>0.26239975735212717</v>
      </c>
      <c r="C95" s="738" t="s">
        <v>2025</v>
      </c>
      <c r="D95" s="740">
        <f>'[1]PLAN DE DESARROLLO 2024 - 2027'!$K$153</f>
        <v>0.34122708333333335</v>
      </c>
      <c r="E95" s="738" t="s">
        <v>2038</v>
      </c>
      <c r="F95" s="741">
        <f>'[1]PLAN DE DESARROLLO 2024 - 2027'!$K$156</f>
        <v>0.434</v>
      </c>
      <c r="G95" s="738" t="s">
        <v>930</v>
      </c>
      <c r="H95" s="738" t="s">
        <v>1368</v>
      </c>
      <c r="I95" s="770">
        <f>+'Ciudad Conectada'!AK145</f>
        <v>0</v>
      </c>
      <c r="J95" s="738" t="s">
        <v>2039</v>
      </c>
      <c r="K95" s="742" t="s">
        <v>1996</v>
      </c>
      <c r="P95" s="732"/>
    </row>
    <row r="96" spans="1:16" ht="29.4" thickBot="1" x14ac:dyDescent="0.35">
      <c r="A96" s="738" t="s">
        <v>2017</v>
      </c>
      <c r="B96" s="740">
        <f>'[1]PLAN DE DESARROLLO 2024 - 2027'!$K$123</f>
        <v>0.26239975735212717</v>
      </c>
      <c r="C96" s="738" t="s">
        <v>2025</v>
      </c>
      <c r="D96" s="740">
        <f>'[1]PLAN DE DESARROLLO 2024 - 2027'!$K$153</f>
        <v>0.34122708333333335</v>
      </c>
      <c r="E96" s="738" t="s">
        <v>2038</v>
      </c>
      <c r="F96" s="741">
        <f>'[1]PLAN DE DESARROLLO 2024 - 2027'!$K$156</f>
        <v>0.434</v>
      </c>
      <c r="G96" s="738" t="s">
        <v>931</v>
      </c>
      <c r="H96" s="738" t="s">
        <v>1369</v>
      </c>
      <c r="I96" s="770">
        <f>+'Ciudad Conectada'!AK146</f>
        <v>1</v>
      </c>
      <c r="J96" s="738" t="s">
        <v>698</v>
      </c>
      <c r="K96" s="742" t="s">
        <v>1996</v>
      </c>
      <c r="P96" s="732"/>
    </row>
    <row r="97" spans="1:16" ht="29.4" thickBot="1" x14ac:dyDescent="0.35">
      <c r="A97" s="738" t="s">
        <v>2017</v>
      </c>
      <c r="B97" s="740">
        <f>'[1]PLAN DE DESARROLLO 2024 - 2027'!$K$123</f>
        <v>0.26239975735212717</v>
      </c>
      <c r="C97" s="738" t="s">
        <v>2025</v>
      </c>
      <c r="D97" s="740">
        <f>'[1]PLAN DE DESARROLLO 2024 - 2027'!$K$153</f>
        <v>0.34122708333333335</v>
      </c>
      <c r="E97" s="738" t="s">
        <v>2038</v>
      </c>
      <c r="F97" s="741">
        <f>'[1]PLAN DE DESARROLLO 2024 - 2027'!$K$156</f>
        <v>0.434</v>
      </c>
      <c r="G97" s="738" t="s">
        <v>932</v>
      </c>
      <c r="H97" s="738" t="s">
        <v>1370</v>
      </c>
      <c r="I97" s="770">
        <f>+'Ciudad Conectada'!AK147</f>
        <v>1</v>
      </c>
      <c r="J97" s="738" t="s">
        <v>698</v>
      </c>
      <c r="K97" s="742" t="s">
        <v>1996</v>
      </c>
      <c r="P97" s="732"/>
    </row>
    <row r="98" spans="1:16" ht="29.4" thickBot="1" x14ac:dyDescent="0.35">
      <c r="A98" s="738" t="s">
        <v>2017</v>
      </c>
      <c r="B98" s="740">
        <f>'[1]PLAN DE DESARROLLO 2024 - 2027'!$K$123</f>
        <v>0.26239975735212717</v>
      </c>
      <c r="C98" s="738" t="s">
        <v>2025</v>
      </c>
      <c r="D98" s="740">
        <f>'[1]PLAN DE DESARROLLO 2024 - 2027'!$K$153</f>
        <v>0.34122708333333335</v>
      </c>
      <c r="E98" s="738" t="s">
        <v>2038</v>
      </c>
      <c r="F98" s="741">
        <f>'[1]PLAN DE DESARROLLO 2024 - 2027'!$K$156</f>
        <v>0.434</v>
      </c>
      <c r="G98" s="738" t="s">
        <v>933</v>
      </c>
      <c r="H98" s="738" t="s">
        <v>1371</v>
      </c>
      <c r="I98" s="770">
        <f>+'Ciudad Conectada'!AK148</f>
        <v>0.31000000000000005</v>
      </c>
      <c r="J98" s="738" t="s">
        <v>560</v>
      </c>
      <c r="K98" s="742" t="s">
        <v>1996</v>
      </c>
      <c r="P98" s="732"/>
    </row>
    <row r="99" spans="1:16" ht="29.4" thickBot="1" x14ac:dyDescent="0.35">
      <c r="A99" s="738" t="s">
        <v>2017</v>
      </c>
      <c r="B99" s="740">
        <f>'[1]PLAN DE DESARROLLO 2024 - 2027'!$K$123</f>
        <v>0.26239975735212717</v>
      </c>
      <c r="C99" s="738" t="s">
        <v>2025</v>
      </c>
      <c r="D99" s="740">
        <f>'[1]PLAN DE DESARROLLO 2024 - 2027'!$K$153</f>
        <v>0.34122708333333335</v>
      </c>
      <c r="E99" s="738" t="s">
        <v>2038</v>
      </c>
      <c r="F99" s="741">
        <f>'[1]PLAN DE DESARROLLO 2024 - 2027'!$K$156</f>
        <v>0.434</v>
      </c>
      <c r="G99" s="738" t="s">
        <v>934</v>
      </c>
      <c r="H99" s="738" t="s">
        <v>1372</v>
      </c>
      <c r="I99" s="770">
        <f>+'Ciudad Conectada'!AK149</f>
        <v>0</v>
      </c>
      <c r="J99" s="738" t="s">
        <v>2036</v>
      </c>
      <c r="K99" s="742" t="s">
        <v>1996</v>
      </c>
      <c r="P99" s="732"/>
    </row>
    <row r="100" spans="1:16" ht="29.4" thickBot="1" x14ac:dyDescent="0.35">
      <c r="A100" s="738" t="s">
        <v>2017</v>
      </c>
      <c r="B100" s="740">
        <f>'[1]PLAN DE DESARROLLO 2024 - 2027'!$K$123</f>
        <v>0.26239975735212717</v>
      </c>
      <c r="C100" s="738" t="s">
        <v>2025</v>
      </c>
      <c r="D100" s="740">
        <f>'[1]PLAN DE DESARROLLO 2024 - 2027'!$K$153</f>
        <v>0.34122708333333335</v>
      </c>
      <c r="E100" s="738" t="s">
        <v>2040</v>
      </c>
      <c r="F100" s="741">
        <f>'[1]PLAN DE DESARROLLO 2024 - 2027'!$K$157</f>
        <v>0.13716666666666669</v>
      </c>
      <c r="G100" s="738" t="s">
        <v>935</v>
      </c>
      <c r="H100" s="738" t="s">
        <v>1373</v>
      </c>
      <c r="I100" s="770">
        <f>+'Ciudad Conectada'!AK151</f>
        <v>1</v>
      </c>
      <c r="J100" s="738" t="s">
        <v>698</v>
      </c>
      <c r="K100" s="742" t="s">
        <v>1996</v>
      </c>
      <c r="P100" s="732"/>
    </row>
    <row r="101" spans="1:16" ht="43.8" thickBot="1" x14ac:dyDescent="0.35">
      <c r="A101" s="738" t="s">
        <v>2017</v>
      </c>
      <c r="B101" s="740">
        <f>'[1]PLAN DE DESARROLLO 2024 - 2027'!$K$123</f>
        <v>0.26239975735212717</v>
      </c>
      <c r="C101" s="738" t="s">
        <v>2025</v>
      </c>
      <c r="D101" s="740">
        <f>'[1]PLAN DE DESARROLLO 2024 - 2027'!$K$153</f>
        <v>0.34122708333333335</v>
      </c>
      <c r="E101" s="738" t="s">
        <v>2040</v>
      </c>
      <c r="F101" s="741">
        <f>'[1]PLAN DE DESARROLLO 2024 - 2027'!$K$157</f>
        <v>0.13716666666666669</v>
      </c>
      <c r="G101" s="738" t="s">
        <v>937</v>
      </c>
      <c r="H101" s="738" t="s">
        <v>1374</v>
      </c>
      <c r="I101" s="770">
        <f>+'Ciudad Conectada'!AK152</f>
        <v>0.48</v>
      </c>
      <c r="J101" s="738" t="s">
        <v>698</v>
      </c>
      <c r="K101" s="742" t="s">
        <v>1996</v>
      </c>
      <c r="P101" s="732"/>
    </row>
    <row r="102" spans="1:16" ht="29.4" thickBot="1" x14ac:dyDescent="0.35">
      <c r="A102" s="738" t="s">
        <v>2017</v>
      </c>
      <c r="B102" s="740">
        <f>'[1]PLAN DE DESARROLLO 2024 - 2027'!$K$123</f>
        <v>0.26239975735212717</v>
      </c>
      <c r="C102" s="738" t="s">
        <v>2025</v>
      </c>
      <c r="D102" s="740">
        <f>'[1]PLAN DE DESARROLLO 2024 - 2027'!$K$153</f>
        <v>0.34122708333333335</v>
      </c>
      <c r="E102" s="738" t="s">
        <v>2040</v>
      </c>
      <c r="F102" s="741">
        <f>'[1]PLAN DE DESARROLLO 2024 - 2027'!$K$157</f>
        <v>0.13716666666666669</v>
      </c>
      <c r="G102" s="738" t="s">
        <v>938</v>
      </c>
      <c r="H102" s="738" t="s">
        <v>1375</v>
      </c>
      <c r="I102" s="770">
        <f>+'Ciudad Conectada'!AK153</f>
        <v>0.75</v>
      </c>
      <c r="J102" s="738" t="s">
        <v>698</v>
      </c>
      <c r="K102" s="742" t="s">
        <v>1996</v>
      </c>
      <c r="P102" s="732"/>
    </row>
    <row r="103" spans="1:16" ht="29.4" thickBot="1" x14ac:dyDescent="0.35">
      <c r="A103" s="738" t="s">
        <v>2017</v>
      </c>
      <c r="B103" s="740">
        <f>'[1]PLAN DE DESARROLLO 2024 - 2027'!$K$123</f>
        <v>0.26239975735212717</v>
      </c>
      <c r="C103" s="738" t="s">
        <v>2025</v>
      </c>
      <c r="D103" s="740">
        <f>'[1]PLAN DE DESARROLLO 2024 - 2027'!$K$153</f>
        <v>0.34122708333333335</v>
      </c>
      <c r="E103" s="738" t="s">
        <v>2040</v>
      </c>
      <c r="F103" s="741">
        <f>'[1]PLAN DE DESARROLLO 2024 - 2027'!$K$157</f>
        <v>0.13716666666666669</v>
      </c>
      <c r="G103" s="738" t="s">
        <v>939</v>
      </c>
      <c r="H103" s="738" t="s">
        <v>1376</v>
      </c>
      <c r="I103" s="770">
        <f>+'Ciudad Conectada'!AK154</f>
        <v>0.7</v>
      </c>
      <c r="J103" s="738" t="s">
        <v>560</v>
      </c>
      <c r="K103" s="742" t="s">
        <v>1996</v>
      </c>
      <c r="P103" s="732"/>
    </row>
    <row r="104" spans="1:16" ht="29.4" thickBot="1" x14ac:dyDescent="0.35">
      <c r="A104" s="738" t="s">
        <v>2017</v>
      </c>
      <c r="B104" s="740">
        <f>'[1]PLAN DE DESARROLLO 2024 - 2027'!$K$123</f>
        <v>0.26239975735212717</v>
      </c>
      <c r="C104" s="738" t="s">
        <v>2025</v>
      </c>
      <c r="D104" s="740">
        <f>'[1]PLAN DE DESARROLLO 2024 - 2027'!$K$153</f>
        <v>0.34122708333333335</v>
      </c>
      <c r="E104" s="738" t="s">
        <v>2040</v>
      </c>
      <c r="F104" s="741">
        <f>'[1]PLAN DE DESARROLLO 2024 - 2027'!$K$157</f>
        <v>0.13716666666666669</v>
      </c>
      <c r="G104" s="738" t="s">
        <v>940</v>
      </c>
      <c r="H104" s="738" t="s">
        <v>1377</v>
      </c>
      <c r="I104" s="770">
        <f>+'Ciudad Conectada'!AK155</f>
        <v>0</v>
      </c>
      <c r="J104" s="738" t="s">
        <v>560</v>
      </c>
      <c r="K104" s="742" t="s">
        <v>1996</v>
      </c>
      <c r="P104" s="732"/>
    </row>
    <row r="105" spans="1:16" ht="15" thickBot="1" x14ac:dyDescent="0.35">
      <c r="A105" s="738" t="s">
        <v>2017</v>
      </c>
      <c r="B105" s="740">
        <f>'[1]PLAN DE DESARROLLO 2024 - 2027'!$K$123</f>
        <v>0.26239975735212717</v>
      </c>
      <c r="C105" s="738" t="s">
        <v>2025</v>
      </c>
      <c r="D105" s="740">
        <f>'[1]PLAN DE DESARROLLO 2024 - 2027'!$K$153</f>
        <v>0.34122708333333335</v>
      </c>
      <c r="E105" s="738" t="s">
        <v>2040</v>
      </c>
      <c r="F105" s="741">
        <f>'[1]PLAN DE DESARROLLO 2024 - 2027'!$K$157</f>
        <v>0.13716666666666669</v>
      </c>
      <c r="G105" s="738" t="s">
        <v>941</v>
      </c>
      <c r="H105" s="738" t="s">
        <v>1378</v>
      </c>
      <c r="I105" s="770">
        <f>+'Ciudad Conectada'!AK156</f>
        <v>8.3333333333333329E-2</v>
      </c>
      <c r="J105" s="738" t="s">
        <v>560</v>
      </c>
      <c r="K105" s="742" t="s">
        <v>1996</v>
      </c>
      <c r="P105" s="732"/>
    </row>
    <row r="106" spans="1:16" ht="42.6" customHeight="1" thickBot="1" x14ac:dyDescent="0.35">
      <c r="A106" s="738" t="s">
        <v>2017</v>
      </c>
      <c r="B106" s="740">
        <f>'[1]PLAN DE DESARROLLO 2024 - 2027'!$K$123</f>
        <v>0.26239975735212717</v>
      </c>
      <c r="C106" s="738" t="s">
        <v>2025</v>
      </c>
      <c r="D106" s="740">
        <f>'[1]PLAN DE DESARROLLO 2024 - 2027'!$K$153</f>
        <v>0.34122708333333335</v>
      </c>
      <c r="E106" s="738" t="s">
        <v>2040</v>
      </c>
      <c r="F106" s="741">
        <f>'[1]PLAN DE DESARROLLO 2024 - 2027'!$K$157</f>
        <v>0.13716666666666669</v>
      </c>
      <c r="G106" s="738" t="s">
        <v>942</v>
      </c>
      <c r="H106" s="738" t="s">
        <v>1379</v>
      </c>
      <c r="I106" s="770">
        <f>+'Ciudad Conectada'!AK157</f>
        <v>0.15000000000000002</v>
      </c>
      <c r="J106" s="738" t="s">
        <v>560</v>
      </c>
      <c r="K106" s="742" t="s">
        <v>1996</v>
      </c>
      <c r="P106" s="732"/>
    </row>
    <row r="107" spans="1:16" ht="29.4" thickBot="1" x14ac:dyDescent="0.35">
      <c r="A107" s="738" t="s">
        <v>2017</v>
      </c>
      <c r="B107" s="740">
        <f>'[1]PLAN DE DESARROLLO 2024 - 2027'!$K$123</f>
        <v>0.26239975735212717</v>
      </c>
      <c r="C107" s="738" t="s">
        <v>2025</v>
      </c>
      <c r="D107" s="740">
        <f>'[1]PLAN DE DESARROLLO 2024 - 2027'!$K$153</f>
        <v>0.34122708333333335</v>
      </c>
      <c r="E107" s="738" t="s">
        <v>2040</v>
      </c>
      <c r="F107" s="741">
        <f>'[1]PLAN DE DESARROLLO 2024 - 2027'!$K$157</f>
        <v>0.13716666666666669</v>
      </c>
      <c r="G107" s="738" t="s">
        <v>943</v>
      </c>
      <c r="H107" s="738" t="s">
        <v>1380</v>
      </c>
      <c r="I107" s="771">
        <f>+'Ciudad Conectada'!AK158</f>
        <v>0</v>
      </c>
      <c r="J107" s="738" t="s">
        <v>560</v>
      </c>
      <c r="K107" s="742" t="s">
        <v>1996</v>
      </c>
      <c r="P107" s="732"/>
    </row>
    <row r="108" spans="1:16" ht="29.4" thickBot="1" x14ac:dyDescent="0.35">
      <c r="A108" s="738" t="s">
        <v>2017</v>
      </c>
      <c r="B108" s="740">
        <f>'[1]PLAN DE DESARROLLO 2024 - 2027'!$K$123</f>
        <v>0.26239975735212717</v>
      </c>
      <c r="C108" s="738" t="s">
        <v>2041</v>
      </c>
      <c r="D108" s="741">
        <f>'[1]PLAN DE DESARROLLO 2024 - 2027'!$K$124</f>
        <v>0.27085566891891893</v>
      </c>
      <c r="E108" s="738" t="s">
        <v>1803</v>
      </c>
      <c r="F108" s="741">
        <f>'[1]PLAN DE DESARROLLO 2024 - 2027'!$K$125</f>
        <v>0.2578125</v>
      </c>
      <c r="G108" s="738" t="s">
        <v>799</v>
      </c>
      <c r="H108" s="738" t="s">
        <v>1262</v>
      </c>
      <c r="I108" s="770">
        <f>+'Ciudad Conectada'!AK6</f>
        <v>0.69934000000000007</v>
      </c>
      <c r="J108" s="738" t="s">
        <v>560</v>
      </c>
      <c r="K108" s="742" t="s">
        <v>1996</v>
      </c>
      <c r="P108" s="732"/>
    </row>
    <row r="109" spans="1:16" ht="43.8" thickBot="1" x14ac:dyDescent="0.35">
      <c r="A109" s="738" t="s">
        <v>2017</v>
      </c>
      <c r="B109" s="740">
        <f>'[1]PLAN DE DESARROLLO 2024 - 2027'!$K$123</f>
        <v>0.26239975735212717</v>
      </c>
      <c r="C109" s="738" t="s">
        <v>2041</v>
      </c>
      <c r="D109" s="741">
        <f>'[1]PLAN DE DESARROLLO 2024 - 2027'!$K$124</f>
        <v>0.27085566891891893</v>
      </c>
      <c r="E109" s="738" t="s">
        <v>1803</v>
      </c>
      <c r="F109" s="741">
        <f>'[1]PLAN DE DESARROLLO 2024 - 2027'!$K$125</f>
        <v>0.2578125</v>
      </c>
      <c r="G109" s="738" t="s">
        <v>800</v>
      </c>
      <c r="H109" s="738" t="s">
        <v>1263</v>
      </c>
      <c r="I109" s="770">
        <f>+'Ciudad Conectada'!AK7</f>
        <v>0.86899999999999999</v>
      </c>
      <c r="J109" s="738" t="s">
        <v>560</v>
      </c>
      <c r="K109" s="742" t="s">
        <v>1996</v>
      </c>
      <c r="P109" s="732"/>
    </row>
    <row r="110" spans="1:16" ht="29.4" thickBot="1" x14ac:dyDescent="0.35">
      <c r="A110" s="738" t="s">
        <v>2017</v>
      </c>
      <c r="B110" s="740">
        <f>'[1]PLAN DE DESARROLLO 2024 - 2027'!$K$123</f>
        <v>0.26239975735212717</v>
      </c>
      <c r="C110" s="738" t="s">
        <v>2041</v>
      </c>
      <c r="D110" s="741">
        <f>'[1]PLAN DE DESARROLLO 2024 - 2027'!$K$124</f>
        <v>0.27085566891891893</v>
      </c>
      <c r="E110" s="738" t="s">
        <v>1803</v>
      </c>
      <c r="F110" s="741">
        <f>'[1]PLAN DE DESARROLLO 2024 - 2027'!$K$125</f>
        <v>0.2578125</v>
      </c>
      <c r="G110" s="738" t="s">
        <v>801</v>
      </c>
      <c r="H110" s="738" t="s">
        <v>1264</v>
      </c>
      <c r="I110" s="771">
        <f>+'Ciudad Conectada'!AK8</f>
        <v>0.1278</v>
      </c>
      <c r="J110" s="738" t="s">
        <v>2042</v>
      </c>
      <c r="K110" s="742" t="s">
        <v>1996</v>
      </c>
      <c r="P110" s="732"/>
    </row>
    <row r="111" spans="1:16" ht="29.4" thickBot="1" x14ac:dyDescent="0.35">
      <c r="A111" s="738" t="s">
        <v>2017</v>
      </c>
      <c r="B111" s="740">
        <f>'[1]PLAN DE DESARROLLO 2024 - 2027'!$K$123</f>
        <v>0.26239975735212717</v>
      </c>
      <c r="C111" s="738" t="s">
        <v>2041</v>
      </c>
      <c r="D111" s="741">
        <f>'[1]PLAN DE DESARROLLO 2024 - 2027'!$K$124</f>
        <v>0.27085566891891893</v>
      </c>
      <c r="E111" s="738" t="s">
        <v>1803</v>
      </c>
      <c r="F111" s="741">
        <f>'[1]PLAN DE DESARROLLO 2024 - 2027'!$K$125</f>
        <v>0.2578125</v>
      </c>
      <c r="G111" s="738" t="s">
        <v>803</v>
      </c>
      <c r="H111" s="738" t="s">
        <v>1265</v>
      </c>
      <c r="I111" s="771">
        <f>+'Ciudad Conectada'!AK9</f>
        <v>0</v>
      </c>
      <c r="J111" s="738" t="s">
        <v>560</v>
      </c>
      <c r="K111" s="742" t="s">
        <v>1996</v>
      </c>
      <c r="P111" s="732"/>
    </row>
    <row r="112" spans="1:16" ht="58.2" thickBot="1" x14ac:dyDescent="0.35">
      <c r="A112" s="738" t="s">
        <v>2017</v>
      </c>
      <c r="B112" s="740">
        <f>'[1]PLAN DE DESARROLLO 2024 - 2027'!$K$123</f>
        <v>0.26239975735212717</v>
      </c>
      <c r="C112" s="738" t="s">
        <v>2041</v>
      </c>
      <c r="D112" s="741">
        <f>'[1]PLAN DE DESARROLLO 2024 - 2027'!$K$124</f>
        <v>0.27085566891891893</v>
      </c>
      <c r="E112" s="738" t="s">
        <v>1803</v>
      </c>
      <c r="F112" s="741">
        <f>'[1]PLAN DE DESARROLLO 2024 - 2027'!$K$125</f>
        <v>0.2578125</v>
      </c>
      <c r="G112" s="738" t="s">
        <v>804</v>
      </c>
      <c r="H112" s="738" t="s">
        <v>1266</v>
      </c>
      <c r="I112" s="771">
        <f>+'Ciudad Conectada'!AK10</f>
        <v>0</v>
      </c>
      <c r="J112" s="738" t="s">
        <v>560</v>
      </c>
      <c r="K112" s="742" t="s">
        <v>1996</v>
      </c>
      <c r="P112" s="732"/>
    </row>
    <row r="113" spans="1:16" ht="29.4" thickBot="1" x14ac:dyDescent="0.35">
      <c r="A113" s="738" t="s">
        <v>2017</v>
      </c>
      <c r="B113" s="740">
        <f>'[1]PLAN DE DESARROLLO 2024 - 2027'!$K$123</f>
        <v>0.26239975735212717</v>
      </c>
      <c r="C113" s="738" t="s">
        <v>2041</v>
      </c>
      <c r="D113" s="741">
        <f>'[1]PLAN DE DESARROLLO 2024 - 2027'!$K$124</f>
        <v>0.27085566891891893</v>
      </c>
      <c r="E113" s="738" t="s">
        <v>1803</v>
      </c>
      <c r="F113" s="741">
        <f>'[1]PLAN DE DESARROLLO 2024 - 2027'!$K$125</f>
        <v>0.2578125</v>
      </c>
      <c r="G113" s="738" t="s">
        <v>805</v>
      </c>
      <c r="H113" s="738" t="s">
        <v>1267</v>
      </c>
      <c r="I113" s="771">
        <f>+'Ciudad Conectada'!AK11</f>
        <v>0</v>
      </c>
      <c r="J113" s="738" t="s">
        <v>560</v>
      </c>
      <c r="K113" s="742" t="s">
        <v>1996</v>
      </c>
      <c r="P113" s="732"/>
    </row>
    <row r="114" spans="1:16" ht="29.4" thickBot="1" x14ac:dyDescent="0.35">
      <c r="A114" s="738" t="s">
        <v>2017</v>
      </c>
      <c r="B114" s="740">
        <f>'[1]PLAN DE DESARROLLO 2024 - 2027'!$K$123</f>
        <v>0.26239975735212717</v>
      </c>
      <c r="C114" s="738" t="s">
        <v>2041</v>
      </c>
      <c r="D114" s="741">
        <f>'[1]PLAN DE DESARROLLO 2024 - 2027'!$K$124</f>
        <v>0.27085566891891893</v>
      </c>
      <c r="E114" s="738" t="s">
        <v>1803</v>
      </c>
      <c r="F114" s="741">
        <f>'[1]PLAN DE DESARROLLO 2024 - 2027'!$K$125</f>
        <v>0.2578125</v>
      </c>
      <c r="G114" s="738" t="s">
        <v>806</v>
      </c>
      <c r="H114" s="738" t="s">
        <v>1268</v>
      </c>
      <c r="I114" s="771">
        <f>+'Ciudad Conectada'!AK12</f>
        <v>0.1</v>
      </c>
      <c r="J114" s="738" t="s">
        <v>560</v>
      </c>
      <c r="K114" s="742" t="s">
        <v>1996</v>
      </c>
      <c r="P114" s="732"/>
    </row>
    <row r="115" spans="1:16" ht="29.4" thickBot="1" x14ac:dyDescent="0.35">
      <c r="A115" s="738" t="s">
        <v>2017</v>
      </c>
      <c r="B115" s="740">
        <f>'[1]PLAN DE DESARROLLO 2024 - 2027'!$K$123</f>
        <v>0.26239975735212717</v>
      </c>
      <c r="C115" s="738" t="s">
        <v>2041</v>
      </c>
      <c r="D115" s="741">
        <f>'[1]PLAN DE DESARROLLO 2024 - 2027'!$K$124</f>
        <v>0.27085566891891893</v>
      </c>
      <c r="E115" s="738" t="s">
        <v>1803</v>
      </c>
      <c r="F115" s="741">
        <f>'[1]PLAN DE DESARROLLO 2024 - 2027'!$K$125</f>
        <v>0.2578125</v>
      </c>
      <c r="G115" s="738" t="s">
        <v>807</v>
      </c>
      <c r="H115" s="738" t="s">
        <v>1269</v>
      </c>
      <c r="I115" s="770">
        <f>+'Ciudad Conectada'!AK13</f>
        <v>0.30000000000000004</v>
      </c>
      <c r="J115" s="738" t="s">
        <v>560</v>
      </c>
      <c r="K115" s="742" t="s">
        <v>1996</v>
      </c>
      <c r="P115" s="732"/>
    </row>
    <row r="116" spans="1:16" ht="29.4" thickBot="1" x14ac:dyDescent="0.35">
      <c r="A116" s="738" t="s">
        <v>2017</v>
      </c>
      <c r="B116" s="740">
        <f>'[1]PLAN DE DESARROLLO 2024 - 2027'!$K$123</f>
        <v>0.26239975735212717</v>
      </c>
      <c r="C116" s="738" t="s">
        <v>2041</v>
      </c>
      <c r="D116" s="741">
        <f>'[1]PLAN DE DESARROLLO 2024 - 2027'!$K$124</f>
        <v>0.27085566891891893</v>
      </c>
      <c r="E116" s="738" t="s">
        <v>1803</v>
      </c>
      <c r="F116" s="741">
        <f>'[1]PLAN DE DESARROLLO 2024 - 2027'!$K$125</f>
        <v>0.2578125</v>
      </c>
      <c r="G116" s="738" t="s">
        <v>808</v>
      </c>
      <c r="H116" s="738" t="s">
        <v>1270</v>
      </c>
      <c r="I116" s="770">
        <f>+'Ciudad Conectada'!AK14</f>
        <v>0.23166666666666666</v>
      </c>
      <c r="J116" s="738" t="s">
        <v>560</v>
      </c>
      <c r="K116" s="742" t="s">
        <v>1996</v>
      </c>
      <c r="P116" s="732"/>
    </row>
    <row r="117" spans="1:16" ht="43.8" thickBot="1" x14ac:dyDescent="0.35">
      <c r="A117" s="738" t="s">
        <v>2017</v>
      </c>
      <c r="B117" s="740">
        <f>'[1]PLAN DE DESARROLLO 2024 - 2027'!$K$123</f>
        <v>0.26239975735212717</v>
      </c>
      <c r="C117" s="738" t="s">
        <v>2041</v>
      </c>
      <c r="D117" s="741">
        <f>'[1]PLAN DE DESARROLLO 2024 - 2027'!$K$124</f>
        <v>0.27085566891891893</v>
      </c>
      <c r="E117" s="738" t="s">
        <v>1803</v>
      </c>
      <c r="F117" s="741">
        <f>'[1]PLAN DE DESARROLLO 2024 - 2027'!$K$125</f>
        <v>0.2578125</v>
      </c>
      <c r="G117" s="738" t="s">
        <v>809</v>
      </c>
      <c r="H117" s="738" t="s">
        <v>1271</v>
      </c>
      <c r="I117" s="770">
        <f>+'Ciudad Conectada'!AK15</f>
        <v>0.2</v>
      </c>
      <c r="J117" s="738" t="s">
        <v>560</v>
      </c>
      <c r="K117" s="742" t="s">
        <v>1996</v>
      </c>
      <c r="P117" s="732"/>
    </row>
    <row r="118" spans="1:16" ht="29.4" thickBot="1" x14ac:dyDescent="0.35">
      <c r="A118" s="738" t="s">
        <v>2017</v>
      </c>
      <c r="B118" s="740">
        <f>'[1]PLAN DE DESARROLLO 2024 - 2027'!$K$123</f>
        <v>0.26239975735212717</v>
      </c>
      <c r="C118" s="738" t="s">
        <v>2041</v>
      </c>
      <c r="D118" s="741">
        <f>'[1]PLAN DE DESARROLLO 2024 - 2027'!$K$124</f>
        <v>0.27085566891891893</v>
      </c>
      <c r="E118" s="738" t="s">
        <v>1803</v>
      </c>
      <c r="F118" s="741">
        <f>'[1]PLAN DE DESARROLLO 2024 - 2027'!$K$125</f>
        <v>0.2578125</v>
      </c>
      <c r="G118" s="738" t="s">
        <v>810</v>
      </c>
      <c r="H118" s="738" t="s">
        <v>1272</v>
      </c>
      <c r="I118" s="770">
        <f>+'Ciudad Conectada'!AK16</f>
        <v>0.2</v>
      </c>
      <c r="J118" s="738" t="s">
        <v>2027</v>
      </c>
      <c r="K118" s="742" t="s">
        <v>1996</v>
      </c>
      <c r="P118" s="732"/>
    </row>
    <row r="119" spans="1:16" ht="29.4" thickBot="1" x14ac:dyDescent="0.35">
      <c r="A119" s="738" t="s">
        <v>2017</v>
      </c>
      <c r="B119" s="740">
        <f>'[1]PLAN DE DESARROLLO 2024 - 2027'!$K$123</f>
        <v>0.26239975735212717</v>
      </c>
      <c r="C119" s="738" t="s">
        <v>2041</v>
      </c>
      <c r="D119" s="741">
        <f>'[1]PLAN DE DESARROLLO 2024 - 2027'!$K$124</f>
        <v>0.27085566891891893</v>
      </c>
      <c r="E119" s="738" t="s">
        <v>1803</v>
      </c>
      <c r="F119" s="741">
        <f>'[1]PLAN DE DESARROLLO 2024 - 2027'!$K$125</f>
        <v>0.2578125</v>
      </c>
      <c r="G119" s="738" t="s">
        <v>812</v>
      </c>
      <c r="H119" s="738" t="s">
        <v>1273</v>
      </c>
      <c r="I119" s="770">
        <f>+'Ciudad Conectada'!AK17</f>
        <v>0.5625</v>
      </c>
      <c r="J119" s="738" t="s">
        <v>2027</v>
      </c>
      <c r="K119" s="742" t="s">
        <v>1996</v>
      </c>
      <c r="P119" s="732"/>
    </row>
    <row r="120" spans="1:16" ht="29.4" thickBot="1" x14ac:dyDescent="0.35">
      <c r="A120" s="738" t="s">
        <v>2017</v>
      </c>
      <c r="B120" s="740">
        <f>'[1]PLAN DE DESARROLLO 2024 - 2027'!$K$123</f>
        <v>0.26239975735212717</v>
      </c>
      <c r="C120" s="738" t="s">
        <v>2041</v>
      </c>
      <c r="D120" s="741">
        <f>'[1]PLAN DE DESARROLLO 2024 - 2027'!$K$124</f>
        <v>0.27085566891891893</v>
      </c>
      <c r="E120" s="738" t="s">
        <v>1803</v>
      </c>
      <c r="F120" s="741">
        <f>'[1]PLAN DE DESARROLLO 2024 - 2027'!$K$125</f>
        <v>0.2578125</v>
      </c>
      <c r="G120" s="738" t="s">
        <v>813</v>
      </c>
      <c r="H120" s="738" t="s">
        <v>1274</v>
      </c>
      <c r="I120" s="770">
        <f>+'Ciudad Conectada'!AK18</f>
        <v>0.43000000000000005</v>
      </c>
      <c r="J120" s="738" t="s">
        <v>2027</v>
      </c>
      <c r="K120" s="742" t="s">
        <v>1996</v>
      </c>
      <c r="P120" s="732"/>
    </row>
    <row r="121" spans="1:16" ht="43.8" thickBot="1" x14ac:dyDescent="0.35">
      <c r="A121" s="738" t="s">
        <v>2017</v>
      </c>
      <c r="B121" s="740">
        <f>'[1]PLAN DE DESARROLLO 2024 - 2027'!$K$123</f>
        <v>0.26239975735212717</v>
      </c>
      <c r="C121" s="738" t="s">
        <v>2041</v>
      </c>
      <c r="D121" s="741">
        <f>'[1]PLAN DE DESARROLLO 2024 - 2027'!$K$124</f>
        <v>0.27085566891891893</v>
      </c>
      <c r="E121" s="738" t="s">
        <v>1803</v>
      </c>
      <c r="F121" s="741">
        <f>'[1]PLAN DE DESARROLLO 2024 - 2027'!$K$125</f>
        <v>0.2578125</v>
      </c>
      <c r="G121" s="738" t="s">
        <v>814</v>
      </c>
      <c r="H121" s="738" t="s">
        <v>1275</v>
      </c>
      <c r="I121" s="771">
        <f>+'Ciudad Conectada'!AK19</f>
        <v>0.30352857142857143</v>
      </c>
      <c r="J121" s="738" t="s">
        <v>2027</v>
      </c>
      <c r="K121" s="742" t="s">
        <v>1996</v>
      </c>
      <c r="P121" s="732"/>
    </row>
    <row r="122" spans="1:16" ht="29.4" thickBot="1" x14ac:dyDescent="0.35">
      <c r="A122" s="738" t="s">
        <v>2017</v>
      </c>
      <c r="B122" s="740">
        <f>'[1]PLAN DE DESARROLLO 2024 - 2027'!$K$123</f>
        <v>0.26239975735212717</v>
      </c>
      <c r="C122" s="738" t="s">
        <v>2041</v>
      </c>
      <c r="D122" s="741">
        <f>'[1]PLAN DE DESARROLLO 2024 - 2027'!$K$124</f>
        <v>0.27085566891891893</v>
      </c>
      <c r="E122" s="738" t="s">
        <v>1803</v>
      </c>
      <c r="F122" s="741">
        <f>'[1]PLAN DE DESARROLLO 2024 - 2027'!$K$125</f>
        <v>0.2578125</v>
      </c>
      <c r="G122" s="738" t="s">
        <v>815</v>
      </c>
      <c r="H122" s="738" t="s">
        <v>1276</v>
      </c>
      <c r="I122" s="771">
        <f>+'Ciudad Conectada'!AK20</f>
        <v>0.375</v>
      </c>
      <c r="J122" s="738" t="s">
        <v>560</v>
      </c>
      <c r="K122" s="742" t="s">
        <v>1996</v>
      </c>
      <c r="P122" s="732"/>
    </row>
    <row r="123" spans="1:16" ht="24.6" customHeight="1" thickBot="1" x14ac:dyDescent="0.35">
      <c r="A123" s="738" t="s">
        <v>2017</v>
      </c>
      <c r="B123" s="740">
        <f>'[1]PLAN DE DESARROLLO 2024 - 2027'!$K$123</f>
        <v>0.26239975735212717</v>
      </c>
      <c r="C123" s="738" t="s">
        <v>2041</v>
      </c>
      <c r="D123" s="741">
        <f>'[1]PLAN DE DESARROLLO 2024 - 2027'!$K$124</f>
        <v>0.27085566891891893</v>
      </c>
      <c r="E123" s="738" t="s">
        <v>1803</v>
      </c>
      <c r="F123" s="741">
        <f>'[1]PLAN DE DESARROLLO 2024 - 2027'!$K$125</f>
        <v>0.2578125</v>
      </c>
      <c r="G123" s="738" t="s">
        <v>816</v>
      </c>
      <c r="H123" s="738" t="s">
        <v>1277</v>
      </c>
      <c r="I123" s="771">
        <f>+'Ciudad Conectada'!AK21</f>
        <v>0</v>
      </c>
      <c r="J123" s="738" t="s">
        <v>560</v>
      </c>
      <c r="K123" s="742" t="s">
        <v>1996</v>
      </c>
      <c r="P123" s="732"/>
    </row>
    <row r="124" spans="1:16" ht="29.4" thickBot="1" x14ac:dyDescent="0.35">
      <c r="A124" s="738" t="s">
        <v>2017</v>
      </c>
      <c r="B124" s="740">
        <f>'[1]PLAN DE DESARROLLO 2024 - 2027'!$K$123</f>
        <v>0.26239975735212717</v>
      </c>
      <c r="C124" s="738" t="s">
        <v>2041</v>
      </c>
      <c r="D124" s="741">
        <f>'[1]PLAN DE DESARROLLO 2024 - 2027'!$K$124</f>
        <v>0.27085566891891893</v>
      </c>
      <c r="E124" s="738" t="s">
        <v>2043</v>
      </c>
      <c r="F124" s="741">
        <f>'[1]PLAN DE DESARROLLO 2024 - 2027'!$K$126</f>
        <v>0.28389883783783787</v>
      </c>
      <c r="G124" s="738" t="s">
        <v>817</v>
      </c>
      <c r="H124" s="738" t="s">
        <v>1278</v>
      </c>
      <c r="I124" s="770">
        <f>+'Ciudad Conectada'!AK23</f>
        <v>1</v>
      </c>
      <c r="J124" s="738" t="s">
        <v>1540</v>
      </c>
      <c r="K124" s="742" t="s">
        <v>1996</v>
      </c>
      <c r="P124" s="732"/>
    </row>
    <row r="125" spans="1:16" ht="29.4" thickBot="1" x14ac:dyDescent="0.35">
      <c r="A125" s="738" t="s">
        <v>2017</v>
      </c>
      <c r="B125" s="740">
        <f>'[1]PLAN DE DESARROLLO 2024 - 2027'!$K$123</f>
        <v>0.26239975735212717</v>
      </c>
      <c r="C125" s="738" t="s">
        <v>2041</v>
      </c>
      <c r="D125" s="741">
        <f>'[1]PLAN DE DESARROLLO 2024 - 2027'!$K$124</f>
        <v>0.27085566891891893</v>
      </c>
      <c r="E125" s="738" t="s">
        <v>2043</v>
      </c>
      <c r="F125" s="741">
        <f>'[1]PLAN DE DESARROLLO 2024 - 2027'!$K$126</f>
        <v>0.28389883783783787</v>
      </c>
      <c r="G125" s="738" t="s">
        <v>819</v>
      </c>
      <c r="H125" s="738" t="s">
        <v>1279</v>
      </c>
      <c r="I125" s="771">
        <f>+'Ciudad Conectada'!AK24</f>
        <v>0</v>
      </c>
      <c r="J125" s="738" t="s">
        <v>1540</v>
      </c>
      <c r="K125" s="742" t="s">
        <v>1996</v>
      </c>
      <c r="P125" s="732"/>
    </row>
    <row r="126" spans="1:16" ht="29.4" thickBot="1" x14ac:dyDescent="0.35">
      <c r="A126" s="738" t="s">
        <v>2017</v>
      </c>
      <c r="B126" s="740">
        <f>'[1]PLAN DE DESARROLLO 2024 - 2027'!$K$123</f>
        <v>0.26239975735212717</v>
      </c>
      <c r="C126" s="738" t="s">
        <v>2041</v>
      </c>
      <c r="D126" s="741">
        <f>'[1]PLAN DE DESARROLLO 2024 - 2027'!$K$124</f>
        <v>0.27085566891891893</v>
      </c>
      <c r="E126" s="738" t="s">
        <v>2043</v>
      </c>
      <c r="F126" s="741">
        <f>'[1]PLAN DE DESARROLLO 2024 - 2027'!$K$126</f>
        <v>0.28389883783783787</v>
      </c>
      <c r="G126" s="738" t="s">
        <v>820</v>
      </c>
      <c r="H126" s="738" t="s">
        <v>1280</v>
      </c>
      <c r="I126" s="770">
        <f>+'Ciudad Conectada'!AK25</f>
        <v>0.755</v>
      </c>
      <c r="J126" s="738" t="s">
        <v>1540</v>
      </c>
      <c r="K126" s="742" t="s">
        <v>1996</v>
      </c>
      <c r="P126" s="732"/>
    </row>
    <row r="127" spans="1:16" ht="29.4" thickBot="1" x14ac:dyDescent="0.35">
      <c r="A127" s="738" t="s">
        <v>2017</v>
      </c>
      <c r="B127" s="740">
        <f>'[1]PLAN DE DESARROLLO 2024 - 2027'!$K$123</f>
        <v>0.26239975735212717</v>
      </c>
      <c r="C127" s="738" t="s">
        <v>2044</v>
      </c>
      <c r="D127" s="741">
        <f>'[1]PLAN DE DESARROLLO 2024 - 2027'!$K$127</f>
        <v>0.20083333333333336</v>
      </c>
      <c r="E127" s="738" t="s">
        <v>2045</v>
      </c>
      <c r="F127" s="741">
        <f>'[1]PLAN DE DESARROLLO 2024 - 2027'!$K$128</f>
        <v>0.1</v>
      </c>
      <c r="G127" s="738" t="s">
        <v>821</v>
      </c>
      <c r="H127" s="738" t="s">
        <v>1281</v>
      </c>
      <c r="I127" s="771">
        <f>+'Ciudad Conectada'!AK28</f>
        <v>0.5</v>
      </c>
      <c r="J127" s="738" t="s">
        <v>560</v>
      </c>
      <c r="K127" s="742" t="s">
        <v>1996</v>
      </c>
      <c r="P127" s="732"/>
    </row>
    <row r="128" spans="1:16" ht="29.4" thickBot="1" x14ac:dyDescent="0.35">
      <c r="A128" s="738" t="s">
        <v>2017</v>
      </c>
      <c r="B128" s="740">
        <f>'[1]PLAN DE DESARROLLO 2024 - 2027'!$K$123</f>
        <v>0.26239975735212717</v>
      </c>
      <c r="C128" s="738" t="s">
        <v>2044</v>
      </c>
      <c r="D128" s="741">
        <f>'[1]PLAN DE DESARROLLO 2024 - 2027'!$K$127</f>
        <v>0.20083333333333336</v>
      </c>
      <c r="E128" s="738" t="s">
        <v>2045</v>
      </c>
      <c r="F128" s="741">
        <f>'[1]PLAN DE DESARROLLO 2024 - 2027'!$K$128</f>
        <v>0.1</v>
      </c>
      <c r="G128" s="738" t="s">
        <v>822</v>
      </c>
      <c r="H128" s="738" t="s">
        <v>1282</v>
      </c>
      <c r="I128" s="771">
        <f>+'Ciudad Conectada'!AK29</f>
        <v>0.75</v>
      </c>
      <c r="J128" s="738" t="s">
        <v>560</v>
      </c>
      <c r="K128" s="742" t="s">
        <v>1996</v>
      </c>
      <c r="P128" s="732"/>
    </row>
    <row r="129" spans="1:16" ht="29.4" thickBot="1" x14ac:dyDescent="0.35">
      <c r="A129" s="738" t="s">
        <v>2017</v>
      </c>
      <c r="B129" s="740">
        <f>'[1]PLAN DE DESARROLLO 2024 - 2027'!$K$123</f>
        <v>0.26239975735212717</v>
      </c>
      <c r="C129" s="738" t="s">
        <v>2044</v>
      </c>
      <c r="D129" s="741">
        <f>'[1]PLAN DE DESARROLLO 2024 - 2027'!$K$127</f>
        <v>0.20083333333333336</v>
      </c>
      <c r="E129" s="738" t="s">
        <v>2045</v>
      </c>
      <c r="F129" s="741">
        <f>'[1]PLAN DE DESARROLLO 2024 - 2027'!$K$128</f>
        <v>0.1</v>
      </c>
      <c r="G129" s="738" t="s">
        <v>823</v>
      </c>
      <c r="H129" s="738" t="s">
        <v>1283</v>
      </c>
      <c r="I129" s="771">
        <f>+'Ciudad Conectada'!AK30</f>
        <v>0.5</v>
      </c>
      <c r="J129" s="738" t="s">
        <v>560</v>
      </c>
      <c r="K129" s="742" t="s">
        <v>1996</v>
      </c>
      <c r="P129" s="732"/>
    </row>
    <row r="130" spans="1:16" ht="29.4" thickBot="1" x14ac:dyDescent="0.35">
      <c r="A130" s="738" t="s">
        <v>2017</v>
      </c>
      <c r="B130" s="740">
        <f>'[1]PLAN DE DESARROLLO 2024 - 2027'!$K$123</f>
        <v>0.26239975735212717</v>
      </c>
      <c r="C130" s="738" t="s">
        <v>2044</v>
      </c>
      <c r="D130" s="741">
        <f>'[1]PLAN DE DESARROLLO 2024 - 2027'!$K$127</f>
        <v>0.20083333333333336</v>
      </c>
      <c r="E130" s="738" t="s">
        <v>2045</v>
      </c>
      <c r="F130" s="741">
        <f>'[1]PLAN DE DESARROLLO 2024 - 2027'!$K$128</f>
        <v>0.1</v>
      </c>
      <c r="G130" s="738" t="s">
        <v>824</v>
      </c>
      <c r="H130" s="738" t="s">
        <v>1284</v>
      </c>
      <c r="I130" s="770">
        <f>+'Ciudad Conectada'!AK31</f>
        <v>1</v>
      </c>
      <c r="J130" s="738" t="s">
        <v>825</v>
      </c>
      <c r="K130" s="742" t="s">
        <v>1996</v>
      </c>
      <c r="P130" s="732"/>
    </row>
    <row r="131" spans="1:16" ht="29.4" thickBot="1" x14ac:dyDescent="0.35">
      <c r="A131" s="738" t="s">
        <v>2017</v>
      </c>
      <c r="B131" s="740">
        <f>'[1]PLAN DE DESARROLLO 2024 - 2027'!$K$123</f>
        <v>0.26239975735212717</v>
      </c>
      <c r="C131" s="738" t="s">
        <v>2044</v>
      </c>
      <c r="D131" s="741">
        <f>'[1]PLAN DE DESARROLLO 2024 - 2027'!$K$127</f>
        <v>0.20083333333333336</v>
      </c>
      <c r="E131" s="738" t="s">
        <v>2045</v>
      </c>
      <c r="F131" s="741">
        <f>'[1]PLAN DE DESARROLLO 2024 - 2027'!$K$128</f>
        <v>0.1</v>
      </c>
      <c r="G131" s="738" t="s">
        <v>826</v>
      </c>
      <c r="H131" s="738" t="s">
        <v>1285</v>
      </c>
      <c r="I131" s="771">
        <f>+'Ciudad Conectada'!AK32</f>
        <v>0</v>
      </c>
      <c r="J131" s="738" t="s">
        <v>560</v>
      </c>
      <c r="K131" s="742" t="s">
        <v>1996</v>
      </c>
      <c r="P131" s="732"/>
    </row>
    <row r="132" spans="1:16" ht="44.4" customHeight="1" thickBot="1" x14ac:dyDescent="0.35">
      <c r="A132" s="738" t="s">
        <v>2017</v>
      </c>
      <c r="B132" s="740">
        <f>'[1]PLAN DE DESARROLLO 2024 - 2027'!$K$123</f>
        <v>0.26239975735212717</v>
      </c>
      <c r="C132" s="738" t="s">
        <v>2044</v>
      </c>
      <c r="D132" s="741">
        <f>'[1]PLAN DE DESARROLLO 2024 - 2027'!$K$127</f>
        <v>0.20083333333333336</v>
      </c>
      <c r="E132" s="738" t="s">
        <v>2046</v>
      </c>
      <c r="F132" s="741">
        <f>'[1]PLAN DE DESARROLLO 2024 - 2027'!$K$129</f>
        <v>0.30166666666666669</v>
      </c>
      <c r="G132" s="738" t="s">
        <v>827</v>
      </c>
      <c r="H132" s="738" t="s">
        <v>1286</v>
      </c>
      <c r="I132" s="770">
        <f>+'Ciudad Conectada'!AK34</f>
        <v>0.53678571428571431</v>
      </c>
      <c r="J132" s="738" t="s">
        <v>560</v>
      </c>
      <c r="K132" s="742" t="s">
        <v>1996</v>
      </c>
      <c r="P132" s="732"/>
    </row>
    <row r="133" spans="1:16" ht="29.4" thickBot="1" x14ac:dyDescent="0.35">
      <c r="A133" s="738" t="s">
        <v>2017</v>
      </c>
      <c r="B133" s="740">
        <f>'[1]PLAN DE DESARROLLO 2024 - 2027'!$K$123</f>
        <v>0.26239975735212717</v>
      </c>
      <c r="C133" s="738" t="s">
        <v>2044</v>
      </c>
      <c r="D133" s="741">
        <f>'[1]PLAN DE DESARROLLO 2024 - 2027'!$K$127</f>
        <v>0.20083333333333336</v>
      </c>
      <c r="E133" s="738" t="s">
        <v>2046</v>
      </c>
      <c r="F133" s="741">
        <f>'[1]PLAN DE DESARROLLO 2024 - 2027'!$K$129</f>
        <v>0.30166666666666669</v>
      </c>
      <c r="G133" s="738" t="s">
        <v>828</v>
      </c>
      <c r="H133" s="738" t="s">
        <v>1287</v>
      </c>
      <c r="I133" s="771">
        <f>+'Ciudad Conectada'!AK35</f>
        <v>0</v>
      </c>
      <c r="J133" s="738" t="s">
        <v>560</v>
      </c>
      <c r="K133" s="742" t="s">
        <v>1996</v>
      </c>
      <c r="P133" s="732"/>
    </row>
    <row r="134" spans="1:16" ht="29.4" thickBot="1" x14ac:dyDescent="0.35">
      <c r="A134" s="738" t="s">
        <v>2017</v>
      </c>
      <c r="B134" s="740">
        <f>'[1]PLAN DE DESARROLLO 2024 - 2027'!$K$123</f>
        <v>0.26239975735212717</v>
      </c>
      <c r="C134" s="738" t="s">
        <v>2044</v>
      </c>
      <c r="D134" s="741">
        <f>'[1]PLAN DE DESARROLLO 2024 - 2027'!$K$127</f>
        <v>0.20083333333333336</v>
      </c>
      <c r="E134" s="738" t="s">
        <v>2046</v>
      </c>
      <c r="F134" s="741">
        <f>'[1]PLAN DE DESARROLLO 2024 - 2027'!$K$129</f>
        <v>0.30166666666666669</v>
      </c>
      <c r="G134" s="738" t="s">
        <v>829</v>
      </c>
      <c r="H134" s="738" t="s">
        <v>1288</v>
      </c>
      <c r="I134" s="770">
        <f>+'Ciudad Conectada'!AK36</f>
        <v>0.86</v>
      </c>
      <c r="J134" s="738" t="s">
        <v>560</v>
      </c>
      <c r="K134" s="742" t="s">
        <v>1996</v>
      </c>
      <c r="P134" s="732"/>
    </row>
    <row r="135" spans="1:16" ht="29.4" thickBot="1" x14ac:dyDescent="0.35">
      <c r="A135" s="738" t="s">
        <v>2017</v>
      </c>
      <c r="B135" s="740">
        <f>'[1]PLAN DE DESARROLLO 2024 - 2027'!$K$123</f>
        <v>0.26239975735212717</v>
      </c>
      <c r="C135" s="738" t="s">
        <v>2047</v>
      </c>
      <c r="D135" s="740">
        <f>'[1]PLAN DE DESARROLLO 2024 - 2027'!$K$130</f>
        <v>0.15049988888888891</v>
      </c>
      <c r="E135" s="738" t="s">
        <v>2048</v>
      </c>
      <c r="F135" s="741">
        <f>'[1]PLAN DE DESARROLLO 2024 - 2027'!$K$131</f>
        <v>0.12639999999999998</v>
      </c>
      <c r="G135" s="738" t="s">
        <v>830</v>
      </c>
      <c r="H135" s="738" t="s">
        <v>1289</v>
      </c>
      <c r="I135" s="770">
        <f>+'Ciudad Conectada'!AK39</f>
        <v>0.5</v>
      </c>
      <c r="J135" s="738" t="s">
        <v>767</v>
      </c>
      <c r="K135" s="742" t="s">
        <v>1996</v>
      </c>
      <c r="P135" s="732"/>
    </row>
    <row r="136" spans="1:16" ht="29.4" thickBot="1" x14ac:dyDescent="0.35">
      <c r="A136" s="738" t="s">
        <v>2017</v>
      </c>
      <c r="B136" s="740">
        <f>'[1]PLAN DE DESARROLLO 2024 - 2027'!$K$123</f>
        <v>0.26239975735212717</v>
      </c>
      <c r="C136" s="738" t="s">
        <v>2047</v>
      </c>
      <c r="D136" s="740">
        <f>'[1]PLAN DE DESARROLLO 2024 - 2027'!$K$130</f>
        <v>0.15049988888888891</v>
      </c>
      <c r="E136" s="738" t="s">
        <v>2048</v>
      </c>
      <c r="F136" s="741">
        <f>'[1]PLAN DE DESARROLLO 2024 - 2027'!$K$131</f>
        <v>0.12639999999999998</v>
      </c>
      <c r="G136" s="738" t="s">
        <v>831</v>
      </c>
      <c r="H136" s="738" t="s">
        <v>1290</v>
      </c>
      <c r="I136" s="770">
        <f>+'Ciudad Conectada'!AK40</f>
        <v>0.2262875</v>
      </c>
      <c r="J136" s="738" t="s">
        <v>767</v>
      </c>
      <c r="K136" s="742" t="s">
        <v>1996</v>
      </c>
      <c r="P136" s="732"/>
    </row>
    <row r="137" spans="1:16" ht="29.4" thickBot="1" x14ac:dyDescent="0.35">
      <c r="A137" s="738" t="s">
        <v>2017</v>
      </c>
      <c r="B137" s="740">
        <f>'[1]PLAN DE DESARROLLO 2024 - 2027'!$K$123</f>
        <v>0.26239975735212717</v>
      </c>
      <c r="C137" s="738" t="s">
        <v>2047</v>
      </c>
      <c r="D137" s="740">
        <f>'[1]PLAN DE DESARROLLO 2024 - 2027'!$K$130</f>
        <v>0.15049988888888891</v>
      </c>
      <c r="E137" s="738" t="s">
        <v>2048</v>
      </c>
      <c r="F137" s="741">
        <f>'[1]PLAN DE DESARROLLO 2024 - 2027'!$K$131</f>
        <v>0.12639999999999998</v>
      </c>
      <c r="G137" s="738" t="s">
        <v>832</v>
      </c>
      <c r="H137" s="738" t="s">
        <v>1291</v>
      </c>
      <c r="I137" s="771">
        <f>+'Ciudad Conectada'!AK41</f>
        <v>0.33333333333333331</v>
      </c>
      <c r="J137" s="738" t="s">
        <v>767</v>
      </c>
      <c r="K137" s="742" t="s">
        <v>1996</v>
      </c>
      <c r="P137" s="732"/>
    </row>
    <row r="138" spans="1:16" ht="15" thickBot="1" x14ac:dyDescent="0.35">
      <c r="A138" s="738" t="s">
        <v>2017</v>
      </c>
      <c r="B138" s="740">
        <f>'[1]PLAN DE DESARROLLO 2024 - 2027'!$K$123</f>
        <v>0.26239975735212717</v>
      </c>
      <c r="C138" s="738" t="s">
        <v>2047</v>
      </c>
      <c r="D138" s="740">
        <f>'[1]PLAN DE DESARROLLO 2024 - 2027'!$K$130</f>
        <v>0.15049988888888891</v>
      </c>
      <c r="E138" s="738" t="s">
        <v>2048</v>
      </c>
      <c r="F138" s="741">
        <f>'[1]PLAN DE DESARROLLO 2024 - 2027'!$K$131</f>
        <v>0.12639999999999998</v>
      </c>
      <c r="G138" s="738" t="s">
        <v>833</v>
      </c>
      <c r="H138" s="738" t="s">
        <v>1292</v>
      </c>
      <c r="I138" s="771">
        <f>+'Ciudad Conectada'!AK42</f>
        <v>0</v>
      </c>
      <c r="J138" s="738" t="s">
        <v>767</v>
      </c>
      <c r="K138" s="742" t="s">
        <v>1996</v>
      </c>
      <c r="P138" s="732"/>
    </row>
    <row r="139" spans="1:16" ht="29.4" thickBot="1" x14ac:dyDescent="0.35">
      <c r="A139" s="738" t="s">
        <v>2017</v>
      </c>
      <c r="B139" s="740">
        <f>'[1]PLAN DE DESARROLLO 2024 - 2027'!$K$123</f>
        <v>0.26239975735212717</v>
      </c>
      <c r="C139" s="738" t="s">
        <v>2047</v>
      </c>
      <c r="D139" s="740">
        <f>'[1]PLAN DE DESARROLLO 2024 - 2027'!$K$130</f>
        <v>0.15049988888888891</v>
      </c>
      <c r="E139" s="738" t="s">
        <v>2048</v>
      </c>
      <c r="F139" s="741">
        <f>'[1]PLAN DE DESARROLLO 2024 - 2027'!$K$131</f>
        <v>0.12639999999999998</v>
      </c>
      <c r="G139" s="738" t="s">
        <v>834</v>
      </c>
      <c r="H139" s="738" t="s">
        <v>1293</v>
      </c>
      <c r="I139" s="771">
        <f>+'Ciudad Conectada'!AK43</f>
        <v>0</v>
      </c>
      <c r="J139" s="738" t="s">
        <v>767</v>
      </c>
      <c r="K139" s="742" t="s">
        <v>1996</v>
      </c>
      <c r="P139" s="732"/>
    </row>
    <row r="140" spans="1:16" ht="29.4" thickBot="1" x14ac:dyDescent="0.35">
      <c r="A140" s="738" t="s">
        <v>2017</v>
      </c>
      <c r="B140" s="740">
        <f>'[1]PLAN DE DESARROLLO 2024 - 2027'!$K$123</f>
        <v>0.26239975735212717</v>
      </c>
      <c r="C140" s="738" t="s">
        <v>2047</v>
      </c>
      <c r="D140" s="740">
        <f>'[1]PLAN DE DESARROLLO 2024 - 2027'!$K$130</f>
        <v>0.15049988888888891</v>
      </c>
      <c r="E140" s="738" t="s">
        <v>2048</v>
      </c>
      <c r="F140" s="741">
        <f>'[1]PLAN DE DESARROLLO 2024 - 2027'!$K$131</f>
        <v>0.12639999999999998</v>
      </c>
      <c r="G140" s="738" t="s">
        <v>835</v>
      </c>
      <c r="H140" s="738" t="s">
        <v>1294</v>
      </c>
      <c r="I140" s="771">
        <f>+'Ciudad Conectada'!AK44</f>
        <v>0</v>
      </c>
      <c r="J140" s="738" t="s">
        <v>2049</v>
      </c>
      <c r="K140" s="742" t="s">
        <v>1996</v>
      </c>
      <c r="P140" s="732"/>
    </row>
    <row r="141" spans="1:16" ht="29.4" thickBot="1" x14ac:dyDescent="0.35">
      <c r="A141" s="738" t="s">
        <v>2017</v>
      </c>
      <c r="B141" s="740">
        <f>'[1]PLAN DE DESARROLLO 2024 - 2027'!$K$123</f>
        <v>0.26239975735212717</v>
      </c>
      <c r="C141" s="738" t="s">
        <v>2047</v>
      </c>
      <c r="D141" s="740">
        <f>'[1]PLAN DE DESARROLLO 2024 - 2027'!$K$130</f>
        <v>0.15049988888888891</v>
      </c>
      <c r="E141" s="738" t="s">
        <v>2048</v>
      </c>
      <c r="F141" s="741">
        <f>'[1]PLAN DE DESARROLLO 2024 - 2027'!$K$131</f>
        <v>0.12639999999999998</v>
      </c>
      <c r="G141" s="738" t="s">
        <v>837</v>
      </c>
      <c r="H141" s="738" t="s">
        <v>1295</v>
      </c>
      <c r="I141" s="770">
        <f>+'Ciudad Conectada'!AK45</f>
        <v>1</v>
      </c>
      <c r="J141" s="738" t="s">
        <v>2050</v>
      </c>
      <c r="K141" s="742" t="s">
        <v>1996</v>
      </c>
      <c r="P141" s="732"/>
    </row>
    <row r="142" spans="1:16" ht="34.200000000000003" customHeight="1" thickBot="1" x14ac:dyDescent="0.35">
      <c r="A142" s="738" t="s">
        <v>2017</v>
      </c>
      <c r="B142" s="740">
        <f>'[1]PLAN DE DESARROLLO 2024 - 2027'!$K$123</f>
        <v>0.26239975735212717</v>
      </c>
      <c r="C142" s="738" t="s">
        <v>2047</v>
      </c>
      <c r="D142" s="740">
        <f>'[1]PLAN DE DESARROLLO 2024 - 2027'!$K$130</f>
        <v>0.15049988888888891</v>
      </c>
      <c r="E142" s="738" t="s">
        <v>2051</v>
      </c>
      <c r="F142" s="741">
        <f>'[1]PLAN DE DESARROLLO 2024 - 2027'!$K$132</f>
        <v>0.10897444444444444</v>
      </c>
      <c r="G142" s="738" t="s">
        <v>839</v>
      </c>
      <c r="H142" s="738" t="s">
        <v>1296</v>
      </c>
      <c r="I142" s="770">
        <f>+'Ciudad Conectada'!AK47</f>
        <v>4.7056666666666663E-2</v>
      </c>
      <c r="J142" s="738" t="s">
        <v>698</v>
      </c>
      <c r="K142" s="742" t="s">
        <v>1996</v>
      </c>
      <c r="P142" s="732"/>
    </row>
    <row r="143" spans="1:16" ht="33" customHeight="1" thickBot="1" x14ac:dyDescent="0.35">
      <c r="A143" s="738" t="s">
        <v>2017</v>
      </c>
      <c r="B143" s="740">
        <f>'[1]PLAN DE DESARROLLO 2024 - 2027'!$K$123</f>
        <v>0.26239975735212717</v>
      </c>
      <c r="C143" s="738" t="s">
        <v>2047</v>
      </c>
      <c r="D143" s="740">
        <f>'[1]PLAN DE DESARROLLO 2024 - 2027'!$K$130</f>
        <v>0.15049988888888891</v>
      </c>
      <c r="E143" s="738" t="s">
        <v>2051</v>
      </c>
      <c r="F143" s="741">
        <f>'[1]PLAN DE DESARROLLO 2024 - 2027'!$K$132</f>
        <v>0.10897444444444444</v>
      </c>
      <c r="G143" s="738" t="s">
        <v>840</v>
      </c>
      <c r="H143" s="738" t="s">
        <v>1297</v>
      </c>
      <c r="I143" s="770">
        <f>+'Ciudad Conectada'!AK48</f>
        <v>0.89</v>
      </c>
      <c r="J143" s="738" t="s">
        <v>698</v>
      </c>
      <c r="K143" s="742" t="s">
        <v>1996</v>
      </c>
      <c r="P143" s="732"/>
    </row>
    <row r="144" spans="1:16" ht="29.4" thickBot="1" x14ac:dyDescent="0.35">
      <c r="A144" s="738" t="s">
        <v>2017</v>
      </c>
      <c r="B144" s="740">
        <f>'[1]PLAN DE DESARROLLO 2024 - 2027'!$K$123</f>
        <v>0.26239975735212717</v>
      </c>
      <c r="C144" s="738" t="s">
        <v>2047</v>
      </c>
      <c r="D144" s="740">
        <f>'[1]PLAN DE DESARROLLO 2024 - 2027'!$K$130</f>
        <v>0.15049988888888891</v>
      </c>
      <c r="E144" s="738" t="s">
        <v>2051</v>
      </c>
      <c r="F144" s="741">
        <f>'[1]PLAN DE DESARROLLO 2024 - 2027'!$K$132</f>
        <v>0.10897444444444444</v>
      </c>
      <c r="G144" s="738" t="s">
        <v>841</v>
      </c>
      <c r="H144" s="738" t="s">
        <v>1298</v>
      </c>
      <c r="I144" s="770">
        <f>+'Ciudad Conectada'!AK49</f>
        <v>0.28499999999999998</v>
      </c>
      <c r="J144" s="738" t="s">
        <v>698</v>
      </c>
      <c r="K144" s="742" t="s">
        <v>1996</v>
      </c>
      <c r="P144" s="732"/>
    </row>
    <row r="145" spans="1:16" ht="29.4" thickBot="1" x14ac:dyDescent="0.35">
      <c r="A145" s="738" t="s">
        <v>2017</v>
      </c>
      <c r="B145" s="740">
        <f>'[1]PLAN DE DESARROLLO 2024 - 2027'!$K$123</f>
        <v>0.26239975735212717</v>
      </c>
      <c r="C145" s="738" t="s">
        <v>2047</v>
      </c>
      <c r="D145" s="740">
        <f>'[1]PLAN DE DESARROLLO 2024 - 2027'!$K$130</f>
        <v>0.15049988888888891</v>
      </c>
      <c r="E145" s="738" t="s">
        <v>2052</v>
      </c>
      <c r="F145" s="741">
        <f>'[1]PLAN DE DESARROLLO 2024 - 2027'!$K$133</f>
        <v>0.16750000000000001</v>
      </c>
      <c r="G145" s="738" t="s">
        <v>842</v>
      </c>
      <c r="H145" s="738" t="s">
        <v>1299</v>
      </c>
      <c r="I145" s="770">
        <f>+'Ciudad Conectada'!AK51</f>
        <v>1</v>
      </c>
      <c r="J145" s="738" t="s">
        <v>698</v>
      </c>
      <c r="K145" s="742" t="s">
        <v>1996</v>
      </c>
      <c r="P145" s="732"/>
    </row>
    <row r="146" spans="1:16" ht="29.4" thickBot="1" x14ac:dyDescent="0.35">
      <c r="A146" s="738" t="s">
        <v>2017</v>
      </c>
      <c r="B146" s="740">
        <f>'[1]PLAN DE DESARROLLO 2024 - 2027'!$K$123</f>
        <v>0.26239975735212717</v>
      </c>
      <c r="C146" s="738" t="s">
        <v>2047</v>
      </c>
      <c r="D146" s="740">
        <f>'[1]PLAN DE DESARROLLO 2024 - 2027'!$K$130</f>
        <v>0.15049988888888891</v>
      </c>
      <c r="E146" s="738" t="s">
        <v>2052</v>
      </c>
      <c r="F146" s="741">
        <f>'[1]PLAN DE DESARROLLO 2024 - 2027'!$K$133</f>
        <v>0.16750000000000001</v>
      </c>
      <c r="G146" s="738" t="s">
        <v>843</v>
      </c>
      <c r="H146" s="738" t="s">
        <v>1300</v>
      </c>
      <c r="I146" s="770">
        <f>+'Ciudad Conectada'!AK52</f>
        <v>0.5</v>
      </c>
      <c r="J146" s="738" t="s">
        <v>698</v>
      </c>
      <c r="K146" s="742" t="s">
        <v>1996</v>
      </c>
      <c r="P146" s="732"/>
    </row>
    <row r="147" spans="1:16" ht="29.4" thickBot="1" x14ac:dyDescent="0.35">
      <c r="A147" s="738" t="s">
        <v>2017</v>
      </c>
      <c r="B147" s="740">
        <f>'[1]PLAN DE DESARROLLO 2024 - 2027'!$K$123</f>
        <v>0.26239975735212717</v>
      </c>
      <c r="C147" s="738" t="s">
        <v>2047</v>
      </c>
      <c r="D147" s="740">
        <f>'[1]PLAN DE DESARROLLO 2024 - 2027'!$K$130</f>
        <v>0.15049988888888891</v>
      </c>
      <c r="E147" s="738" t="s">
        <v>2053</v>
      </c>
      <c r="F147" s="741">
        <f>'[1]PLAN DE DESARROLLO 2024 - 2027'!$K$134</f>
        <v>0.26629166666666665</v>
      </c>
      <c r="G147" s="738" t="s">
        <v>844</v>
      </c>
      <c r="H147" s="738" t="s">
        <v>1871</v>
      </c>
      <c r="I147" s="770">
        <f>+'Ciudad Conectada'!AK54</f>
        <v>0.45600000000000007</v>
      </c>
      <c r="J147" s="738" t="s">
        <v>698</v>
      </c>
      <c r="K147" s="742" t="s">
        <v>1996</v>
      </c>
      <c r="P147" s="732"/>
    </row>
    <row r="148" spans="1:16" ht="29.4" thickBot="1" x14ac:dyDescent="0.35">
      <c r="A148" s="738" t="s">
        <v>2017</v>
      </c>
      <c r="B148" s="740">
        <f>'[1]PLAN DE DESARROLLO 2024 - 2027'!$K$123</f>
        <v>0.26239975735212717</v>
      </c>
      <c r="C148" s="738" t="s">
        <v>2047</v>
      </c>
      <c r="D148" s="740">
        <f>'[1]PLAN DE DESARROLLO 2024 - 2027'!$K$130</f>
        <v>0.15049988888888891</v>
      </c>
      <c r="E148" s="738" t="s">
        <v>2053</v>
      </c>
      <c r="F148" s="741">
        <f>'[1]PLAN DE DESARROLLO 2024 - 2027'!$K$134</f>
        <v>0.26629166666666665</v>
      </c>
      <c r="G148" s="738" t="s">
        <v>845</v>
      </c>
      <c r="H148" s="738" t="s">
        <v>1301</v>
      </c>
      <c r="I148" s="770">
        <f>+'Ciudad Conectada'!AK55</f>
        <v>0.57709999999999995</v>
      </c>
      <c r="J148" s="738" t="s">
        <v>698</v>
      </c>
      <c r="K148" s="742" t="s">
        <v>1996</v>
      </c>
      <c r="P148" s="732"/>
    </row>
    <row r="149" spans="1:16" ht="15" thickBot="1" x14ac:dyDescent="0.35">
      <c r="A149" s="738" t="s">
        <v>2017</v>
      </c>
      <c r="B149" s="740">
        <f>'[1]PLAN DE DESARROLLO 2024 - 2027'!$K$123</f>
        <v>0.26239975735212717</v>
      </c>
      <c r="C149" s="738" t="s">
        <v>2047</v>
      </c>
      <c r="D149" s="740">
        <f>'[1]PLAN DE DESARROLLO 2024 - 2027'!$K$130</f>
        <v>0.15049988888888891</v>
      </c>
      <c r="E149" s="738" t="s">
        <v>2053</v>
      </c>
      <c r="F149" s="741">
        <f>'[1]PLAN DE DESARROLLO 2024 - 2027'!$K$134</f>
        <v>0.26629166666666665</v>
      </c>
      <c r="G149" s="738" t="s">
        <v>846</v>
      </c>
      <c r="H149" s="738" t="s">
        <v>1302</v>
      </c>
      <c r="I149" s="770">
        <f>+'Ciudad Conectada'!AK56</f>
        <v>1</v>
      </c>
      <c r="J149" s="738" t="s">
        <v>698</v>
      </c>
      <c r="K149" s="742" t="s">
        <v>1996</v>
      </c>
      <c r="P149" s="732"/>
    </row>
    <row r="150" spans="1:16" ht="29.4" thickBot="1" x14ac:dyDescent="0.35">
      <c r="A150" s="738" t="s">
        <v>2017</v>
      </c>
      <c r="B150" s="740">
        <f>'[1]PLAN DE DESARROLLO 2024 - 2027'!$K$123</f>
        <v>0.26239975735212717</v>
      </c>
      <c r="C150" s="738" t="s">
        <v>2047</v>
      </c>
      <c r="D150" s="740">
        <f>'[1]PLAN DE DESARROLLO 2024 - 2027'!$K$130</f>
        <v>0.15049988888888891</v>
      </c>
      <c r="E150" s="738" t="s">
        <v>1806</v>
      </c>
      <c r="F150" s="741">
        <f>'[1]PLAN DE DESARROLLO 2024 - 2027'!$K$135</f>
        <v>8.3333333333333329E-2</v>
      </c>
      <c r="G150" s="738" t="s">
        <v>847</v>
      </c>
      <c r="H150" s="738" t="s">
        <v>1303</v>
      </c>
      <c r="I150" s="771">
        <f>+'Ciudad Conectada'!AK58</f>
        <v>0.37051600000000001</v>
      </c>
      <c r="J150" s="738" t="s">
        <v>1540</v>
      </c>
      <c r="K150" s="742" t="s">
        <v>1996</v>
      </c>
      <c r="P150" s="732"/>
    </row>
    <row r="151" spans="1:16" ht="29.4" thickBot="1" x14ac:dyDescent="0.35">
      <c r="A151" s="738" t="s">
        <v>2017</v>
      </c>
      <c r="B151" s="740">
        <f>'[1]PLAN DE DESARROLLO 2024 - 2027'!$K$123</f>
        <v>0.26239975735212717</v>
      </c>
      <c r="C151" s="738" t="s">
        <v>2047</v>
      </c>
      <c r="D151" s="740">
        <f>'[1]PLAN DE DESARROLLO 2024 - 2027'!$K$130</f>
        <v>0.15049988888888891</v>
      </c>
      <c r="E151" s="738" t="s">
        <v>1806</v>
      </c>
      <c r="F151" s="741">
        <f>'[1]PLAN DE DESARROLLO 2024 - 2027'!$K$135</f>
        <v>8.3333333333333329E-2</v>
      </c>
      <c r="G151" s="738" t="s">
        <v>848</v>
      </c>
      <c r="H151" s="738" t="s">
        <v>1304</v>
      </c>
      <c r="I151" s="770">
        <f>+'Ciudad Conectada'!AK59</f>
        <v>8.3333333333333329E-2</v>
      </c>
      <c r="J151" s="738" t="s">
        <v>1540</v>
      </c>
      <c r="K151" s="742" t="s">
        <v>1996</v>
      </c>
      <c r="P151" s="732"/>
    </row>
    <row r="152" spans="1:16" ht="29.4" thickBot="1" x14ac:dyDescent="0.35">
      <c r="A152" s="738" t="s">
        <v>2017</v>
      </c>
      <c r="B152" s="740">
        <f>'[1]PLAN DE DESARROLLO 2024 - 2027'!$K$123</f>
        <v>0.26239975735212717</v>
      </c>
      <c r="C152" s="738" t="s">
        <v>2054</v>
      </c>
      <c r="D152" s="741">
        <f>'[1]PLAN DE DESARROLLO 2024 - 2027'!$K$136</f>
        <v>0.41110360120264539</v>
      </c>
      <c r="E152" s="738" t="s">
        <v>1808</v>
      </c>
      <c r="F152" s="741">
        <f>'[1]PLAN DE DESARROLLO 2024 - 2027'!$K$137</f>
        <v>0.32500000000000001</v>
      </c>
      <c r="G152" s="738" t="s">
        <v>849</v>
      </c>
      <c r="H152" s="738" t="s">
        <v>1305</v>
      </c>
      <c r="I152" s="770">
        <f>+'Ciudad Conectada'!AK62</f>
        <v>0.6333333333333333</v>
      </c>
      <c r="J152" s="738" t="s">
        <v>698</v>
      </c>
      <c r="K152" s="742" t="s">
        <v>1996</v>
      </c>
      <c r="P152" s="732"/>
    </row>
    <row r="153" spans="1:16" ht="29.4" thickBot="1" x14ac:dyDescent="0.35">
      <c r="A153" s="738" t="s">
        <v>2017</v>
      </c>
      <c r="B153" s="740">
        <f>'[1]PLAN DE DESARROLLO 2024 - 2027'!$K$123</f>
        <v>0.26239975735212717</v>
      </c>
      <c r="C153" s="738" t="s">
        <v>2054</v>
      </c>
      <c r="D153" s="741">
        <f>'[1]PLAN DE DESARROLLO 2024 - 2027'!$K$136</f>
        <v>0.41110360120264539</v>
      </c>
      <c r="E153" s="738" t="s">
        <v>1808</v>
      </c>
      <c r="F153" s="741">
        <f>'[1]PLAN DE DESARROLLO 2024 - 2027'!$K$137</f>
        <v>0.32500000000000001</v>
      </c>
      <c r="G153" s="738" t="s">
        <v>850</v>
      </c>
      <c r="H153" s="738" t="s">
        <v>1306</v>
      </c>
      <c r="I153" s="771">
        <f>+'Ciudad Conectada'!AK63</f>
        <v>0.25</v>
      </c>
      <c r="J153" s="738" t="s">
        <v>2055</v>
      </c>
      <c r="K153" s="742" t="s">
        <v>1996</v>
      </c>
      <c r="P153" s="732"/>
    </row>
    <row r="154" spans="1:16" ht="29.4" thickBot="1" x14ac:dyDescent="0.35">
      <c r="A154" s="738" t="s">
        <v>2017</v>
      </c>
      <c r="B154" s="740">
        <f>'[1]PLAN DE DESARROLLO 2024 - 2027'!$K$123</f>
        <v>0.26239975735212717</v>
      </c>
      <c r="C154" s="738" t="s">
        <v>2054</v>
      </c>
      <c r="D154" s="741">
        <f>'[1]PLAN DE DESARROLLO 2024 - 2027'!$K$136</f>
        <v>0.41110360120264539</v>
      </c>
      <c r="E154" s="738" t="s">
        <v>2056</v>
      </c>
      <c r="F154" s="741">
        <f>'[1]PLAN DE DESARROLLO 2024 - 2027'!$K$138</f>
        <v>0.3529810606060606</v>
      </c>
      <c r="G154" s="738" t="s">
        <v>851</v>
      </c>
      <c r="H154" s="738" t="s">
        <v>1307</v>
      </c>
      <c r="I154" s="770">
        <f>+'Ciudad Conectada'!AK65</f>
        <v>1</v>
      </c>
      <c r="J154" s="738" t="s">
        <v>852</v>
      </c>
      <c r="K154" s="742" t="s">
        <v>1996</v>
      </c>
      <c r="P154" s="732"/>
    </row>
    <row r="155" spans="1:16" ht="29.4" thickBot="1" x14ac:dyDescent="0.35">
      <c r="A155" s="738" t="s">
        <v>2017</v>
      </c>
      <c r="B155" s="740">
        <f>'[1]PLAN DE DESARROLLO 2024 - 2027'!$K$123</f>
        <v>0.26239975735212717</v>
      </c>
      <c r="C155" s="738" t="s">
        <v>2054</v>
      </c>
      <c r="D155" s="741">
        <f>'[1]PLAN DE DESARROLLO 2024 - 2027'!$K$136</f>
        <v>0.41110360120264539</v>
      </c>
      <c r="E155" s="738" t="s">
        <v>2056</v>
      </c>
      <c r="F155" s="741">
        <f>'[1]PLAN DE DESARROLLO 2024 - 2027'!$K$138</f>
        <v>0.3529810606060606</v>
      </c>
      <c r="G155" s="738" t="s">
        <v>853</v>
      </c>
      <c r="H155" s="738" t="s">
        <v>1308</v>
      </c>
      <c r="I155" s="770">
        <f>+'Ciudad Conectada'!AK66</f>
        <v>0.5</v>
      </c>
      <c r="J155" s="738" t="s">
        <v>2057</v>
      </c>
      <c r="K155" s="742" t="s">
        <v>1996</v>
      </c>
      <c r="P155" s="732"/>
    </row>
    <row r="156" spans="1:16" ht="29.4" thickBot="1" x14ac:dyDescent="0.35">
      <c r="A156" s="738" t="s">
        <v>2017</v>
      </c>
      <c r="B156" s="740">
        <f>'[1]PLAN DE DESARROLLO 2024 - 2027'!$K$123</f>
        <v>0.26239975735212717</v>
      </c>
      <c r="C156" s="738" t="s">
        <v>2054</v>
      </c>
      <c r="D156" s="741">
        <f>'[1]PLAN DE DESARROLLO 2024 - 2027'!$K$136</f>
        <v>0.41110360120264539</v>
      </c>
      <c r="E156" s="738" t="s">
        <v>2056</v>
      </c>
      <c r="F156" s="741">
        <f>'[1]PLAN DE DESARROLLO 2024 - 2027'!$K$138</f>
        <v>0.3529810606060606</v>
      </c>
      <c r="G156" s="738" t="s">
        <v>854</v>
      </c>
      <c r="H156" s="738" t="s">
        <v>1309</v>
      </c>
      <c r="I156" s="770">
        <f>+'Ciudad Conectada'!AK67</f>
        <v>0.54545454545454541</v>
      </c>
      <c r="J156" s="738" t="s">
        <v>852</v>
      </c>
      <c r="K156" s="742" t="s">
        <v>1996</v>
      </c>
      <c r="P156" s="732"/>
    </row>
    <row r="157" spans="1:16" ht="29.4" thickBot="1" x14ac:dyDescent="0.35">
      <c r="A157" s="738" t="s">
        <v>2017</v>
      </c>
      <c r="B157" s="740">
        <f>'[1]PLAN DE DESARROLLO 2024 - 2027'!$K$123</f>
        <v>0.26239975735212717</v>
      </c>
      <c r="C157" s="738" t="s">
        <v>2054</v>
      </c>
      <c r="D157" s="741">
        <f>'[1]PLAN DE DESARROLLO 2024 - 2027'!$K$136</f>
        <v>0.41110360120264539</v>
      </c>
      <c r="E157" s="738" t="s">
        <v>2056</v>
      </c>
      <c r="F157" s="741">
        <f>'[1]PLAN DE DESARROLLO 2024 - 2027'!$K$138</f>
        <v>0.3529810606060606</v>
      </c>
      <c r="G157" s="738" t="s">
        <v>855</v>
      </c>
      <c r="H157" s="738" t="s">
        <v>1310</v>
      </c>
      <c r="I157" s="770">
        <f>+'Ciudad Conectada'!AK68</f>
        <v>0.67</v>
      </c>
      <c r="J157" s="738" t="s">
        <v>852</v>
      </c>
      <c r="K157" s="742" t="s">
        <v>1996</v>
      </c>
      <c r="P157" s="732"/>
    </row>
    <row r="158" spans="1:16" ht="29.4" thickBot="1" x14ac:dyDescent="0.35">
      <c r="A158" s="738" t="s">
        <v>2017</v>
      </c>
      <c r="B158" s="740">
        <f>'[1]PLAN DE DESARROLLO 2024 - 2027'!$K$123</f>
        <v>0.26239975735212717</v>
      </c>
      <c r="C158" s="738" t="s">
        <v>2054</v>
      </c>
      <c r="D158" s="741">
        <f>'[1]PLAN DE DESARROLLO 2024 - 2027'!$K$136</f>
        <v>0.41110360120264539</v>
      </c>
      <c r="E158" s="738" t="s">
        <v>1809</v>
      </c>
      <c r="F158" s="741">
        <f>'[1]PLAN DE DESARROLLO 2024 - 2027'!$K$138</f>
        <v>0.3529810606060606</v>
      </c>
      <c r="G158" s="738" t="s">
        <v>856</v>
      </c>
      <c r="H158" s="738" t="s">
        <v>1311</v>
      </c>
      <c r="I158" s="770">
        <f>+'Ciudad Conectada'!AK70</f>
        <v>0.65217391304347827</v>
      </c>
      <c r="J158" s="738" t="s">
        <v>2058</v>
      </c>
      <c r="K158" s="742" t="s">
        <v>1996</v>
      </c>
      <c r="P158" s="732"/>
    </row>
    <row r="159" spans="1:16" ht="29.4" thickBot="1" x14ac:dyDescent="0.35">
      <c r="A159" s="738" t="s">
        <v>2017</v>
      </c>
      <c r="B159" s="740">
        <f>'[1]PLAN DE DESARROLLO 2024 - 2027'!$K$123</f>
        <v>0.26239975735212717</v>
      </c>
      <c r="C159" s="738" t="s">
        <v>2054</v>
      </c>
      <c r="D159" s="741">
        <f>'[1]PLAN DE DESARROLLO 2024 - 2027'!$K$136</f>
        <v>0.41110360120264539</v>
      </c>
      <c r="E159" s="738" t="s">
        <v>1809</v>
      </c>
      <c r="F159" s="741">
        <f>'[1]PLAN DE DESARROLLO 2024 - 2027'!$K$138</f>
        <v>0.3529810606060606</v>
      </c>
      <c r="G159" s="738" t="s">
        <v>857</v>
      </c>
      <c r="H159" s="738" t="s">
        <v>1312</v>
      </c>
      <c r="I159" s="770">
        <f>+'Ciudad Conectada'!AK71</f>
        <v>1</v>
      </c>
      <c r="J159" s="738" t="s">
        <v>852</v>
      </c>
      <c r="K159" s="742" t="s">
        <v>1996</v>
      </c>
      <c r="P159" s="732"/>
    </row>
    <row r="160" spans="1:16" ht="29.4" thickBot="1" x14ac:dyDescent="0.35">
      <c r="A160" s="738" t="s">
        <v>2017</v>
      </c>
      <c r="B160" s="740">
        <f>'[1]PLAN DE DESARROLLO 2024 - 2027'!$K$123</f>
        <v>0.26239975735212717</v>
      </c>
      <c r="C160" s="738" t="s">
        <v>2054</v>
      </c>
      <c r="D160" s="741">
        <f>'[1]PLAN DE DESARROLLO 2024 - 2027'!$K$136</f>
        <v>0.41110360120264539</v>
      </c>
      <c r="E160" s="738" t="s">
        <v>1809</v>
      </c>
      <c r="F160" s="741">
        <f>'[1]PLAN DE DESARROLLO 2024 - 2027'!$K$138</f>
        <v>0.3529810606060606</v>
      </c>
      <c r="G160" s="738" t="s">
        <v>858</v>
      </c>
      <c r="H160" s="738" t="s">
        <v>1313</v>
      </c>
      <c r="I160" s="770">
        <f>+'Ciudad Conectada'!AK72</f>
        <v>0.66666666666666663</v>
      </c>
      <c r="J160" s="738" t="s">
        <v>825</v>
      </c>
      <c r="K160" s="742" t="s">
        <v>1996</v>
      </c>
      <c r="P160" s="732"/>
    </row>
    <row r="161" spans="1:16" ht="29.4" thickBot="1" x14ac:dyDescent="0.35">
      <c r="A161" s="738" t="s">
        <v>2017</v>
      </c>
      <c r="B161" s="740">
        <f>'[1]PLAN DE DESARROLLO 2024 - 2027'!$K$123</f>
        <v>0.26239975735212717</v>
      </c>
      <c r="C161" s="738" t="s">
        <v>2054</v>
      </c>
      <c r="D161" s="741">
        <f>'[1]PLAN DE DESARROLLO 2024 - 2027'!$K$136</f>
        <v>0.41110360120264539</v>
      </c>
      <c r="E161" s="738" t="s">
        <v>2059</v>
      </c>
      <c r="F161" s="741">
        <f>'[1]PLAN DE DESARROLLO 2024 - 2027'!$K$140</f>
        <v>0.42712068965517241</v>
      </c>
      <c r="G161" s="738" t="s">
        <v>859</v>
      </c>
      <c r="H161" s="738" t="s">
        <v>1314</v>
      </c>
      <c r="I161" s="770">
        <f>+'Ciudad Conectada'!AK74</f>
        <v>1</v>
      </c>
      <c r="J161" s="738" t="s">
        <v>852</v>
      </c>
      <c r="K161" s="742" t="s">
        <v>1996</v>
      </c>
      <c r="P161" s="732"/>
    </row>
    <row r="162" spans="1:16" ht="29.4" thickBot="1" x14ac:dyDescent="0.35">
      <c r="A162" s="738" t="s">
        <v>2017</v>
      </c>
      <c r="B162" s="740">
        <f>'[1]PLAN DE DESARROLLO 2024 - 2027'!$K$123</f>
        <v>0.26239975735212717</v>
      </c>
      <c r="C162" s="738" t="s">
        <v>2054</v>
      </c>
      <c r="D162" s="741">
        <f>'[1]PLAN DE DESARROLLO 2024 - 2027'!$K$136</f>
        <v>0.41110360120264539</v>
      </c>
      <c r="E162" s="738" t="s">
        <v>2059</v>
      </c>
      <c r="F162" s="741">
        <f>'[1]PLAN DE DESARROLLO 2024 - 2027'!$K$140</f>
        <v>0.42712068965517241</v>
      </c>
      <c r="G162" s="738" t="s">
        <v>860</v>
      </c>
      <c r="H162" s="738" t="s">
        <v>1315</v>
      </c>
      <c r="I162" s="770">
        <f>+'Ciudad Conectada'!AK75</f>
        <v>0.77949999999999997</v>
      </c>
      <c r="J162" s="738" t="s">
        <v>852</v>
      </c>
      <c r="K162" s="742" t="s">
        <v>1996</v>
      </c>
      <c r="P162" s="732"/>
    </row>
    <row r="163" spans="1:16" ht="43.8" thickBot="1" x14ac:dyDescent="0.35">
      <c r="A163" s="738" t="s">
        <v>2017</v>
      </c>
      <c r="B163" s="740">
        <f>'[1]PLAN DE DESARROLLO 2024 - 2027'!$K$123</f>
        <v>0.26239975735212717</v>
      </c>
      <c r="C163" s="738" t="s">
        <v>2054</v>
      </c>
      <c r="D163" s="741">
        <f>'[1]PLAN DE DESARROLLO 2024 - 2027'!$K$136</f>
        <v>0.41110360120264539</v>
      </c>
      <c r="E163" s="738" t="s">
        <v>2059</v>
      </c>
      <c r="F163" s="741">
        <f>'[1]PLAN DE DESARROLLO 2024 - 2027'!$K$140</f>
        <v>0.42712068965517241</v>
      </c>
      <c r="G163" s="738" t="s">
        <v>861</v>
      </c>
      <c r="H163" s="738" t="s">
        <v>1316</v>
      </c>
      <c r="I163" s="770">
        <f>+'Ciudad Conectada'!AK76</f>
        <v>1</v>
      </c>
      <c r="J163" s="738" t="s">
        <v>852</v>
      </c>
      <c r="K163" s="742" t="s">
        <v>1996</v>
      </c>
      <c r="P163" s="732"/>
    </row>
    <row r="164" spans="1:16" ht="29.4" thickBot="1" x14ac:dyDescent="0.35">
      <c r="A164" s="738" t="s">
        <v>2017</v>
      </c>
      <c r="B164" s="740">
        <f>'[1]PLAN DE DESARROLLO 2024 - 2027'!$K$123</f>
        <v>0.26239975735212717</v>
      </c>
      <c r="C164" s="738" t="s">
        <v>2054</v>
      </c>
      <c r="D164" s="741">
        <f>'[1]PLAN DE DESARROLLO 2024 - 2027'!$K$136</f>
        <v>0.41110360120264539</v>
      </c>
      <c r="E164" s="738" t="s">
        <v>1810</v>
      </c>
      <c r="F164" s="741">
        <f>'[1]PLAN DE DESARROLLO 2024 - 2027'!$K$141</f>
        <v>0.14285714285714285</v>
      </c>
      <c r="G164" s="738" t="s">
        <v>862</v>
      </c>
      <c r="H164" s="738" t="s">
        <v>1317</v>
      </c>
      <c r="I164" s="770">
        <f>+'Ciudad Conectada'!AK78</f>
        <v>0.36571428571428571</v>
      </c>
      <c r="J164" s="738" t="s">
        <v>863</v>
      </c>
      <c r="K164" s="742" t="s">
        <v>1996</v>
      </c>
      <c r="P164" s="732"/>
    </row>
    <row r="165" spans="1:16" ht="29.4" thickBot="1" x14ac:dyDescent="0.35">
      <c r="A165" s="738" t="s">
        <v>2017</v>
      </c>
      <c r="B165" s="740">
        <f>'[1]PLAN DE DESARROLLO 2024 - 2027'!$K$123</f>
        <v>0.26239975735212717</v>
      </c>
      <c r="C165" s="738" t="s">
        <v>2054</v>
      </c>
      <c r="D165" s="741">
        <f>'[1]PLAN DE DESARROLLO 2024 - 2027'!$K$136</f>
        <v>0.41110360120264539</v>
      </c>
      <c r="E165" s="738" t="s">
        <v>2060</v>
      </c>
      <c r="F165" s="741">
        <f>'[1]PLAN DE DESARROLLO 2024 - 2027'!$K$142</f>
        <v>0.63500000000000001</v>
      </c>
      <c r="G165" s="738" t="s">
        <v>864</v>
      </c>
      <c r="H165" s="738" t="s">
        <v>1318</v>
      </c>
      <c r="I165" s="770">
        <f>+'Ciudad Conectada'!AK80</f>
        <v>0.41</v>
      </c>
      <c r="J165" s="738" t="s">
        <v>2061</v>
      </c>
      <c r="K165" s="742" t="s">
        <v>1996</v>
      </c>
      <c r="P165" s="732"/>
    </row>
    <row r="166" spans="1:16" ht="29.4" thickBot="1" x14ac:dyDescent="0.35">
      <c r="A166" s="738" t="s">
        <v>2017</v>
      </c>
      <c r="B166" s="740">
        <f>'[1]PLAN DE DESARROLLO 2024 - 2027'!$K$123</f>
        <v>0.26239975735212717</v>
      </c>
      <c r="C166" s="738" t="s">
        <v>2054</v>
      </c>
      <c r="D166" s="741">
        <f>'[1]PLAN DE DESARROLLO 2024 - 2027'!$K$136</f>
        <v>0.41110360120264539</v>
      </c>
      <c r="E166" s="738" t="s">
        <v>2060</v>
      </c>
      <c r="F166" s="741">
        <f>'[1]PLAN DE DESARROLLO 2024 - 2027'!$K$142</f>
        <v>0.63500000000000001</v>
      </c>
      <c r="G166" s="738" t="s">
        <v>865</v>
      </c>
      <c r="H166" s="738" t="s">
        <v>1319</v>
      </c>
      <c r="I166" s="770">
        <f>+'Ciudad Conectada'!AK81</f>
        <v>1</v>
      </c>
      <c r="J166" s="738" t="s">
        <v>1540</v>
      </c>
      <c r="K166" s="742" t="s">
        <v>1996</v>
      </c>
      <c r="P166" s="732"/>
    </row>
    <row r="167" spans="1:16" ht="43.8" thickBot="1" x14ac:dyDescent="0.35">
      <c r="A167" s="738" t="s">
        <v>2017</v>
      </c>
      <c r="B167" s="740">
        <f>'[1]PLAN DE DESARROLLO 2024 - 2027'!$K$123</f>
        <v>0.26239975735212717</v>
      </c>
      <c r="C167" s="738" t="s">
        <v>2018</v>
      </c>
      <c r="D167" s="740">
        <f>'[1]PLAN DE DESARROLLO 2024 - 2027'!$K$143</f>
        <v>0.16314336734693877</v>
      </c>
      <c r="E167" s="738" t="s">
        <v>2062</v>
      </c>
      <c r="F167" s="741">
        <f>'[1]PLAN DE DESARROLLO 2024 - 2027'!$K$144</f>
        <v>9.4430102040816324E-2</v>
      </c>
      <c r="G167" s="738" t="s">
        <v>866</v>
      </c>
      <c r="H167" s="738" t="s">
        <v>1320</v>
      </c>
      <c r="I167" s="770">
        <f>+'Ciudad Conectada'!AK84</f>
        <v>0.37</v>
      </c>
      <c r="J167" s="738" t="s">
        <v>2063</v>
      </c>
      <c r="K167" s="742" t="s">
        <v>1996</v>
      </c>
      <c r="P167" s="732"/>
    </row>
    <row r="168" spans="1:16" ht="29.4" thickBot="1" x14ac:dyDescent="0.35">
      <c r="A168" s="738" t="s">
        <v>2017</v>
      </c>
      <c r="B168" s="740">
        <f>'[1]PLAN DE DESARROLLO 2024 - 2027'!$K$123</f>
        <v>0.26239975735212717</v>
      </c>
      <c r="C168" s="738" t="s">
        <v>2018</v>
      </c>
      <c r="D168" s="740">
        <f>'[1]PLAN DE DESARROLLO 2024 - 2027'!$K$143</f>
        <v>0.16314336734693877</v>
      </c>
      <c r="E168" s="738" t="s">
        <v>2062</v>
      </c>
      <c r="F168" s="741">
        <f>'[1]PLAN DE DESARROLLO 2024 - 2027'!$K$144</f>
        <v>9.4430102040816324E-2</v>
      </c>
      <c r="G168" s="738" t="s">
        <v>868</v>
      </c>
      <c r="H168" s="738" t="s">
        <v>1321</v>
      </c>
      <c r="I168" s="770">
        <f>+'Ciudad Conectada'!AK85</f>
        <v>0.28972499999999995</v>
      </c>
      <c r="J168" s="738" t="s">
        <v>825</v>
      </c>
      <c r="K168" s="742" t="s">
        <v>1996</v>
      </c>
      <c r="P168" s="732"/>
    </row>
    <row r="169" spans="1:16" ht="29.4" thickBot="1" x14ac:dyDescent="0.35">
      <c r="A169" s="738" t="s">
        <v>2017</v>
      </c>
      <c r="B169" s="740">
        <f>'[1]PLAN DE DESARROLLO 2024 - 2027'!$K$123</f>
        <v>0.26239975735212717</v>
      </c>
      <c r="C169" s="738" t="s">
        <v>2018</v>
      </c>
      <c r="D169" s="740">
        <f>'[1]PLAN DE DESARROLLO 2024 - 2027'!$K$143</f>
        <v>0.16314336734693877</v>
      </c>
      <c r="E169" s="738" t="s">
        <v>2062</v>
      </c>
      <c r="F169" s="741">
        <f>'[1]PLAN DE DESARROLLO 2024 - 2027'!$K$144</f>
        <v>9.4430102040816324E-2</v>
      </c>
      <c r="G169" s="738" t="s">
        <v>869</v>
      </c>
      <c r="H169" s="738" t="s">
        <v>1322</v>
      </c>
      <c r="I169" s="770">
        <f>+'Ciudad Conectada'!AK86</f>
        <v>0.2</v>
      </c>
      <c r="J169" s="738" t="s">
        <v>1540</v>
      </c>
      <c r="K169" s="742" t="s">
        <v>1996</v>
      </c>
      <c r="P169" s="732"/>
    </row>
    <row r="170" spans="1:16" ht="29.4" thickBot="1" x14ac:dyDescent="0.35">
      <c r="A170" s="738" t="s">
        <v>2017</v>
      </c>
      <c r="B170" s="740">
        <f>'[1]PLAN DE DESARROLLO 2024 - 2027'!$K$123</f>
        <v>0.26239975735212717</v>
      </c>
      <c r="C170" s="738" t="s">
        <v>2018</v>
      </c>
      <c r="D170" s="740">
        <f>'[1]PLAN DE DESARROLLO 2024 - 2027'!$K$143</f>
        <v>0.16314336734693877</v>
      </c>
      <c r="E170" s="738" t="s">
        <v>2062</v>
      </c>
      <c r="F170" s="741">
        <f>'[1]PLAN DE DESARROLLO 2024 - 2027'!$K$144</f>
        <v>9.4430102040816324E-2</v>
      </c>
      <c r="G170" s="738" t="s">
        <v>870</v>
      </c>
      <c r="H170" s="738" t="s">
        <v>1323</v>
      </c>
      <c r="I170" s="770">
        <f>+'Ciudad Conectada'!AK87</f>
        <v>0.25</v>
      </c>
      <c r="J170" s="738" t="s">
        <v>2064</v>
      </c>
      <c r="K170" s="742" t="s">
        <v>1996</v>
      </c>
      <c r="P170" s="732"/>
    </row>
    <row r="171" spans="1:16" ht="29.4" thickBot="1" x14ac:dyDescent="0.35">
      <c r="A171" s="738" t="s">
        <v>2017</v>
      </c>
      <c r="B171" s="740">
        <f>'[1]PLAN DE DESARROLLO 2024 - 2027'!$K$123</f>
        <v>0.26239975735212717</v>
      </c>
      <c r="C171" s="738" t="s">
        <v>2018</v>
      </c>
      <c r="D171" s="740">
        <f>'[1]PLAN DE DESARROLLO 2024 - 2027'!$K$143</f>
        <v>0.16314336734693877</v>
      </c>
      <c r="E171" s="738" t="s">
        <v>2062</v>
      </c>
      <c r="F171" s="741">
        <f>'[1]PLAN DE DESARROLLO 2024 - 2027'!$K$144</f>
        <v>9.4430102040816324E-2</v>
      </c>
      <c r="G171" s="738" t="s">
        <v>872</v>
      </c>
      <c r="H171" s="738" t="s">
        <v>1324</v>
      </c>
      <c r="I171" s="770">
        <f>+'Ciudad Conectada'!AK88</f>
        <v>0.01</v>
      </c>
      <c r="J171" s="738" t="s">
        <v>2065</v>
      </c>
      <c r="K171" s="742" t="s">
        <v>1996</v>
      </c>
      <c r="P171" s="732"/>
    </row>
    <row r="172" spans="1:16" ht="58.2" thickBot="1" x14ac:dyDescent="0.35">
      <c r="A172" s="738" t="s">
        <v>2017</v>
      </c>
      <c r="B172" s="740">
        <f>'[1]PLAN DE DESARROLLO 2024 - 2027'!$K$123</f>
        <v>0.26239975735212717</v>
      </c>
      <c r="C172" s="738" t="s">
        <v>2018</v>
      </c>
      <c r="D172" s="740">
        <f>'[1]PLAN DE DESARROLLO 2024 - 2027'!$K$143</f>
        <v>0.16314336734693877</v>
      </c>
      <c r="E172" s="738" t="s">
        <v>2062</v>
      </c>
      <c r="F172" s="741">
        <f>'[1]PLAN DE DESARROLLO 2024 - 2027'!$K$144</f>
        <v>9.4430102040816324E-2</v>
      </c>
      <c r="G172" s="738" t="s">
        <v>874</v>
      </c>
      <c r="H172" s="738" t="s">
        <v>1325</v>
      </c>
      <c r="I172" s="770">
        <f>+'Ciudad Conectada'!AK89</f>
        <v>0.25</v>
      </c>
      <c r="J172" s="738" t="s">
        <v>2066</v>
      </c>
      <c r="K172" s="742" t="s">
        <v>1996</v>
      </c>
      <c r="P172" s="732"/>
    </row>
    <row r="173" spans="1:16" ht="29.4" thickBot="1" x14ac:dyDescent="0.35">
      <c r="A173" s="738" t="s">
        <v>2017</v>
      </c>
      <c r="B173" s="740">
        <f>'[1]PLAN DE DESARROLLO 2024 - 2027'!$K$123</f>
        <v>0.26239975735212717</v>
      </c>
      <c r="C173" s="738" t="s">
        <v>2018</v>
      </c>
      <c r="D173" s="740">
        <f>'[1]PLAN DE DESARROLLO 2024 - 2027'!$K$143</f>
        <v>0.16314336734693877</v>
      </c>
      <c r="E173" s="738" t="s">
        <v>2062</v>
      </c>
      <c r="F173" s="741">
        <f>'[1]PLAN DE DESARROLLO 2024 - 2027'!$K$144</f>
        <v>9.4430102040816324E-2</v>
      </c>
      <c r="G173" s="738" t="s">
        <v>876</v>
      </c>
      <c r="H173" s="738" t="s">
        <v>1326</v>
      </c>
      <c r="I173" s="770">
        <f>+'Ciudad Conectada'!AK90</f>
        <v>0.47499999999999998</v>
      </c>
      <c r="J173" s="738" t="s">
        <v>516</v>
      </c>
      <c r="K173" s="742" t="s">
        <v>1996</v>
      </c>
      <c r="P173" s="732"/>
    </row>
    <row r="174" spans="1:16" ht="29.4" thickBot="1" x14ac:dyDescent="0.35">
      <c r="A174" s="738" t="s">
        <v>2017</v>
      </c>
      <c r="B174" s="740">
        <f>'[1]PLAN DE DESARROLLO 2024 - 2027'!$K$123</f>
        <v>0.26239975735212717</v>
      </c>
      <c r="C174" s="738" t="s">
        <v>2018</v>
      </c>
      <c r="D174" s="740">
        <f>'[1]PLAN DE DESARROLLO 2024 - 2027'!$K$143</f>
        <v>0.16314336734693877</v>
      </c>
      <c r="E174" s="738" t="s">
        <v>2067</v>
      </c>
      <c r="F174" s="741">
        <f>'[1]PLAN DE DESARROLLO 2024 - 2027'!$K$146</f>
        <v>0.375</v>
      </c>
      <c r="G174" s="738" t="s">
        <v>883</v>
      </c>
      <c r="H174" s="738" t="s">
        <v>1330</v>
      </c>
      <c r="I174" s="770">
        <f>+'Ciudad Conectada'!AK96</f>
        <v>0.625</v>
      </c>
      <c r="J174" s="738" t="s">
        <v>490</v>
      </c>
      <c r="K174" s="742" t="s">
        <v>1996</v>
      </c>
      <c r="P174" s="732"/>
    </row>
    <row r="175" spans="1:16" ht="29.4" thickBot="1" x14ac:dyDescent="0.35">
      <c r="A175" s="738" t="s">
        <v>2068</v>
      </c>
      <c r="B175" s="740">
        <f>'[1]PLAN DE DESARROLLO 2024 - 2027'!$K$92</f>
        <v>0.27017707911062067</v>
      </c>
      <c r="C175" s="738" t="s">
        <v>2069</v>
      </c>
      <c r="D175" s="741">
        <f>'[1]PLAN DE DESARROLLO 2024 - 2027'!$K$105</f>
        <v>0.13440625</v>
      </c>
      <c r="E175" s="738" t="s">
        <v>1794</v>
      </c>
      <c r="F175" s="741">
        <f>'[1]PLAN DE DESARROLLO 2024 - 2027'!$K$109</f>
        <v>0</v>
      </c>
      <c r="G175" s="738" t="s">
        <v>732</v>
      </c>
      <c r="H175" s="738" t="s">
        <v>1435</v>
      </c>
      <c r="I175" s="770">
        <f>+'Desarrollo Economico'!AK65</f>
        <v>0.26833333333333331</v>
      </c>
      <c r="J175" s="738" t="s">
        <v>733</v>
      </c>
      <c r="K175" s="742" t="s">
        <v>1996</v>
      </c>
      <c r="P175" s="732"/>
    </row>
    <row r="176" spans="1:16" ht="15" thickBot="1" x14ac:dyDescent="0.35">
      <c r="A176" s="738" t="s">
        <v>2068</v>
      </c>
      <c r="B176" s="740">
        <f>'[1]PLAN DE DESARROLLO 2024 - 2027'!$K$92</f>
        <v>0.27017707911062067</v>
      </c>
      <c r="C176" s="738" t="s">
        <v>2069</v>
      </c>
      <c r="D176" s="741">
        <f>'[1]PLAN DE DESARROLLO 2024 - 2027'!$K$105</f>
        <v>0.13440625</v>
      </c>
      <c r="E176" s="738" t="s">
        <v>1794</v>
      </c>
      <c r="F176" s="741">
        <f>'[1]PLAN DE DESARROLLO 2024 - 2027'!$K$109</f>
        <v>0</v>
      </c>
      <c r="G176" s="738" t="s">
        <v>734</v>
      </c>
      <c r="H176" s="738" t="s">
        <v>1436</v>
      </c>
      <c r="I176" s="770">
        <f>+'Desarrollo Economico'!AK66</f>
        <v>0.33333333333333331</v>
      </c>
      <c r="J176" s="738" t="s">
        <v>733</v>
      </c>
      <c r="K176" s="742" t="s">
        <v>1996</v>
      </c>
      <c r="P176" s="732"/>
    </row>
    <row r="177" spans="1:16" ht="29.4" thickBot="1" x14ac:dyDescent="0.35">
      <c r="A177" s="738" t="s">
        <v>2068</v>
      </c>
      <c r="B177" s="740">
        <f>'[1]PLAN DE DESARROLLO 2024 - 2027'!$K$92</f>
        <v>0.27017707911062067</v>
      </c>
      <c r="C177" s="738" t="s">
        <v>2070</v>
      </c>
      <c r="D177" s="741">
        <f>'[1]PLAN DE DESARROLLO 2024 - 2027'!$K$110</f>
        <v>0.16916666666666663</v>
      </c>
      <c r="E177" s="738" t="s">
        <v>1796</v>
      </c>
      <c r="F177" s="741">
        <f>'[1]PLAN DE DESARROLLO 2024 - 2027'!$K$111</f>
        <v>0</v>
      </c>
      <c r="G177" s="738" t="s">
        <v>735</v>
      </c>
      <c r="H177" s="738" t="s">
        <v>1437</v>
      </c>
      <c r="I177" s="770">
        <f>+'Desarrollo Economico'!AK69</f>
        <v>0.5</v>
      </c>
      <c r="J177" s="738" t="s">
        <v>736</v>
      </c>
      <c r="K177" s="742" t="s">
        <v>1996</v>
      </c>
      <c r="P177" s="732"/>
    </row>
    <row r="178" spans="1:16" ht="29.4" thickBot="1" x14ac:dyDescent="0.35">
      <c r="A178" s="738" t="s">
        <v>2068</v>
      </c>
      <c r="B178" s="740">
        <f>'[1]PLAN DE DESARROLLO 2024 - 2027'!$K$92</f>
        <v>0.27017707911062067</v>
      </c>
      <c r="C178" s="738" t="s">
        <v>2070</v>
      </c>
      <c r="D178" s="741">
        <f>'[1]PLAN DE DESARROLLO 2024 - 2027'!$K$110</f>
        <v>0.16916666666666663</v>
      </c>
      <c r="E178" s="738" t="s">
        <v>1796</v>
      </c>
      <c r="F178" s="741">
        <f>'[1]PLAN DE DESARROLLO 2024 - 2027'!$K$111</f>
        <v>0</v>
      </c>
      <c r="G178" s="738" t="s">
        <v>737</v>
      </c>
      <c r="H178" s="738" t="s">
        <v>1438</v>
      </c>
      <c r="I178" s="770">
        <f>+'Desarrollo Economico'!AK70</f>
        <v>0.33333333333333331</v>
      </c>
      <c r="J178" s="738" t="s">
        <v>736</v>
      </c>
      <c r="K178" s="742" t="s">
        <v>1996</v>
      </c>
      <c r="P178" s="732"/>
    </row>
    <row r="179" spans="1:16" ht="29.4" thickBot="1" x14ac:dyDescent="0.35">
      <c r="A179" s="738" t="s">
        <v>2068</v>
      </c>
      <c r="B179" s="740">
        <f>'[1]PLAN DE DESARROLLO 2024 - 2027'!$K$92</f>
        <v>0.27017707911062067</v>
      </c>
      <c r="C179" s="738" t="s">
        <v>2070</v>
      </c>
      <c r="D179" s="741">
        <f>'[1]PLAN DE DESARROLLO 2024 - 2027'!$K$110</f>
        <v>0.16916666666666663</v>
      </c>
      <c r="E179" s="738" t="s">
        <v>1796</v>
      </c>
      <c r="F179" s="741">
        <f>'[1]PLAN DE DESARROLLO 2024 - 2027'!$K$111</f>
        <v>0</v>
      </c>
      <c r="G179" s="738" t="s">
        <v>738</v>
      </c>
      <c r="H179" s="738" t="s">
        <v>1439</v>
      </c>
      <c r="I179" s="770">
        <f>+'Desarrollo Economico'!AK71</f>
        <v>0.3611111111111111</v>
      </c>
      <c r="J179" s="738" t="s">
        <v>736</v>
      </c>
      <c r="K179" s="742" t="s">
        <v>1996</v>
      </c>
      <c r="P179" s="732"/>
    </row>
    <row r="180" spans="1:16" ht="29.4" thickBot="1" x14ac:dyDescent="0.35">
      <c r="A180" s="738" t="s">
        <v>2068</v>
      </c>
      <c r="B180" s="740">
        <f>'[1]PLAN DE DESARROLLO 2024 - 2027'!$K$92</f>
        <v>0.27017707911062067</v>
      </c>
      <c r="C180" s="738" t="s">
        <v>2070</v>
      </c>
      <c r="D180" s="741">
        <f>'[1]PLAN DE DESARROLLO 2024 - 2027'!$K$110</f>
        <v>0.16916666666666663</v>
      </c>
      <c r="E180" s="738" t="s">
        <v>1796</v>
      </c>
      <c r="F180" s="741">
        <f>'[1]PLAN DE DESARROLLO 2024 - 2027'!$K$111</f>
        <v>0</v>
      </c>
      <c r="G180" s="738" t="s">
        <v>739</v>
      </c>
      <c r="H180" s="738" t="s">
        <v>2071</v>
      </c>
      <c r="I180" s="770">
        <f>+'Desarrollo Economico'!AK72</f>
        <v>0.41249999999999998</v>
      </c>
      <c r="J180" s="738" t="s">
        <v>736</v>
      </c>
      <c r="K180" s="742" t="s">
        <v>1996</v>
      </c>
      <c r="P180" s="732"/>
    </row>
    <row r="181" spans="1:16" ht="29.4" thickBot="1" x14ac:dyDescent="0.35">
      <c r="A181" s="738" t="s">
        <v>2068</v>
      </c>
      <c r="B181" s="740">
        <f>'[1]PLAN DE DESARROLLO 2024 - 2027'!$K$92</f>
        <v>0.27017707911062067</v>
      </c>
      <c r="C181" s="738" t="s">
        <v>2070</v>
      </c>
      <c r="D181" s="741">
        <f>'[1]PLAN DE DESARROLLO 2024 - 2027'!$K$110</f>
        <v>0.16916666666666663</v>
      </c>
      <c r="E181" s="738" t="s">
        <v>1797</v>
      </c>
      <c r="F181" s="741">
        <f>'[1]PLAN DE DESARROLLO 2024 - 2027'!$K$112</f>
        <v>0</v>
      </c>
      <c r="G181" s="738" t="s">
        <v>740</v>
      </c>
      <c r="H181" s="738" t="s">
        <v>1441</v>
      </c>
      <c r="I181" s="770">
        <f>+'Desarrollo Economico'!AK74</f>
        <v>0.49223119950279676</v>
      </c>
      <c r="J181" s="738" t="s">
        <v>736</v>
      </c>
      <c r="K181" s="742" t="s">
        <v>1996</v>
      </c>
      <c r="P181" s="732"/>
    </row>
    <row r="182" spans="1:16" ht="43.8" thickBot="1" x14ac:dyDescent="0.35">
      <c r="A182" s="738" t="s">
        <v>2068</v>
      </c>
      <c r="B182" s="740">
        <f>'[1]PLAN DE DESARROLLO 2024 - 2027'!$K$92</f>
        <v>0.27017707911062067</v>
      </c>
      <c r="C182" s="738" t="s">
        <v>2070</v>
      </c>
      <c r="D182" s="741">
        <f>'[1]PLAN DE DESARROLLO 2024 - 2027'!$K$110</f>
        <v>0.16916666666666663</v>
      </c>
      <c r="E182" s="738" t="s">
        <v>1797</v>
      </c>
      <c r="F182" s="741">
        <f>'[1]PLAN DE DESARROLLO 2024 - 2027'!$K$112</f>
        <v>0</v>
      </c>
      <c r="G182" s="738" t="s">
        <v>741</v>
      </c>
      <c r="H182" s="738" t="s">
        <v>1442</v>
      </c>
      <c r="I182" s="770">
        <f>+'Desarrollo Economico'!AK75</f>
        <v>0.45750000000000002</v>
      </c>
      <c r="J182" s="738" t="s">
        <v>736</v>
      </c>
      <c r="K182" s="742" t="s">
        <v>1996</v>
      </c>
      <c r="P182" s="732"/>
    </row>
    <row r="183" spans="1:16" ht="29.4" thickBot="1" x14ac:dyDescent="0.35">
      <c r="A183" s="738" t="s">
        <v>2068</v>
      </c>
      <c r="B183" s="740">
        <f>'[1]PLAN DE DESARROLLO 2024 - 2027'!$K$92</f>
        <v>0.27017707911062067</v>
      </c>
      <c r="C183" s="738" t="s">
        <v>2070</v>
      </c>
      <c r="D183" s="741">
        <f>'[1]PLAN DE DESARROLLO 2024 - 2027'!$K$110</f>
        <v>0.16916666666666663</v>
      </c>
      <c r="E183" s="738" t="s">
        <v>1797</v>
      </c>
      <c r="F183" s="741">
        <f>'[1]PLAN DE DESARROLLO 2024 - 2027'!$K$112</f>
        <v>0</v>
      </c>
      <c r="G183" s="738" t="s">
        <v>742</v>
      </c>
      <c r="H183" s="738" t="s">
        <v>1443</v>
      </c>
      <c r="I183" s="770">
        <f>+'Desarrollo Economico'!AK76</f>
        <v>0.5</v>
      </c>
      <c r="J183" s="738" t="s">
        <v>736</v>
      </c>
      <c r="K183" s="742" t="s">
        <v>1996</v>
      </c>
      <c r="P183" s="732"/>
    </row>
    <row r="184" spans="1:16" ht="29.4" thickBot="1" x14ac:dyDescent="0.35">
      <c r="A184" s="738" t="s">
        <v>2068</v>
      </c>
      <c r="B184" s="740">
        <f>'[1]PLAN DE DESARROLLO 2024 - 2027'!$K$92</f>
        <v>0.27017707911062067</v>
      </c>
      <c r="C184" s="738" t="s">
        <v>2070</v>
      </c>
      <c r="D184" s="741">
        <f>'[1]PLAN DE DESARROLLO 2024 - 2027'!$K$110</f>
        <v>0.16916666666666663</v>
      </c>
      <c r="E184" s="738" t="s">
        <v>1797</v>
      </c>
      <c r="F184" s="741">
        <f>'[1]PLAN DE DESARROLLO 2024 - 2027'!$K$112</f>
        <v>0</v>
      </c>
      <c r="G184" s="738" t="s">
        <v>743</v>
      </c>
      <c r="H184" s="738" t="s">
        <v>1444</v>
      </c>
      <c r="I184" s="770">
        <f>+'Desarrollo Economico'!AK77</f>
        <v>0.375</v>
      </c>
      <c r="J184" s="738" t="s">
        <v>736</v>
      </c>
      <c r="K184" s="742" t="s">
        <v>1996</v>
      </c>
      <c r="P184" s="732"/>
    </row>
    <row r="185" spans="1:16" ht="29.4" thickBot="1" x14ac:dyDescent="0.35">
      <c r="A185" s="738" t="s">
        <v>2068</v>
      </c>
      <c r="B185" s="740">
        <f>'[1]PLAN DE DESARROLLO 2024 - 2027'!$K$92</f>
        <v>0.27017707911062067</v>
      </c>
      <c r="C185" s="738" t="s">
        <v>2070</v>
      </c>
      <c r="D185" s="741">
        <f>'[1]PLAN DE DESARROLLO 2024 - 2027'!$K$110</f>
        <v>0.16916666666666663</v>
      </c>
      <c r="E185" s="738" t="s">
        <v>1797</v>
      </c>
      <c r="F185" s="741">
        <f>'[1]PLAN DE DESARROLLO 2024 - 2027'!$K$112</f>
        <v>0</v>
      </c>
      <c r="G185" s="738" t="s">
        <v>744</v>
      </c>
      <c r="H185" s="738" t="s">
        <v>1445</v>
      </c>
      <c r="I185" s="770">
        <f>+'Desarrollo Economico'!AK78</f>
        <v>0.50800000000000001</v>
      </c>
      <c r="J185" s="738" t="s">
        <v>2072</v>
      </c>
      <c r="K185" s="742" t="s">
        <v>1996</v>
      </c>
      <c r="P185" s="732"/>
    </row>
    <row r="186" spans="1:16" ht="29.4" thickBot="1" x14ac:dyDescent="0.35">
      <c r="A186" s="738" t="s">
        <v>2068</v>
      </c>
      <c r="B186" s="740">
        <f>'[1]PLAN DE DESARROLLO 2024 - 2027'!$K$92</f>
        <v>0.27017707911062067</v>
      </c>
      <c r="C186" s="738" t="s">
        <v>2070</v>
      </c>
      <c r="D186" s="741">
        <f>'[1]PLAN DE DESARROLLO 2024 - 2027'!$K$110</f>
        <v>0.16916666666666663</v>
      </c>
      <c r="E186" s="738" t="s">
        <v>1797</v>
      </c>
      <c r="F186" s="741">
        <f>'[1]PLAN DE DESARROLLO 2024 - 2027'!$K$112</f>
        <v>0</v>
      </c>
      <c r="G186" s="738" t="s">
        <v>746</v>
      </c>
      <c r="H186" s="738" t="s">
        <v>1446</v>
      </c>
      <c r="I186" s="770">
        <f>+'Desarrollo Economico'!AK79</f>
        <v>0.5</v>
      </c>
      <c r="J186" s="738" t="s">
        <v>736</v>
      </c>
      <c r="K186" s="742" t="s">
        <v>1996</v>
      </c>
      <c r="P186" s="732"/>
    </row>
    <row r="187" spans="1:16" ht="15" thickBot="1" x14ac:dyDescent="0.35">
      <c r="A187" s="738" t="s">
        <v>2068</v>
      </c>
      <c r="B187" s="740">
        <f>'[1]PLAN DE DESARROLLO 2024 - 2027'!$K$92</f>
        <v>0.27017707911062067</v>
      </c>
      <c r="C187" s="738" t="s">
        <v>2070</v>
      </c>
      <c r="D187" s="741">
        <f>'[1]PLAN DE DESARROLLO 2024 - 2027'!$K$110</f>
        <v>0.16916666666666663</v>
      </c>
      <c r="E187" s="738" t="s">
        <v>1797</v>
      </c>
      <c r="F187" s="741">
        <f>'[1]PLAN DE DESARROLLO 2024 - 2027'!$K$112</f>
        <v>0</v>
      </c>
      <c r="G187" s="738" t="s">
        <v>747</v>
      </c>
      <c r="H187" s="738" t="s">
        <v>1447</v>
      </c>
      <c r="I187" s="770">
        <f>+'Desarrollo Economico'!AK80</f>
        <v>0.5</v>
      </c>
      <c r="J187" s="738" t="s">
        <v>736</v>
      </c>
      <c r="K187" s="742" t="s">
        <v>1996</v>
      </c>
      <c r="P187" s="732"/>
    </row>
    <row r="188" spans="1:16" ht="29.4" thickBot="1" x14ac:dyDescent="0.35">
      <c r="A188" s="738" t="s">
        <v>2068</v>
      </c>
      <c r="B188" s="740">
        <f>'[1]PLAN DE DESARROLLO 2024 - 2027'!$K$92</f>
        <v>0.27017707911062067</v>
      </c>
      <c r="C188" s="738" t="s">
        <v>2070</v>
      </c>
      <c r="D188" s="741">
        <f>'[1]PLAN DE DESARROLLO 2024 - 2027'!$K$110</f>
        <v>0.16916666666666663</v>
      </c>
      <c r="E188" s="738" t="s">
        <v>1797</v>
      </c>
      <c r="F188" s="741">
        <f>'[1]PLAN DE DESARROLLO 2024 - 2027'!$K$112</f>
        <v>0</v>
      </c>
      <c r="G188" s="738" t="s">
        <v>748</v>
      </c>
      <c r="H188" s="738" t="s">
        <v>1448</v>
      </c>
      <c r="I188" s="770">
        <f>+'Desarrollo Economico'!AK81</f>
        <v>0</v>
      </c>
      <c r="J188" s="738" t="s">
        <v>736</v>
      </c>
      <c r="K188" s="742" t="s">
        <v>1996</v>
      </c>
      <c r="P188" s="732"/>
    </row>
    <row r="189" spans="1:16" ht="29.4" thickBot="1" x14ac:dyDescent="0.35">
      <c r="A189" s="738" t="s">
        <v>2068</v>
      </c>
      <c r="B189" s="740">
        <f>'[1]PLAN DE DESARROLLO 2024 - 2027'!$K$92</f>
        <v>0.27017707911062067</v>
      </c>
      <c r="C189" s="738" t="s">
        <v>2070</v>
      </c>
      <c r="D189" s="741">
        <f>'[1]PLAN DE DESARROLLO 2024 - 2027'!$K$110</f>
        <v>0.16916666666666663</v>
      </c>
      <c r="E189" s="738" t="s">
        <v>1797</v>
      </c>
      <c r="F189" s="741">
        <f>'[1]PLAN DE DESARROLLO 2024 - 2027'!$K$112</f>
        <v>0</v>
      </c>
      <c r="G189" s="738" t="s">
        <v>749</v>
      </c>
      <c r="H189" s="738" t="s">
        <v>1449</v>
      </c>
      <c r="I189" s="770">
        <f>+'Desarrollo Economico'!AK82</f>
        <v>1</v>
      </c>
      <c r="J189" s="738" t="s">
        <v>736</v>
      </c>
      <c r="K189" s="742" t="s">
        <v>1996</v>
      </c>
      <c r="P189" s="732"/>
    </row>
    <row r="190" spans="1:16" ht="29.4" thickBot="1" x14ac:dyDescent="0.35">
      <c r="A190" s="738" t="s">
        <v>2068</v>
      </c>
      <c r="B190" s="740">
        <f>'[1]PLAN DE DESARROLLO 2024 - 2027'!$K$92</f>
        <v>0.27017707911062067</v>
      </c>
      <c r="C190" s="738" t="s">
        <v>2070</v>
      </c>
      <c r="D190" s="741">
        <f>'[1]PLAN DE DESARROLLO 2024 - 2027'!$K$110</f>
        <v>0.16916666666666663</v>
      </c>
      <c r="E190" s="738" t="s">
        <v>1797</v>
      </c>
      <c r="F190" s="741">
        <f>'[1]PLAN DE DESARROLLO 2024 - 2027'!$K$112</f>
        <v>0</v>
      </c>
      <c r="G190" s="738" t="s">
        <v>750</v>
      </c>
      <c r="H190" s="738" t="s">
        <v>1450</v>
      </c>
      <c r="I190" s="770">
        <f>+'Desarrollo Economico'!AK83</f>
        <v>1</v>
      </c>
      <c r="J190" s="738" t="s">
        <v>736</v>
      </c>
      <c r="K190" s="742" t="s">
        <v>1996</v>
      </c>
      <c r="P190" s="732"/>
    </row>
    <row r="191" spans="1:16" ht="29.4" thickBot="1" x14ac:dyDescent="0.35">
      <c r="A191" s="738" t="s">
        <v>2068</v>
      </c>
      <c r="B191" s="740">
        <f>'[1]PLAN DE DESARROLLO 2024 - 2027'!$K$92</f>
        <v>0.27017707911062067</v>
      </c>
      <c r="C191" s="738" t="s">
        <v>2070</v>
      </c>
      <c r="D191" s="741">
        <f>'[1]PLAN DE DESARROLLO 2024 - 2027'!$K$110</f>
        <v>0.16916666666666663</v>
      </c>
      <c r="E191" s="738" t="s">
        <v>1797</v>
      </c>
      <c r="F191" s="741">
        <f>'[1]PLAN DE DESARROLLO 2024 - 2027'!$K$112</f>
        <v>0</v>
      </c>
      <c r="G191" s="738" t="s">
        <v>751</v>
      </c>
      <c r="H191" s="738" t="s">
        <v>1451</v>
      </c>
      <c r="I191" s="770">
        <f>+'Desarrollo Economico'!AK84</f>
        <v>0.4</v>
      </c>
      <c r="J191" s="738" t="s">
        <v>736</v>
      </c>
      <c r="K191" s="742" t="s">
        <v>1996</v>
      </c>
      <c r="P191" s="732"/>
    </row>
    <row r="192" spans="1:16" ht="29.4" thickBot="1" x14ac:dyDescent="0.35">
      <c r="A192" s="738" t="s">
        <v>2068</v>
      </c>
      <c r="B192" s="740">
        <f>'[1]PLAN DE DESARROLLO 2024 - 2027'!$K$92</f>
        <v>0.27017707911062067</v>
      </c>
      <c r="C192" s="738" t="s">
        <v>2070</v>
      </c>
      <c r="D192" s="741">
        <f>'[1]PLAN DE DESARROLLO 2024 - 2027'!$K$110</f>
        <v>0.16916666666666663</v>
      </c>
      <c r="E192" s="738" t="s">
        <v>1797</v>
      </c>
      <c r="F192" s="741">
        <f>'[1]PLAN DE DESARROLLO 2024 - 2027'!$K$112</f>
        <v>0</v>
      </c>
      <c r="G192" s="738" t="s">
        <v>752</v>
      </c>
      <c r="H192" s="738" t="s">
        <v>1452</v>
      </c>
      <c r="I192" s="770">
        <f>+'Desarrollo Economico'!AK85</f>
        <v>0.375</v>
      </c>
      <c r="J192" s="738" t="s">
        <v>736</v>
      </c>
      <c r="K192" s="742" t="s">
        <v>1996</v>
      </c>
      <c r="P192" s="732"/>
    </row>
    <row r="193" spans="1:16" ht="29.4" thickBot="1" x14ac:dyDescent="0.35">
      <c r="A193" s="738" t="s">
        <v>2068</v>
      </c>
      <c r="B193" s="740">
        <f>'[1]PLAN DE DESARROLLO 2024 - 2027'!$K$92</f>
        <v>0.27017707911062067</v>
      </c>
      <c r="C193" s="738" t="s">
        <v>2070</v>
      </c>
      <c r="D193" s="741">
        <f>'[1]PLAN DE DESARROLLO 2024 - 2027'!$K$110</f>
        <v>0.16916666666666663</v>
      </c>
      <c r="E193" s="738" t="s">
        <v>2073</v>
      </c>
      <c r="F193" s="741">
        <f>'[1]PLAN DE DESARROLLO 2024 - 2027'!$K$114</f>
        <v>0</v>
      </c>
      <c r="G193" s="738" t="s">
        <v>2074</v>
      </c>
      <c r="H193" s="738" t="s">
        <v>1457</v>
      </c>
      <c r="I193" s="770">
        <f>+'Desarrollo Economico'!AK92</f>
        <v>0.26111111111111113</v>
      </c>
      <c r="J193" s="738" t="s">
        <v>2075</v>
      </c>
      <c r="K193" s="742" t="s">
        <v>1996</v>
      </c>
      <c r="P193" s="732"/>
    </row>
    <row r="194" spans="1:16" ht="15" thickBot="1" x14ac:dyDescent="0.35">
      <c r="A194" s="738" t="s">
        <v>2068</v>
      </c>
      <c r="B194" s="740">
        <f>'[1]PLAN DE DESARROLLO 2024 - 2027'!$K$92</f>
        <v>0.27017707911062067</v>
      </c>
      <c r="C194" s="738" t="s">
        <v>2070</v>
      </c>
      <c r="D194" s="741">
        <f>'[1]PLAN DE DESARROLLO 2024 - 2027'!$K$110</f>
        <v>0.16916666666666663</v>
      </c>
      <c r="E194" s="738" t="s">
        <v>2073</v>
      </c>
      <c r="F194" s="741">
        <f>'[1]PLAN DE DESARROLLO 2024 - 2027'!$K$114</f>
        <v>0</v>
      </c>
      <c r="G194" s="738" t="s">
        <v>760</v>
      </c>
      <c r="H194" s="738" t="s">
        <v>1458</v>
      </c>
      <c r="I194" s="770">
        <f>+'Desarrollo Economico'!AK93</f>
        <v>0.5</v>
      </c>
      <c r="J194" s="738" t="s">
        <v>736</v>
      </c>
      <c r="K194" s="742" t="s">
        <v>1996</v>
      </c>
      <c r="P194" s="732"/>
    </row>
    <row r="195" spans="1:16" ht="29.4" thickBot="1" x14ac:dyDescent="0.35">
      <c r="A195" s="738" t="s">
        <v>2068</v>
      </c>
      <c r="B195" s="740">
        <f>'[1]PLAN DE DESARROLLO 2024 - 2027'!$K$92</f>
        <v>0.27017707911062067</v>
      </c>
      <c r="C195" s="738" t="s">
        <v>2070</v>
      </c>
      <c r="D195" s="741">
        <f>'[1]PLAN DE DESARROLLO 2024 - 2027'!$K$110</f>
        <v>0.16916666666666663</v>
      </c>
      <c r="E195" s="738" t="s">
        <v>2073</v>
      </c>
      <c r="F195" s="741">
        <f>'[1]PLAN DE DESARROLLO 2024 - 2027'!$K$114</f>
        <v>0</v>
      </c>
      <c r="G195" s="738" t="s">
        <v>761</v>
      </c>
      <c r="H195" s="738" t="s">
        <v>1459</v>
      </c>
      <c r="I195" s="770">
        <f>+'Desarrollo Economico'!AK94</f>
        <v>0.32500000000000001</v>
      </c>
      <c r="J195" s="738" t="s">
        <v>736</v>
      </c>
      <c r="K195" s="742" t="s">
        <v>1996</v>
      </c>
      <c r="P195" s="732"/>
    </row>
    <row r="196" spans="1:16" ht="43.8" thickBot="1" x14ac:dyDescent="0.35">
      <c r="A196" s="738" t="s">
        <v>2068</v>
      </c>
      <c r="B196" s="740">
        <f>'[1]PLAN DE DESARROLLO 2024 - 2027'!$K$92</f>
        <v>0.27017707911062067</v>
      </c>
      <c r="C196" s="738" t="s">
        <v>2070</v>
      </c>
      <c r="D196" s="741">
        <f>'[1]PLAN DE DESARROLLO 2024 - 2027'!$K$110</f>
        <v>0.16916666666666663</v>
      </c>
      <c r="E196" s="738" t="s">
        <v>2073</v>
      </c>
      <c r="F196" s="741">
        <f>'[1]PLAN DE DESARROLLO 2024 - 2027'!$K$114</f>
        <v>0</v>
      </c>
      <c r="G196" s="738" t="s">
        <v>762</v>
      </c>
      <c r="H196" s="738" t="s">
        <v>1460</v>
      </c>
      <c r="I196" s="770">
        <f>+'Desarrollo Economico'!AK95</f>
        <v>0.32</v>
      </c>
      <c r="J196" s="738" t="s">
        <v>736</v>
      </c>
      <c r="K196" s="742" t="s">
        <v>1996</v>
      </c>
      <c r="P196" s="732"/>
    </row>
    <row r="197" spans="1:16" ht="27.6" customHeight="1" thickBot="1" x14ac:dyDescent="0.35">
      <c r="A197" s="738" t="s">
        <v>2068</v>
      </c>
      <c r="B197" s="740">
        <f>'[1]PLAN DE DESARROLLO 2024 - 2027'!$K$92</f>
        <v>0.27017707911062067</v>
      </c>
      <c r="C197" s="738" t="s">
        <v>2076</v>
      </c>
      <c r="D197" s="741">
        <f>'[1]PLAN DE DESARROLLO 2024 - 2027'!$K$93</f>
        <v>0.3783333333333333</v>
      </c>
      <c r="E197" s="738" t="s">
        <v>2077</v>
      </c>
      <c r="F197" s="741">
        <f>'[1]PLAN DE DESARROLLO 2024 - 2027'!$K$94</f>
        <v>0.5</v>
      </c>
      <c r="G197" s="738" t="s">
        <v>681</v>
      </c>
      <c r="H197" s="738" t="s">
        <v>1391</v>
      </c>
      <c r="I197" s="770">
        <f>+'Desarrollo Economico'!AK6</f>
        <v>1</v>
      </c>
      <c r="J197" s="738" t="s">
        <v>683</v>
      </c>
      <c r="K197" s="742" t="s">
        <v>1996</v>
      </c>
      <c r="P197" s="732"/>
    </row>
    <row r="198" spans="1:16" ht="29.4" thickBot="1" x14ac:dyDescent="0.35">
      <c r="A198" s="738" t="s">
        <v>2068</v>
      </c>
      <c r="B198" s="740">
        <f>'[1]PLAN DE DESARROLLO 2024 - 2027'!$K$92</f>
        <v>0.27017707911062067</v>
      </c>
      <c r="C198" s="738" t="s">
        <v>2076</v>
      </c>
      <c r="D198" s="741">
        <f>'[1]PLAN DE DESARROLLO 2024 - 2027'!$K$93</f>
        <v>0.3783333333333333</v>
      </c>
      <c r="E198" s="738" t="s">
        <v>2077</v>
      </c>
      <c r="F198" s="741">
        <f>'[1]PLAN DE DESARROLLO 2024 - 2027'!$K$94</f>
        <v>0.5</v>
      </c>
      <c r="G198" s="738" t="s">
        <v>682</v>
      </c>
      <c r="H198" s="738" t="s">
        <v>1392</v>
      </c>
      <c r="I198" s="770">
        <f>+'Desarrollo Economico'!AK7</f>
        <v>1</v>
      </c>
      <c r="J198" s="738" t="s">
        <v>683</v>
      </c>
      <c r="K198" s="742" t="s">
        <v>1996</v>
      </c>
      <c r="P198" s="732"/>
    </row>
    <row r="199" spans="1:16" ht="58.2" thickBot="1" x14ac:dyDescent="0.35">
      <c r="A199" s="738" t="s">
        <v>2068</v>
      </c>
      <c r="B199" s="740">
        <f>'[1]PLAN DE DESARROLLO 2024 - 2027'!$K$92</f>
        <v>0.27017707911062067</v>
      </c>
      <c r="C199" s="738" t="s">
        <v>2076</v>
      </c>
      <c r="D199" s="741">
        <f>'[1]PLAN DE DESARROLLO 2024 - 2027'!$K$93</f>
        <v>0.3783333333333333</v>
      </c>
      <c r="E199" s="738" t="s">
        <v>2077</v>
      </c>
      <c r="F199" s="741">
        <f>'[1]PLAN DE DESARROLLO 2024 - 2027'!$K$94</f>
        <v>0.5</v>
      </c>
      <c r="G199" s="738" t="s">
        <v>684</v>
      </c>
      <c r="H199" s="738" t="s">
        <v>1393</v>
      </c>
      <c r="I199" s="770">
        <f>+'Desarrollo Economico'!AK8</f>
        <v>0.75</v>
      </c>
      <c r="J199" s="738" t="s">
        <v>683</v>
      </c>
      <c r="K199" s="742" t="s">
        <v>1996</v>
      </c>
      <c r="P199" s="732"/>
    </row>
    <row r="200" spans="1:16" ht="43.8" thickBot="1" x14ac:dyDescent="0.35">
      <c r="A200" s="738" t="s">
        <v>2068</v>
      </c>
      <c r="B200" s="740">
        <f>'[1]PLAN DE DESARROLLO 2024 - 2027'!$K$92</f>
        <v>0.27017707911062067</v>
      </c>
      <c r="C200" s="738" t="s">
        <v>2076</v>
      </c>
      <c r="D200" s="741">
        <f>'[1]PLAN DE DESARROLLO 2024 - 2027'!$K$93</f>
        <v>0.3783333333333333</v>
      </c>
      <c r="E200" s="738" t="s">
        <v>2077</v>
      </c>
      <c r="F200" s="741">
        <f>'[1]PLAN DE DESARROLLO 2024 - 2027'!$K$94</f>
        <v>0.5</v>
      </c>
      <c r="G200" s="738" t="s">
        <v>685</v>
      </c>
      <c r="H200" s="738" t="s">
        <v>2078</v>
      </c>
      <c r="I200" s="770">
        <f>+'Desarrollo Economico'!AK9</f>
        <v>0.33500000000000002</v>
      </c>
      <c r="J200" s="738" t="s">
        <v>683</v>
      </c>
      <c r="K200" s="742" t="s">
        <v>1996</v>
      </c>
      <c r="P200" s="732"/>
    </row>
    <row r="201" spans="1:16" ht="15" thickBot="1" x14ac:dyDescent="0.35">
      <c r="A201" s="738" t="s">
        <v>2068</v>
      </c>
      <c r="B201" s="740">
        <f>'[1]PLAN DE DESARROLLO 2024 - 2027'!$K$92</f>
        <v>0.27017707911062067</v>
      </c>
      <c r="C201" s="738" t="s">
        <v>2076</v>
      </c>
      <c r="D201" s="741">
        <f>'[1]PLAN DE DESARROLLO 2024 - 2027'!$K$93</f>
        <v>0.3783333333333333</v>
      </c>
      <c r="E201" s="738" t="s">
        <v>2077</v>
      </c>
      <c r="F201" s="741">
        <f>'[1]PLAN DE DESARROLLO 2024 - 2027'!$K$94</f>
        <v>0.5</v>
      </c>
      <c r="G201" s="738" t="s">
        <v>686</v>
      </c>
      <c r="H201" s="738" t="s">
        <v>1395</v>
      </c>
      <c r="I201" s="770">
        <f>+'Desarrollo Economico'!AK10</f>
        <v>0.4</v>
      </c>
      <c r="J201" s="738" t="s">
        <v>683</v>
      </c>
      <c r="K201" s="742" t="s">
        <v>1996</v>
      </c>
      <c r="P201" s="732"/>
    </row>
    <row r="202" spans="1:16" ht="29.4" thickBot="1" x14ac:dyDescent="0.35">
      <c r="A202" s="738" t="s">
        <v>2068</v>
      </c>
      <c r="B202" s="740">
        <f>'[1]PLAN DE DESARROLLO 2024 - 2027'!$K$92</f>
        <v>0.27017707911062067</v>
      </c>
      <c r="C202" s="738" t="s">
        <v>2076</v>
      </c>
      <c r="D202" s="741">
        <f>'[1]PLAN DE DESARROLLO 2024 - 2027'!$K$93</f>
        <v>0.3783333333333333</v>
      </c>
      <c r="E202" s="738" t="s">
        <v>2079</v>
      </c>
      <c r="F202" s="741">
        <f>'[1]PLAN DE DESARROLLO 2024 - 2027'!$K$95</f>
        <v>0.25666666666666665</v>
      </c>
      <c r="G202" s="738" t="s">
        <v>687</v>
      </c>
      <c r="H202" s="738" t="s">
        <v>1396</v>
      </c>
      <c r="I202" s="770">
        <f>+'Desarrollo Economico'!AK12</f>
        <v>0.5</v>
      </c>
      <c r="J202" s="738" t="s">
        <v>683</v>
      </c>
      <c r="K202" s="742" t="s">
        <v>1996</v>
      </c>
      <c r="P202" s="732"/>
    </row>
    <row r="203" spans="1:16" ht="15" thickBot="1" x14ac:dyDescent="0.35">
      <c r="A203" s="738" t="s">
        <v>2068</v>
      </c>
      <c r="B203" s="740">
        <f>'[1]PLAN DE DESARROLLO 2024 - 2027'!$K$92</f>
        <v>0.27017707911062067</v>
      </c>
      <c r="C203" s="738" t="s">
        <v>2076</v>
      </c>
      <c r="D203" s="741">
        <f>'[1]PLAN DE DESARROLLO 2024 - 2027'!$K$93</f>
        <v>0.3783333333333333</v>
      </c>
      <c r="E203" s="738" t="s">
        <v>2079</v>
      </c>
      <c r="F203" s="741">
        <f>'[1]PLAN DE DESARROLLO 2024 - 2027'!$K$95</f>
        <v>0.25666666666666665</v>
      </c>
      <c r="G203" s="738" t="s">
        <v>688</v>
      </c>
      <c r="H203" s="738" t="s">
        <v>1397</v>
      </c>
      <c r="I203" s="770">
        <f>+'Desarrollo Economico'!AK13</f>
        <v>0.43</v>
      </c>
      <c r="J203" s="738" t="s">
        <v>683</v>
      </c>
      <c r="K203" s="742" t="s">
        <v>1996</v>
      </c>
      <c r="P203" s="732"/>
    </row>
    <row r="204" spans="1:16" ht="29.4" thickBot="1" x14ac:dyDescent="0.35">
      <c r="A204" s="738" t="s">
        <v>2068</v>
      </c>
      <c r="B204" s="740">
        <f>'[1]PLAN DE DESARROLLO 2024 - 2027'!$K$92</f>
        <v>0.27017707911062067</v>
      </c>
      <c r="C204" s="738" t="s">
        <v>2076</v>
      </c>
      <c r="D204" s="741">
        <f>'[1]PLAN DE DESARROLLO 2024 - 2027'!$K$93</f>
        <v>0.3783333333333333</v>
      </c>
      <c r="E204" s="738" t="s">
        <v>2079</v>
      </c>
      <c r="F204" s="741">
        <f>'[1]PLAN DE DESARROLLO 2024 - 2027'!$K$95</f>
        <v>0.25666666666666665</v>
      </c>
      <c r="G204" s="738" t="s">
        <v>689</v>
      </c>
      <c r="H204" s="738" t="s">
        <v>1398</v>
      </c>
      <c r="I204" s="770">
        <f>+'Desarrollo Economico'!AK14</f>
        <v>0.42500000000000004</v>
      </c>
      <c r="J204" s="738" t="s">
        <v>683</v>
      </c>
      <c r="K204" s="742" t="s">
        <v>1996</v>
      </c>
      <c r="P204" s="732"/>
    </row>
    <row r="205" spans="1:16" ht="29.4" thickBot="1" x14ac:dyDescent="0.35">
      <c r="A205" s="738" t="s">
        <v>2068</v>
      </c>
      <c r="B205" s="740">
        <f>'[1]PLAN DE DESARROLLO 2024 - 2027'!$K$92</f>
        <v>0.27017707911062067</v>
      </c>
      <c r="C205" s="738" t="s">
        <v>2080</v>
      </c>
      <c r="D205" s="741">
        <f>'[1]PLAN DE DESARROLLO 2024 - 2027'!$K$96</f>
        <v>0.36955295801526716</v>
      </c>
      <c r="E205" s="738" t="s">
        <v>2081</v>
      </c>
      <c r="F205" s="741">
        <f>'[1]PLAN DE DESARROLLO 2024 - 2027'!$K$97</f>
        <v>0.63124999999999998</v>
      </c>
      <c r="G205" s="738" t="s">
        <v>690</v>
      </c>
      <c r="H205" s="738" t="s">
        <v>1399</v>
      </c>
      <c r="I205" s="770">
        <f>+'Desarrollo Economico'!AK17</f>
        <v>0.42499999999999999</v>
      </c>
      <c r="J205" s="738" t="s">
        <v>683</v>
      </c>
      <c r="K205" s="742" t="s">
        <v>1996</v>
      </c>
      <c r="P205" s="732"/>
    </row>
    <row r="206" spans="1:16" ht="29.4" thickBot="1" x14ac:dyDescent="0.35">
      <c r="A206" s="738" t="s">
        <v>2068</v>
      </c>
      <c r="B206" s="740">
        <f>'[1]PLAN DE DESARROLLO 2024 - 2027'!$K$92</f>
        <v>0.27017707911062067</v>
      </c>
      <c r="C206" s="738" t="s">
        <v>2080</v>
      </c>
      <c r="D206" s="741">
        <f>'[1]PLAN DE DESARROLLO 2024 - 2027'!$K$96</f>
        <v>0.36955295801526716</v>
      </c>
      <c r="E206" s="738" t="s">
        <v>2081</v>
      </c>
      <c r="F206" s="741">
        <f>'[1]PLAN DE DESARROLLO 2024 - 2027'!$K$97</f>
        <v>0.63124999999999998</v>
      </c>
      <c r="G206" s="738" t="s">
        <v>691</v>
      </c>
      <c r="H206" s="738" t="s">
        <v>1400</v>
      </c>
      <c r="I206" s="770">
        <f>+'Desarrollo Economico'!AK18</f>
        <v>0.46250000000000002</v>
      </c>
      <c r="J206" s="738" t="s">
        <v>683</v>
      </c>
      <c r="K206" s="742" t="s">
        <v>1996</v>
      </c>
      <c r="P206" s="732"/>
    </row>
    <row r="207" spans="1:16" ht="29.4" thickBot="1" x14ac:dyDescent="0.35">
      <c r="A207" s="738" t="s">
        <v>2068</v>
      </c>
      <c r="B207" s="740">
        <f>'[1]PLAN DE DESARROLLO 2024 - 2027'!$K$92</f>
        <v>0.27017707911062067</v>
      </c>
      <c r="C207" s="738" t="s">
        <v>2080</v>
      </c>
      <c r="D207" s="741">
        <f>'[1]PLAN DE DESARROLLO 2024 - 2027'!$K$96</f>
        <v>0.36955295801526716</v>
      </c>
      <c r="E207" s="738" t="s">
        <v>2081</v>
      </c>
      <c r="F207" s="741">
        <f>'[1]PLAN DE DESARROLLO 2024 - 2027'!$K$97</f>
        <v>0.63124999999999998</v>
      </c>
      <c r="G207" s="738" t="s">
        <v>692</v>
      </c>
      <c r="H207" s="738" t="s">
        <v>1401</v>
      </c>
      <c r="I207" s="770">
        <f>+'Desarrollo Economico'!AK19</f>
        <v>1</v>
      </c>
      <c r="J207" s="738" t="s">
        <v>683</v>
      </c>
      <c r="K207" s="742" t="s">
        <v>1996</v>
      </c>
      <c r="P207" s="732"/>
    </row>
    <row r="208" spans="1:16" ht="29.4" thickBot="1" x14ac:dyDescent="0.35">
      <c r="A208" s="738" t="s">
        <v>2068</v>
      </c>
      <c r="B208" s="740">
        <f>'[1]PLAN DE DESARROLLO 2024 - 2027'!$K$92</f>
        <v>0.27017707911062067</v>
      </c>
      <c r="C208" s="738" t="s">
        <v>2080</v>
      </c>
      <c r="D208" s="741">
        <f>'[1]PLAN DE DESARROLLO 2024 - 2027'!$K$96</f>
        <v>0.36955295801526716</v>
      </c>
      <c r="E208" s="738" t="s">
        <v>2081</v>
      </c>
      <c r="F208" s="741">
        <f>'[1]PLAN DE DESARROLLO 2024 - 2027'!$K$97</f>
        <v>0.63124999999999998</v>
      </c>
      <c r="G208" s="738" t="s">
        <v>693</v>
      </c>
      <c r="H208" s="738" t="s">
        <v>1402</v>
      </c>
      <c r="I208" s="770">
        <f>+'Desarrollo Economico'!AK20</f>
        <v>1</v>
      </c>
      <c r="J208" s="738" t="s">
        <v>683</v>
      </c>
      <c r="K208" s="742" t="s">
        <v>1996</v>
      </c>
      <c r="P208" s="732"/>
    </row>
    <row r="209" spans="1:16" ht="29.4" thickBot="1" x14ac:dyDescent="0.35">
      <c r="A209" s="738" t="s">
        <v>2068</v>
      </c>
      <c r="B209" s="740">
        <f>'[1]PLAN DE DESARROLLO 2024 - 2027'!$K$92</f>
        <v>0.27017707911062067</v>
      </c>
      <c r="C209" s="738" t="s">
        <v>2080</v>
      </c>
      <c r="D209" s="741">
        <f>'[1]PLAN DE DESARROLLO 2024 - 2027'!$K$96</f>
        <v>0.36955295801526716</v>
      </c>
      <c r="E209" s="738" t="s">
        <v>2082</v>
      </c>
      <c r="F209" s="741">
        <f>'[1]PLAN DE DESARROLLO 2024 - 2027'!$K$98</f>
        <v>0.35496183206106868</v>
      </c>
      <c r="G209" s="738" t="s">
        <v>694</v>
      </c>
      <c r="H209" s="738" t="s">
        <v>1403</v>
      </c>
      <c r="I209" s="770">
        <f>+'Desarrollo Economico'!AK22</f>
        <v>0.75</v>
      </c>
      <c r="J209" s="738" t="s">
        <v>516</v>
      </c>
      <c r="K209" s="742" t="s">
        <v>1996</v>
      </c>
      <c r="P209" s="732"/>
    </row>
    <row r="210" spans="1:16" ht="29.4" thickBot="1" x14ac:dyDescent="0.35">
      <c r="A210" s="738" t="s">
        <v>2068</v>
      </c>
      <c r="B210" s="740">
        <f>'[1]PLAN DE DESARROLLO 2024 - 2027'!$K$92</f>
        <v>0.27017707911062067</v>
      </c>
      <c r="C210" s="738" t="s">
        <v>2080</v>
      </c>
      <c r="D210" s="741">
        <f>'[1]PLAN DE DESARROLLO 2024 - 2027'!$K$96</f>
        <v>0.36955295801526716</v>
      </c>
      <c r="E210" s="738" t="s">
        <v>2082</v>
      </c>
      <c r="F210" s="741">
        <f>'[1]PLAN DE DESARROLLO 2024 - 2027'!$K$98</f>
        <v>0.35496183206106868</v>
      </c>
      <c r="G210" s="738" t="s">
        <v>695</v>
      </c>
      <c r="H210" s="738" t="s">
        <v>1404</v>
      </c>
      <c r="I210" s="770">
        <f>+'Desarrollo Economico'!AK23</f>
        <v>0.5725190839694656</v>
      </c>
      <c r="J210" s="738" t="s">
        <v>516</v>
      </c>
      <c r="K210" s="742" t="s">
        <v>1996</v>
      </c>
      <c r="P210" s="732"/>
    </row>
    <row r="211" spans="1:16" ht="30" customHeight="1" thickBot="1" x14ac:dyDescent="0.35">
      <c r="A211" s="738" t="s">
        <v>2068</v>
      </c>
      <c r="B211" s="740">
        <f>'[1]PLAN DE DESARROLLO 2024 - 2027'!$K$92</f>
        <v>0.27017707911062067</v>
      </c>
      <c r="C211" s="738" t="s">
        <v>2080</v>
      </c>
      <c r="D211" s="741">
        <f>'[1]PLAN DE DESARROLLO 2024 - 2027'!$K$96</f>
        <v>0.36955295801526716</v>
      </c>
      <c r="E211" s="738" t="s">
        <v>2083</v>
      </c>
      <c r="F211" s="741">
        <f>'[1]PLAN DE DESARROLLO 2024 - 2027'!$K$99</f>
        <v>0.24199999999999999</v>
      </c>
      <c r="G211" s="738" t="s">
        <v>697</v>
      </c>
      <c r="H211" s="738" t="s">
        <v>1405</v>
      </c>
      <c r="I211" s="770">
        <f>+'Desarrollo Economico'!AK25</f>
        <v>1</v>
      </c>
      <c r="J211" s="738" t="s">
        <v>698</v>
      </c>
      <c r="K211" s="742" t="s">
        <v>1996</v>
      </c>
      <c r="P211" s="732"/>
    </row>
    <row r="212" spans="1:16" ht="29.4" thickBot="1" x14ac:dyDescent="0.35">
      <c r="A212" s="738" t="s">
        <v>2068</v>
      </c>
      <c r="B212" s="740">
        <f>'[1]PLAN DE DESARROLLO 2024 - 2027'!$K$92</f>
        <v>0.27017707911062067</v>
      </c>
      <c r="C212" s="738" t="s">
        <v>2080</v>
      </c>
      <c r="D212" s="741">
        <f>'[1]PLAN DE DESARROLLO 2024 - 2027'!$K$96</f>
        <v>0.36955295801526716</v>
      </c>
      <c r="E212" s="738" t="s">
        <v>2083</v>
      </c>
      <c r="F212" s="741">
        <f>'[1]PLAN DE DESARROLLO 2024 - 2027'!$K$99</f>
        <v>0.24199999999999999</v>
      </c>
      <c r="G212" s="738" t="s">
        <v>699</v>
      </c>
      <c r="H212" s="738" t="s">
        <v>1406</v>
      </c>
      <c r="I212" s="771">
        <f>+'Desarrollo Economico'!AK26</f>
        <v>0.1</v>
      </c>
      <c r="J212" s="738" t="s">
        <v>2084</v>
      </c>
      <c r="K212" s="742" t="s">
        <v>1996</v>
      </c>
      <c r="P212" s="732"/>
    </row>
    <row r="213" spans="1:16" ht="29.4" thickBot="1" x14ac:dyDescent="0.35">
      <c r="A213" s="738" t="s">
        <v>2068</v>
      </c>
      <c r="B213" s="740">
        <f>'[1]PLAN DE DESARROLLO 2024 - 2027'!$K$92</f>
        <v>0.27017707911062067</v>
      </c>
      <c r="C213" s="738" t="s">
        <v>2080</v>
      </c>
      <c r="D213" s="741">
        <f>'[1]PLAN DE DESARROLLO 2024 - 2027'!$K$96</f>
        <v>0.36955295801526716</v>
      </c>
      <c r="E213" s="738" t="s">
        <v>2083</v>
      </c>
      <c r="F213" s="741">
        <f>'[1]PLAN DE DESARROLLO 2024 - 2027'!$K$99</f>
        <v>0.24199999999999999</v>
      </c>
      <c r="G213" s="738" t="s">
        <v>701</v>
      </c>
      <c r="H213" s="738" t="s">
        <v>1407</v>
      </c>
      <c r="I213" s="771">
        <f>+'Desarrollo Economico'!AK27</f>
        <v>0.6</v>
      </c>
      <c r="J213" s="738" t="s">
        <v>516</v>
      </c>
      <c r="K213" s="742" t="s">
        <v>1996</v>
      </c>
      <c r="P213" s="732"/>
    </row>
    <row r="214" spans="1:16" ht="43.8" thickBot="1" x14ac:dyDescent="0.35">
      <c r="A214" s="738" t="s">
        <v>2068</v>
      </c>
      <c r="B214" s="740">
        <f>'[1]PLAN DE DESARROLLO 2024 - 2027'!$K$92</f>
        <v>0.27017707911062067</v>
      </c>
      <c r="C214" s="738" t="s">
        <v>2080</v>
      </c>
      <c r="D214" s="741">
        <f>'[1]PLAN DE DESARROLLO 2024 - 2027'!$K$96</f>
        <v>0.36955295801526716</v>
      </c>
      <c r="E214" s="738" t="s">
        <v>2085</v>
      </c>
      <c r="F214" s="741">
        <f>'[1]PLAN DE DESARROLLO 2024 - 2027'!$K$100</f>
        <v>0.25</v>
      </c>
      <c r="G214" s="738" t="s">
        <v>702</v>
      </c>
      <c r="H214" s="738" t="s">
        <v>1408</v>
      </c>
      <c r="I214" s="770">
        <f>+'Desarrollo Economico'!AK29</f>
        <v>0.50000000000000011</v>
      </c>
      <c r="J214" s="738" t="s">
        <v>560</v>
      </c>
      <c r="K214" s="742" t="s">
        <v>1996</v>
      </c>
      <c r="P214" s="732"/>
    </row>
    <row r="215" spans="1:16" ht="29.4" thickBot="1" x14ac:dyDescent="0.35">
      <c r="A215" s="738" t="s">
        <v>2068</v>
      </c>
      <c r="B215" s="740">
        <f>'[1]PLAN DE DESARROLLO 2024 - 2027'!$K$92</f>
        <v>0.27017707911062067</v>
      </c>
      <c r="C215" s="738" t="s">
        <v>2080</v>
      </c>
      <c r="D215" s="741">
        <f>'[1]PLAN DE DESARROLLO 2024 - 2027'!$K$96</f>
        <v>0.36955295801526716</v>
      </c>
      <c r="E215" s="738" t="s">
        <v>2085</v>
      </c>
      <c r="F215" s="741">
        <f>'[1]PLAN DE DESARROLLO 2024 - 2027'!$K$100</f>
        <v>0.25</v>
      </c>
      <c r="G215" s="738" t="s">
        <v>703</v>
      </c>
      <c r="H215" s="738" t="s">
        <v>1409</v>
      </c>
      <c r="I215" s="770">
        <f>+'Desarrollo Economico'!AK30</f>
        <v>0.50000000000000011</v>
      </c>
      <c r="J215" s="738" t="s">
        <v>560</v>
      </c>
      <c r="K215" s="742" t="s">
        <v>1996</v>
      </c>
      <c r="P215" s="732"/>
    </row>
    <row r="216" spans="1:16" ht="29.4" thickBot="1" x14ac:dyDescent="0.35">
      <c r="A216" s="738" t="s">
        <v>2068</v>
      </c>
      <c r="B216" s="740">
        <f>'[1]PLAN DE DESARROLLO 2024 - 2027'!$K$92</f>
        <v>0.27017707911062067</v>
      </c>
      <c r="C216" s="738" t="s">
        <v>2080</v>
      </c>
      <c r="D216" s="741">
        <f>'[1]PLAN DE DESARROLLO 2024 - 2027'!$K$96</f>
        <v>0.36955295801526716</v>
      </c>
      <c r="E216" s="738" t="s">
        <v>2085</v>
      </c>
      <c r="F216" s="741">
        <f>'[1]PLAN DE DESARROLLO 2024 - 2027'!$K$100</f>
        <v>0.25</v>
      </c>
      <c r="G216" s="738" t="s">
        <v>704</v>
      </c>
      <c r="H216" s="738" t="s">
        <v>1410</v>
      </c>
      <c r="I216" s="770">
        <f>+'Desarrollo Economico'!AK31</f>
        <v>1</v>
      </c>
      <c r="J216" s="738" t="s">
        <v>683</v>
      </c>
      <c r="K216" s="742" t="s">
        <v>1996</v>
      </c>
      <c r="P216" s="732"/>
    </row>
    <row r="217" spans="1:16" ht="43.8" thickBot="1" x14ac:dyDescent="0.35">
      <c r="A217" s="738" t="s">
        <v>2068</v>
      </c>
      <c r="B217" s="740">
        <f>'[1]PLAN DE DESARROLLO 2024 - 2027'!$K$92</f>
        <v>0.27017707911062067</v>
      </c>
      <c r="C217" s="738" t="s">
        <v>2080</v>
      </c>
      <c r="D217" s="741">
        <f>'[1]PLAN DE DESARROLLO 2024 - 2027'!$K$96</f>
        <v>0.36955295801526716</v>
      </c>
      <c r="E217" s="738" t="s">
        <v>2085</v>
      </c>
      <c r="F217" s="741">
        <f>'[1]PLAN DE DESARROLLO 2024 - 2027'!$K$100</f>
        <v>0.25</v>
      </c>
      <c r="G217" s="738" t="s">
        <v>705</v>
      </c>
      <c r="H217" s="738" t="s">
        <v>1411</v>
      </c>
      <c r="I217" s="770">
        <f>+'Desarrollo Economico'!AK32</f>
        <v>0.2</v>
      </c>
      <c r="J217" s="738" t="s">
        <v>683</v>
      </c>
      <c r="K217" s="742" t="s">
        <v>1996</v>
      </c>
      <c r="P217" s="732"/>
    </row>
    <row r="218" spans="1:16" ht="43.8" thickBot="1" x14ac:dyDescent="0.35">
      <c r="A218" s="738" t="s">
        <v>2068</v>
      </c>
      <c r="B218" s="740">
        <f>'[1]PLAN DE DESARROLLO 2024 - 2027'!$K$92</f>
        <v>0.27017707911062067</v>
      </c>
      <c r="C218" s="738" t="s">
        <v>2086</v>
      </c>
      <c r="D218" s="741">
        <f>'[1]PLAN DE DESARROLLO 2024 - 2027'!$K$101</f>
        <v>0.31219487179487176</v>
      </c>
      <c r="E218" s="738" t="s">
        <v>2087</v>
      </c>
      <c r="F218" s="741">
        <f>'[1]PLAN DE DESARROLLO 2024 - 2027'!$K$102</f>
        <v>0.11370000000000001</v>
      </c>
      <c r="G218" s="738" t="s">
        <v>706</v>
      </c>
      <c r="H218" s="738" t="s">
        <v>1412</v>
      </c>
      <c r="I218" s="771">
        <f>+'Desarrollo Economico'!AK35</f>
        <v>0</v>
      </c>
      <c r="J218" s="738" t="s">
        <v>707</v>
      </c>
      <c r="K218" s="742" t="s">
        <v>1996</v>
      </c>
      <c r="P218" s="732"/>
    </row>
    <row r="219" spans="1:16" ht="43.8" thickBot="1" x14ac:dyDescent="0.35">
      <c r="A219" s="738" t="s">
        <v>2068</v>
      </c>
      <c r="B219" s="740">
        <f>'[1]PLAN DE DESARROLLO 2024 - 2027'!$K$92</f>
        <v>0.27017707911062067</v>
      </c>
      <c r="C219" s="738" t="s">
        <v>2086</v>
      </c>
      <c r="D219" s="741">
        <f>'[1]PLAN DE DESARROLLO 2024 - 2027'!$K$101</f>
        <v>0.31219487179487176</v>
      </c>
      <c r="E219" s="738" t="s">
        <v>2087</v>
      </c>
      <c r="F219" s="741">
        <f>'[1]PLAN DE DESARROLLO 2024 - 2027'!$K$102</f>
        <v>0.11370000000000001</v>
      </c>
      <c r="G219" s="738" t="s">
        <v>708</v>
      </c>
      <c r="H219" s="738" t="s">
        <v>1413</v>
      </c>
      <c r="I219" s="771">
        <f>+'Desarrollo Economico'!AK36</f>
        <v>0</v>
      </c>
      <c r="J219" s="738" t="s">
        <v>58</v>
      </c>
      <c r="K219" s="742" t="s">
        <v>1996</v>
      </c>
      <c r="P219" s="732"/>
    </row>
    <row r="220" spans="1:16" ht="43.8" thickBot="1" x14ac:dyDescent="0.35">
      <c r="A220" s="738" t="s">
        <v>2068</v>
      </c>
      <c r="B220" s="740">
        <f>'[1]PLAN DE DESARROLLO 2024 - 2027'!$K$92</f>
        <v>0.27017707911062067</v>
      </c>
      <c r="C220" s="738" t="s">
        <v>2086</v>
      </c>
      <c r="D220" s="741">
        <f>'[1]PLAN DE DESARROLLO 2024 - 2027'!$K$101</f>
        <v>0.31219487179487176</v>
      </c>
      <c r="E220" s="738" t="s">
        <v>2087</v>
      </c>
      <c r="F220" s="741">
        <f>'[1]PLAN DE DESARROLLO 2024 - 2027'!$K$102</f>
        <v>0.11370000000000001</v>
      </c>
      <c r="G220" s="738" t="s">
        <v>709</v>
      </c>
      <c r="H220" s="738" t="s">
        <v>1414</v>
      </c>
      <c r="I220" s="770">
        <f>+'Desarrollo Economico'!AK37</f>
        <v>0.32499999999999996</v>
      </c>
      <c r="J220" s="738" t="s">
        <v>683</v>
      </c>
      <c r="K220" s="742" t="s">
        <v>1996</v>
      </c>
      <c r="P220" s="732"/>
    </row>
    <row r="221" spans="1:16" ht="43.8" thickBot="1" x14ac:dyDescent="0.35">
      <c r="A221" s="738" t="s">
        <v>2068</v>
      </c>
      <c r="B221" s="740">
        <f>'[1]PLAN DE DESARROLLO 2024 - 2027'!$K$92</f>
        <v>0.27017707911062067</v>
      </c>
      <c r="C221" s="738" t="s">
        <v>2086</v>
      </c>
      <c r="D221" s="741">
        <f>'[1]PLAN DE DESARROLLO 2024 - 2027'!$K$101</f>
        <v>0.31219487179487176</v>
      </c>
      <c r="E221" s="738" t="s">
        <v>2087</v>
      </c>
      <c r="F221" s="741">
        <f>'[1]PLAN DE DESARROLLO 2024 - 2027'!$K$102</f>
        <v>0.11370000000000001</v>
      </c>
      <c r="G221" s="738" t="s">
        <v>710</v>
      </c>
      <c r="H221" s="738" t="s">
        <v>1415</v>
      </c>
      <c r="I221" s="770">
        <f>+'Desarrollo Economico'!AK38</f>
        <v>0.13666666666666669</v>
      </c>
      <c r="J221" s="738" t="s">
        <v>683</v>
      </c>
      <c r="K221" s="742" t="s">
        <v>1996</v>
      </c>
      <c r="P221" s="732"/>
    </row>
    <row r="222" spans="1:16" ht="29.4" thickBot="1" x14ac:dyDescent="0.35">
      <c r="A222" s="738" t="s">
        <v>2068</v>
      </c>
      <c r="B222" s="740">
        <f>'[1]PLAN DE DESARROLLO 2024 - 2027'!$K$92</f>
        <v>0.27017707911062067</v>
      </c>
      <c r="C222" s="738" t="s">
        <v>2086</v>
      </c>
      <c r="D222" s="741">
        <f>'[1]PLAN DE DESARROLLO 2024 - 2027'!$K$101</f>
        <v>0.31219487179487176</v>
      </c>
      <c r="E222" s="738" t="s">
        <v>2087</v>
      </c>
      <c r="F222" s="741">
        <f>'[1]PLAN DE DESARROLLO 2024 - 2027'!$K$102</f>
        <v>0.11370000000000001</v>
      </c>
      <c r="G222" s="738" t="s">
        <v>711</v>
      </c>
      <c r="H222" s="738" t="s">
        <v>1416</v>
      </c>
      <c r="I222" s="770">
        <f>+'Desarrollo Economico'!AK39</f>
        <v>0.49109999999999998</v>
      </c>
      <c r="J222" s="738" t="s">
        <v>683</v>
      </c>
      <c r="K222" s="742" t="s">
        <v>1996</v>
      </c>
      <c r="P222" s="732"/>
    </row>
    <row r="223" spans="1:16" ht="29.4" thickBot="1" x14ac:dyDescent="0.35">
      <c r="A223" s="738" t="s">
        <v>2068</v>
      </c>
      <c r="B223" s="740">
        <f>'[1]PLAN DE DESARROLLO 2024 - 2027'!$K$92</f>
        <v>0.27017707911062067</v>
      </c>
      <c r="C223" s="738" t="s">
        <v>2086</v>
      </c>
      <c r="D223" s="741">
        <f>'[1]PLAN DE DESARROLLO 2024 - 2027'!$K$101</f>
        <v>0.31219487179487176</v>
      </c>
      <c r="E223" s="738" t="s">
        <v>2088</v>
      </c>
      <c r="F223" s="741">
        <f>'[1]PLAN DE DESARROLLO 2024 - 2027'!$K$103</f>
        <v>0.3775</v>
      </c>
      <c r="G223" s="738" t="s">
        <v>712</v>
      </c>
      <c r="H223" s="738" t="s">
        <v>1417</v>
      </c>
      <c r="I223" s="770">
        <f>+'Desarrollo Economico'!AK41</f>
        <v>0.89249999999999996</v>
      </c>
      <c r="J223" s="738" t="s">
        <v>516</v>
      </c>
      <c r="K223" s="742" t="s">
        <v>1996</v>
      </c>
      <c r="P223" s="732"/>
    </row>
    <row r="224" spans="1:16" ht="29.4" thickBot="1" x14ac:dyDescent="0.35">
      <c r="A224" s="738" t="s">
        <v>2068</v>
      </c>
      <c r="B224" s="740">
        <f>'[1]PLAN DE DESARROLLO 2024 - 2027'!$K$92</f>
        <v>0.27017707911062067</v>
      </c>
      <c r="C224" s="738" t="s">
        <v>2086</v>
      </c>
      <c r="D224" s="741">
        <f>'[1]PLAN DE DESARROLLO 2024 - 2027'!$K$101</f>
        <v>0.31219487179487176</v>
      </c>
      <c r="E224" s="738" t="s">
        <v>2088</v>
      </c>
      <c r="F224" s="741">
        <f>'[1]PLAN DE DESARROLLO 2024 - 2027'!$K$103</f>
        <v>0.3775</v>
      </c>
      <c r="G224" s="738" t="s">
        <v>713</v>
      </c>
      <c r="H224" s="738" t="s">
        <v>1418</v>
      </c>
      <c r="I224" s="770">
        <f>+'Desarrollo Economico'!AK42</f>
        <v>0.66500000000000004</v>
      </c>
      <c r="J224" s="738" t="s">
        <v>516</v>
      </c>
      <c r="K224" s="742" t="s">
        <v>1996</v>
      </c>
      <c r="P224" s="732"/>
    </row>
    <row r="225" spans="1:16" ht="29.4" thickBot="1" x14ac:dyDescent="0.35">
      <c r="A225" s="738" t="s">
        <v>2068</v>
      </c>
      <c r="B225" s="740">
        <f>'[1]PLAN DE DESARROLLO 2024 - 2027'!$K$92</f>
        <v>0.27017707911062067</v>
      </c>
      <c r="C225" s="738" t="s">
        <v>2086</v>
      </c>
      <c r="D225" s="741">
        <f>'[1]PLAN DE DESARROLLO 2024 - 2027'!$K$101</f>
        <v>0.31219487179487176</v>
      </c>
      <c r="E225" s="738" t="s">
        <v>2089</v>
      </c>
      <c r="F225" s="741">
        <f>'[1]PLAN DE DESARROLLO 2024 - 2027'!$K$104</f>
        <v>0.44538461538461538</v>
      </c>
      <c r="G225" s="738" t="s">
        <v>714</v>
      </c>
      <c r="H225" s="738" t="s">
        <v>1419</v>
      </c>
      <c r="I225" s="770">
        <f>+'Desarrollo Economico'!AK44</f>
        <v>0.86307692307692307</v>
      </c>
      <c r="J225" s="738" t="s">
        <v>58</v>
      </c>
      <c r="K225" s="742" t="s">
        <v>1996</v>
      </c>
      <c r="P225" s="732"/>
    </row>
    <row r="226" spans="1:16" ht="25.2" customHeight="1" thickBot="1" x14ac:dyDescent="0.35">
      <c r="A226" s="738" t="s">
        <v>2068</v>
      </c>
      <c r="B226" s="740">
        <f>'[1]PLAN DE DESARROLLO 2024 - 2027'!$K$92</f>
        <v>0.27017707911062067</v>
      </c>
      <c r="C226" s="738" t="s">
        <v>2069</v>
      </c>
      <c r="D226" s="741">
        <f>'[1]PLAN DE DESARROLLO 2024 - 2027'!$K$105</f>
        <v>0.13440625</v>
      </c>
      <c r="E226" s="738" t="s">
        <v>2090</v>
      </c>
      <c r="F226" s="741">
        <f>'[1]PLAN DE DESARROLLO 2024 - 2027'!$K$106</f>
        <v>0.185</v>
      </c>
      <c r="G226" s="738" t="s">
        <v>715</v>
      </c>
      <c r="H226" s="738" t="s">
        <v>1420</v>
      </c>
      <c r="I226" s="770">
        <f>+'Desarrollo Economico'!AK47</f>
        <v>0.25</v>
      </c>
      <c r="J226" s="738" t="s">
        <v>683</v>
      </c>
      <c r="K226" s="742" t="s">
        <v>1996</v>
      </c>
      <c r="P226" s="732"/>
    </row>
    <row r="227" spans="1:16" ht="29.4" thickBot="1" x14ac:dyDescent="0.35">
      <c r="A227" s="738" t="s">
        <v>2068</v>
      </c>
      <c r="B227" s="740">
        <f>'[1]PLAN DE DESARROLLO 2024 - 2027'!$K$92</f>
        <v>0.27017707911062067</v>
      </c>
      <c r="C227" s="738" t="s">
        <v>2069</v>
      </c>
      <c r="D227" s="741">
        <f>'[1]PLAN DE DESARROLLO 2024 - 2027'!$K$105</f>
        <v>0.13440625</v>
      </c>
      <c r="E227" s="738" t="s">
        <v>2090</v>
      </c>
      <c r="F227" s="741">
        <f>'[1]PLAN DE DESARROLLO 2024 - 2027'!$K$106</f>
        <v>0.185</v>
      </c>
      <c r="G227" s="738" t="s">
        <v>716</v>
      </c>
      <c r="H227" s="738" t="s">
        <v>1421</v>
      </c>
      <c r="I227" s="770">
        <f>+'Desarrollo Economico'!AK48</f>
        <v>0.4</v>
      </c>
      <c r="J227" s="738" t="s">
        <v>683</v>
      </c>
      <c r="K227" s="742" t="s">
        <v>1996</v>
      </c>
      <c r="P227" s="732"/>
    </row>
    <row r="228" spans="1:16" ht="29.4" thickBot="1" x14ac:dyDescent="0.35">
      <c r="A228" s="738" t="s">
        <v>2068</v>
      </c>
      <c r="B228" s="740">
        <f>'[1]PLAN DE DESARROLLO 2024 - 2027'!$K$92</f>
        <v>0.27017707911062067</v>
      </c>
      <c r="C228" s="738" t="s">
        <v>2069</v>
      </c>
      <c r="D228" s="741">
        <f>'[1]PLAN DE DESARROLLO 2024 - 2027'!$K$105</f>
        <v>0.13440625</v>
      </c>
      <c r="E228" s="738" t="s">
        <v>2090</v>
      </c>
      <c r="F228" s="741">
        <f>'[1]PLAN DE DESARROLLO 2024 - 2027'!$K$106</f>
        <v>0.185</v>
      </c>
      <c r="G228" s="738" t="s">
        <v>717</v>
      </c>
      <c r="H228" s="738" t="s">
        <v>1422</v>
      </c>
      <c r="I228" s="770">
        <f>+'Desarrollo Economico'!AK49</f>
        <v>0.5</v>
      </c>
      <c r="J228" s="738" t="s">
        <v>683</v>
      </c>
      <c r="K228" s="742" t="s">
        <v>1996</v>
      </c>
      <c r="P228" s="732"/>
    </row>
    <row r="229" spans="1:16" ht="29.4" thickBot="1" x14ac:dyDescent="0.35">
      <c r="A229" s="738" t="s">
        <v>2068</v>
      </c>
      <c r="B229" s="740">
        <f>'[1]PLAN DE DESARROLLO 2024 - 2027'!$K$92</f>
        <v>0.27017707911062067</v>
      </c>
      <c r="C229" s="738" t="s">
        <v>2069</v>
      </c>
      <c r="D229" s="741">
        <f>'[1]PLAN DE DESARROLLO 2024 - 2027'!$K$105</f>
        <v>0.13440625</v>
      </c>
      <c r="E229" s="738" t="s">
        <v>2090</v>
      </c>
      <c r="F229" s="741">
        <f>'[1]PLAN DE DESARROLLO 2024 - 2027'!$K$106</f>
        <v>0.185</v>
      </c>
      <c r="G229" s="738" t="s">
        <v>718</v>
      </c>
      <c r="H229" s="738" t="s">
        <v>1423</v>
      </c>
      <c r="I229" s="771">
        <f>+'Desarrollo Economico'!AK50</f>
        <v>0.42299999999999999</v>
      </c>
      <c r="J229" s="738" t="s">
        <v>683</v>
      </c>
      <c r="K229" s="742" t="s">
        <v>1996</v>
      </c>
      <c r="P229" s="732"/>
    </row>
    <row r="230" spans="1:16" ht="58.2" thickBot="1" x14ac:dyDescent="0.35">
      <c r="A230" s="738" t="s">
        <v>2068</v>
      </c>
      <c r="B230" s="740">
        <f>'[1]PLAN DE DESARROLLO 2024 - 2027'!$K$92</f>
        <v>0.27017707911062067</v>
      </c>
      <c r="C230" s="738" t="s">
        <v>2069</v>
      </c>
      <c r="D230" s="741">
        <f>'[1]PLAN DE DESARROLLO 2024 - 2027'!$K$105</f>
        <v>0.13440625</v>
      </c>
      <c r="E230" s="738" t="s">
        <v>2090</v>
      </c>
      <c r="F230" s="741">
        <f>'[1]PLAN DE DESARROLLO 2024 - 2027'!$K$106</f>
        <v>0.185</v>
      </c>
      <c r="G230" s="738" t="s">
        <v>719</v>
      </c>
      <c r="H230" s="738" t="s">
        <v>1424</v>
      </c>
      <c r="I230" s="770">
        <f>+'Desarrollo Economico'!AK51</f>
        <v>0.5</v>
      </c>
      <c r="J230" s="738" t="s">
        <v>2091</v>
      </c>
      <c r="K230" s="742" t="s">
        <v>1996</v>
      </c>
      <c r="P230" s="732"/>
    </row>
    <row r="231" spans="1:16" ht="29.4" thickBot="1" x14ac:dyDescent="0.35">
      <c r="A231" s="738" t="s">
        <v>2068</v>
      </c>
      <c r="B231" s="740">
        <f>'[1]PLAN DE DESARROLLO 2024 - 2027'!$K$92</f>
        <v>0.27017707911062067</v>
      </c>
      <c r="C231" s="738" t="s">
        <v>2069</v>
      </c>
      <c r="D231" s="741">
        <f>'[1]PLAN DE DESARROLLO 2024 - 2027'!$K$105</f>
        <v>0.13440625</v>
      </c>
      <c r="E231" s="738" t="s">
        <v>2090</v>
      </c>
      <c r="F231" s="741">
        <f>'[1]PLAN DE DESARROLLO 2024 - 2027'!$K$106</f>
        <v>0.185</v>
      </c>
      <c r="G231" s="738" t="s">
        <v>2092</v>
      </c>
      <c r="H231" s="738" t="s">
        <v>2093</v>
      </c>
      <c r="I231" s="770">
        <f>+'Desarrollo Economico'!AK52</f>
        <v>0.28000000000000003</v>
      </c>
      <c r="J231" s="738" t="s">
        <v>683</v>
      </c>
      <c r="K231" s="742" t="s">
        <v>1996</v>
      </c>
      <c r="P231" s="732"/>
    </row>
    <row r="232" spans="1:16" ht="40.200000000000003" customHeight="1" thickBot="1" x14ac:dyDescent="0.35">
      <c r="A232" s="738" t="s">
        <v>2068</v>
      </c>
      <c r="B232" s="740">
        <f>'[1]PLAN DE DESARROLLO 2024 - 2027'!$K$92</f>
        <v>0.27017707911062067</v>
      </c>
      <c r="C232" s="738" t="s">
        <v>2069</v>
      </c>
      <c r="D232" s="741">
        <f>'[1]PLAN DE DESARROLLO 2024 - 2027'!$K$105</f>
        <v>0.13440625</v>
      </c>
      <c r="E232" s="738" t="s">
        <v>2090</v>
      </c>
      <c r="F232" s="741">
        <f>'[1]PLAN DE DESARROLLO 2024 - 2027'!$K$106</f>
        <v>0.185</v>
      </c>
      <c r="G232" s="738" t="s">
        <v>722</v>
      </c>
      <c r="H232" s="738" t="s">
        <v>1426</v>
      </c>
      <c r="I232" s="771">
        <f>+'Desarrollo Economico'!AK53</f>
        <v>0</v>
      </c>
      <c r="J232" s="738" t="s">
        <v>516</v>
      </c>
      <c r="K232" s="742" t="s">
        <v>1996</v>
      </c>
      <c r="P232" s="732"/>
    </row>
    <row r="233" spans="1:16" ht="45" customHeight="1" thickBot="1" x14ac:dyDescent="0.35">
      <c r="A233" s="738" t="s">
        <v>2068</v>
      </c>
      <c r="B233" s="740">
        <f>'[1]PLAN DE DESARROLLO 2024 - 2027'!$K$92</f>
        <v>0.27017707911062067</v>
      </c>
      <c r="C233" s="738" t="s">
        <v>2069</v>
      </c>
      <c r="D233" s="741">
        <f>'[1]PLAN DE DESARROLLO 2024 - 2027'!$K$105</f>
        <v>0.13440625</v>
      </c>
      <c r="E233" s="738" t="s">
        <v>1793</v>
      </c>
      <c r="F233" s="741">
        <f>'[1]PLAN DE DESARROLLO 2024 - 2027'!$K$107</f>
        <v>8.7124999999999994E-2</v>
      </c>
      <c r="G233" s="738" t="s">
        <v>724</v>
      </c>
      <c r="H233" s="738" t="s">
        <v>1427</v>
      </c>
      <c r="I233" s="770">
        <f>+'Desarrollo Economico'!AK55</f>
        <v>0.4</v>
      </c>
      <c r="J233" s="738" t="s">
        <v>58</v>
      </c>
      <c r="K233" s="742" t="s">
        <v>1996</v>
      </c>
      <c r="P233" s="732"/>
    </row>
    <row r="234" spans="1:16" ht="47.4" customHeight="1" thickBot="1" x14ac:dyDescent="0.35">
      <c r="A234" s="738" t="s">
        <v>2068</v>
      </c>
      <c r="B234" s="740">
        <f>'[1]PLAN DE DESARROLLO 2024 - 2027'!$K$92</f>
        <v>0.27017707911062067</v>
      </c>
      <c r="C234" s="738" t="s">
        <v>2069</v>
      </c>
      <c r="D234" s="741">
        <f>'[1]PLAN DE DESARROLLO 2024 - 2027'!$K$105</f>
        <v>0.13440625</v>
      </c>
      <c r="E234" s="738" t="s">
        <v>1793</v>
      </c>
      <c r="F234" s="741">
        <f>'[1]PLAN DE DESARROLLO 2024 - 2027'!$K$107</f>
        <v>8.7124999999999994E-2</v>
      </c>
      <c r="G234" s="738" t="s">
        <v>725</v>
      </c>
      <c r="H234" s="738" t="s">
        <v>1428</v>
      </c>
      <c r="I234" s="770">
        <f>+'Desarrollo Economico'!AK56</f>
        <v>0.93100000000000005</v>
      </c>
      <c r="J234" s="738" t="s">
        <v>58</v>
      </c>
      <c r="K234" s="742" t="s">
        <v>1996</v>
      </c>
      <c r="P234" s="732"/>
    </row>
    <row r="235" spans="1:16" ht="48.6" customHeight="1" thickBot="1" x14ac:dyDescent="0.35">
      <c r="A235" s="738" t="s">
        <v>2068</v>
      </c>
      <c r="B235" s="740">
        <f>'[1]PLAN DE DESARROLLO 2024 - 2027'!$K$92</f>
        <v>0.27017707911062067</v>
      </c>
      <c r="C235" s="738" t="s">
        <v>2069</v>
      </c>
      <c r="D235" s="741">
        <f>'[1]PLAN DE DESARROLLO 2024 - 2027'!$K$105</f>
        <v>0.13440625</v>
      </c>
      <c r="E235" s="738" t="s">
        <v>1793</v>
      </c>
      <c r="F235" s="741">
        <f>'[1]PLAN DE DESARROLLO 2024 - 2027'!$K$107</f>
        <v>8.7124999999999994E-2</v>
      </c>
      <c r="G235" s="738" t="s">
        <v>726</v>
      </c>
      <c r="H235" s="738" t="s">
        <v>1429</v>
      </c>
      <c r="I235" s="770">
        <f>+'Desarrollo Economico'!AK57</f>
        <v>0.25</v>
      </c>
      <c r="J235" s="738" t="s">
        <v>58</v>
      </c>
      <c r="K235" s="742" t="s">
        <v>1996</v>
      </c>
      <c r="P235" s="732"/>
    </row>
    <row r="236" spans="1:16" ht="60.6" customHeight="1" thickBot="1" x14ac:dyDescent="0.35">
      <c r="A236" s="738" t="s">
        <v>2068</v>
      </c>
      <c r="B236" s="740">
        <f>'[1]PLAN DE DESARROLLO 2024 - 2027'!$K$92</f>
        <v>0.27017707911062067</v>
      </c>
      <c r="C236" s="738" t="s">
        <v>2069</v>
      </c>
      <c r="D236" s="741">
        <f>'[1]PLAN DE DESARROLLO 2024 - 2027'!$K$105</f>
        <v>0.13440625</v>
      </c>
      <c r="E236" s="738" t="s">
        <v>1793</v>
      </c>
      <c r="F236" s="741">
        <f>'[1]PLAN DE DESARROLLO 2024 - 2027'!$K$107</f>
        <v>8.7124999999999994E-2</v>
      </c>
      <c r="G236" s="738" t="s">
        <v>727</v>
      </c>
      <c r="H236" s="738" t="s">
        <v>1430</v>
      </c>
      <c r="I236" s="770">
        <f>+'Desarrollo Economico'!AK58</f>
        <v>0.5</v>
      </c>
      <c r="J236" s="738" t="s">
        <v>58</v>
      </c>
      <c r="K236" s="742" t="s">
        <v>1996</v>
      </c>
      <c r="P236" s="732"/>
    </row>
    <row r="237" spans="1:16" ht="15" thickBot="1" x14ac:dyDescent="0.35">
      <c r="A237" s="738" t="s">
        <v>2068</v>
      </c>
      <c r="B237" s="740">
        <f>'[1]PLAN DE DESARROLLO 2024 - 2027'!$K$92</f>
        <v>0.27017707911062067</v>
      </c>
      <c r="C237" s="738" t="s">
        <v>2069</v>
      </c>
      <c r="D237" s="741">
        <f>'[1]PLAN DE DESARROLLO 2024 - 2027'!$K$105</f>
        <v>0.13440625</v>
      </c>
      <c r="E237" s="738" t="s">
        <v>2094</v>
      </c>
      <c r="F237" s="741">
        <f>'[1]PLAN DE DESARROLLO 2024 - 2027'!$K$108</f>
        <v>0.26550000000000001</v>
      </c>
      <c r="G237" s="738" t="s">
        <v>728</v>
      </c>
      <c r="H237" s="738" t="s">
        <v>1431</v>
      </c>
      <c r="I237" s="770">
        <f>+'Desarrollo Economico'!AK60</f>
        <v>0.879</v>
      </c>
      <c r="J237" s="738" t="s">
        <v>58</v>
      </c>
      <c r="K237" s="742" t="s">
        <v>1996</v>
      </c>
      <c r="P237" s="732"/>
    </row>
    <row r="238" spans="1:16" ht="15" thickBot="1" x14ac:dyDescent="0.35">
      <c r="A238" s="738" t="s">
        <v>2068</v>
      </c>
      <c r="B238" s="740">
        <f>'[1]PLAN DE DESARROLLO 2024 - 2027'!$K$92</f>
        <v>0.27017707911062067</v>
      </c>
      <c r="C238" s="738" t="s">
        <v>2069</v>
      </c>
      <c r="D238" s="741">
        <f>'[1]PLAN DE DESARROLLO 2024 - 2027'!$K$105</f>
        <v>0.13440625</v>
      </c>
      <c r="E238" s="738" t="s">
        <v>2094</v>
      </c>
      <c r="F238" s="741">
        <f>'[1]PLAN DE DESARROLLO 2024 - 2027'!$K$108</f>
        <v>0.26550000000000001</v>
      </c>
      <c r="G238" s="738" t="s">
        <v>729</v>
      </c>
      <c r="H238" s="738" t="s">
        <v>1432</v>
      </c>
      <c r="I238" s="771">
        <f>+'Desarrollo Economico'!AK61</f>
        <v>0.28333333333333333</v>
      </c>
      <c r="J238" s="738" t="s">
        <v>58</v>
      </c>
      <c r="K238" s="742" t="s">
        <v>1996</v>
      </c>
      <c r="P238" s="732"/>
    </row>
    <row r="239" spans="1:16" ht="29.4" thickBot="1" x14ac:dyDescent="0.35">
      <c r="A239" s="738" t="s">
        <v>2068</v>
      </c>
      <c r="B239" s="740">
        <f>'[1]PLAN DE DESARROLLO 2024 - 2027'!$K$92</f>
        <v>0.27017707911062067</v>
      </c>
      <c r="C239" s="738" t="s">
        <v>2069</v>
      </c>
      <c r="D239" s="741">
        <f>'[1]PLAN DE DESARROLLO 2024 - 2027'!$K$105</f>
        <v>0.13440625</v>
      </c>
      <c r="E239" s="738" t="s">
        <v>2094</v>
      </c>
      <c r="F239" s="741">
        <f>'[1]PLAN DE DESARROLLO 2024 - 2027'!$K$108</f>
        <v>0.26550000000000001</v>
      </c>
      <c r="G239" s="738" t="s">
        <v>730</v>
      </c>
      <c r="H239" s="738" t="s">
        <v>1433</v>
      </c>
      <c r="I239" s="770">
        <f>+'Desarrollo Economico'!AK62</f>
        <v>0.76249999999999996</v>
      </c>
      <c r="J239" s="738" t="s">
        <v>58</v>
      </c>
      <c r="K239" s="742" t="s">
        <v>1996</v>
      </c>
      <c r="P239" s="732"/>
    </row>
    <row r="240" spans="1:16" ht="29.4" thickBot="1" x14ac:dyDescent="0.35">
      <c r="A240" s="738" t="s">
        <v>2068</v>
      </c>
      <c r="B240" s="740">
        <f>'[1]PLAN DE DESARROLLO 2024 - 2027'!$K$92</f>
        <v>0.27017707911062067</v>
      </c>
      <c r="C240" s="738" t="s">
        <v>2069</v>
      </c>
      <c r="D240" s="741">
        <f>'[1]PLAN DE DESARROLLO 2024 - 2027'!$K$105</f>
        <v>0.13440625</v>
      </c>
      <c r="E240" s="738" t="s">
        <v>2094</v>
      </c>
      <c r="F240" s="741">
        <f>'[1]PLAN DE DESARROLLO 2024 - 2027'!$K$108</f>
        <v>0.26550000000000001</v>
      </c>
      <c r="G240" s="738" t="s">
        <v>731</v>
      </c>
      <c r="H240" s="738" t="s">
        <v>1434</v>
      </c>
      <c r="I240" s="771">
        <f>+'Desarrollo Economico'!AK63</f>
        <v>0.75</v>
      </c>
      <c r="J240" s="738" t="s">
        <v>58</v>
      </c>
      <c r="K240" s="742" t="s">
        <v>1996</v>
      </c>
      <c r="P240" s="732"/>
    </row>
    <row r="241" spans="1:16" ht="29.4" thickBot="1" x14ac:dyDescent="0.35">
      <c r="A241" s="738" t="s">
        <v>2068</v>
      </c>
      <c r="B241" s="740">
        <f>'[1]PLAN DE DESARROLLO 2024 - 2027'!$K$92</f>
        <v>0.27017707911062067</v>
      </c>
      <c r="C241" s="738" t="s">
        <v>2070</v>
      </c>
      <c r="D241" s="741">
        <f>'[1]PLAN DE DESARROLLO 2024 - 2027'!$K$110</f>
        <v>0.16916666666666663</v>
      </c>
      <c r="E241" s="738" t="s">
        <v>1798</v>
      </c>
      <c r="F241" s="741">
        <f>'[1]PLAN DE DESARROLLO 2024 - 2027'!$K$113</f>
        <v>0.51249999999999996</v>
      </c>
      <c r="G241" s="738" t="s">
        <v>753</v>
      </c>
      <c r="H241" s="738" t="s">
        <v>1453</v>
      </c>
      <c r="I241" s="770">
        <f>+'Desarrollo Economico'!AK87</f>
        <v>0.5</v>
      </c>
      <c r="J241" s="738" t="s">
        <v>2095</v>
      </c>
      <c r="K241" s="742" t="s">
        <v>1996</v>
      </c>
      <c r="P241" s="732"/>
    </row>
    <row r="242" spans="1:16" ht="29.4" thickBot="1" x14ac:dyDescent="0.35">
      <c r="A242" s="738" t="s">
        <v>2068</v>
      </c>
      <c r="B242" s="740">
        <f>'[1]PLAN DE DESARROLLO 2024 - 2027'!$K$92</f>
        <v>0.27017707911062067</v>
      </c>
      <c r="C242" s="738" t="s">
        <v>2070</v>
      </c>
      <c r="D242" s="741">
        <f>'[1]PLAN DE DESARROLLO 2024 - 2027'!$K$110</f>
        <v>0.16916666666666663</v>
      </c>
      <c r="E242" s="738" t="s">
        <v>1798</v>
      </c>
      <c r="F242" s="741">
        <f>'[1]PLAN DE DESARROLLO 2024 - 2027'!$K$113</f>
        <v>0.51249999999999996</v>
      </c>
      <c r="G242" s="738" t="s">
        <v>755</v>
      </c>
      <c r="H242" s="738" t="s">
        <v>1454</v>
      </c>
      <c r="I242" s="770">
        <f>+'Desarrollo Economico'!AK88</f>
        <v>0.65</v>
      </c>
      <c r="J242" s="738" t="s">
        <v>2095</v>
      </c>
      <c r="K242" s="742" t="s">
        <v>1996</v>
      </c>
      <c r="P242" s="732"/>
    </row>
    <row r="243" spans="1:16" ht="29.4" thickBot="1" x14ac:dyDescent="0.35">
      <c r="A243" s="738" t="s">
        <v>2068</v>
      </c>
      <c r="B243" s="740">
        <f>'[1]PLAN DE DESARROLLO 2024 - 2027'!$K$92</f>
        <v>0.27017707911062067</v>
      </c>
      <c r="C243" s="738" t="s">
        <v>2070</v>
      </c>
      <c r="D243" s="741">
        <f>'[1]PLAN DE DESARROLLO 2024 - 2027'!$K$110</f>
        <v>0.16916666666666663</v>
      </c>
      <c r="E243" s="738" t="s">
        <v>1798</v>
      </c>
      <c r="F243" s="741">
        <f>'[1]PLAN DE DESARROLLO 2024 - 2027'!$K$113</f>
        <v>0.51249999999999996</v>
      </c>
      <c r="G243" s="738" t="s">
        <v>756</v>
      </c>
      <c r="H243" s="738" t="s">
        <v>1455</v>
      </c>
      <c r="I243" s="770">
        <f>+'Desarrollo Economico'!AK89</f>
        <v>1</v>
      </c>
      <c r="J243" s="738" t="s">
        <v>2095</v>
      </c>
      <c r="K243" s="742" t="s">
        <v>1996</v>
      </c>
      <c r="P243" s="732"/>
    </row>
    <row r="244" spans="1:16" ht="29.4" thickBot="1" x14ac:dyDescent="0.35">
      <c r="A244" s="738" t="s">
        <v>2068</v>
      </c>
      <c r="B244" s="740">
        <f>'[1]PLAN DE DESARROLLO 2024 - 2027'!$K$92</f>
        <v>0.27017707911062067</v>
      </c>
      <c r="C244" s="738" t="s">
        <v>2070</v>
      </c>
      <c r="D244" s="741">
        <f>'[1]PLAN DE DESARROLLO 2024 - 2027'!$K$110</f>
        <v>0.16916666666666663</v>
      </c>
      <c r="E244" s="738" t="s">
        <v>1798</v>
      </c>
      <c r="F244" s="741">
        <f>'[1]PLAN DE DESARROLLO 2024 - 2027'!$K$113</f>
        <v>0.51249999999999996</v>
      </c>
      <c r="G244" s="738" t="s">
        <v>757</v>
      </c>
      <c r="H244" s="738" t="s">
        <v>1456</v>
      </c>
      <c r="I244" s="770">
        <f>+'Desarrollo Economico'!AK90</f>
        <v>1</v>
      </c>
      <c r="J244" s="738" t="s">
        <v>2095</v>
      </c>
      <c r="K244" s="742" t="s">
        <v>1996</v>
      </c>
      <c r="P244" s="732"/>
    </row>
    <row r="245" spans="1:16" ht="29.4" thickBot="1" x14ac:dyDescent="0.35">
      <c r="A245" s="738" t="s">
        <v>2068</v>
      </c>
      <c r="B245" s="740">
        <f>'[1]PLAN DE DESARROLLO 2024 - 2027'!$K$92</f>
        <v>0.27017707911062067</v>
      </c>
      <c r="C245" s="738" t="s">
        <v>2070</v>
      </c>
      <c r="D245" s="741">
        <f>'[1]PLAN DE DESARROLLO 2024 - 2027'!$K$110</f>
        <v>0.16916666666666663</v>
      </c>
      <c r="E245" s="738" t="s">
        <v>2096</v>
      </c>
      <c r="F245" s="741">
        <f>'[1]PLAN DE DESARROLLO 2024 - 2027'!$K$115</f>
        <v>0.33333333333333331</v>
      </c>
      <c r="G245" s="738" t="s">
        <v>763</v>
      </c>
      <c r="H245" s="738" t="s">
        <v>1461</v>
      </c>
      <c r="I245" s="770">
        <f>+'Desarrollo Economico'!AK97</f>
        <v>1</v>
      </c>
      <c r="J245" s="738" t="s">
        <v>736</v>
      </c>
      <c r="K245" s="742" t="s">
        <v>1996</v>
      </c>
      <c r="P245" s="732"/>
    </row>
    <row r="246" spans="1:16" ht="29.4" thickBot="1" x14ac:dyDescent="0.35">
      <c r="A246" s="738" t="s">
        <v>2068</v>
      </c>
      <c r="B246" s="740">
        <f>'[1]PLAN DE DESARROLLO 2024 - 2027'!$K$92</f>
        <v>0.27017707911062067</v>
      </c>
      <c r="C246" s="738" t="s">
        <v>2070</v>
      </c>
      <c r="D246" s="741">
        <f>'[1]PLAN DE DESARROLLO 2024 - 2027'!$K$110</f>
        <v>0.16916666666666663</v>
      </c>
      <c r="E246" s="738" t="s">
        <v>2096</v>
      </c>
      <c r="F246" s="741">
        <f>'[1]PLAN DE DESARROLLO 2024 - 2027'!$K$115</f>
        <v>0.33333333333333331</v>
      </c>
      <c r="G246" s="738" t="s">
        <v>764</v>
      </c>
      <c r="H246" s="738" t="s">
        <v>1462</v>
      </c>
      <c r="I246" s="770">
        <f>+'Desarrollo Economico'!AK98</f>
        <v>0</v>
      </c>
      <c r="J246" s="738" t="s">
        <v>736</v>
      </c>
      <c r="K246" s="742" t="s">
        <v>1996</v>
      </c>
      <c r="P246" s="732"/>
    </row>
    <row r="247" spans="1:16" ht="29.4" thickBot="1" x14ac:dyDescent="0.35">
      <c r="A247" s="738" t="s">
        <v>2068</v>
      </c>
      <c r="B247" s="740">
        <f>'[1]PLAN DE DESARROLLO 2024 - 2027'!$K$92</f>
        <v>0.27017707911062067</v>
      </c>
      <c r="C247" s="738" t="s">
        <v>2070</v>
      </c>
      <c r="D247" s="741">
        <f>'[1]PLAN DE DESARROLLO 2024 - 2027'!$K$110</f>
        <v>0.16916666666666663</v>
      </c>
      <c r="E247" s="738" t="s">
        <v>2096</v>
      </c>
      <c r="F247" s="741">
        <f>'[1]PLAN DE DESARROLLO 2024 - 2027'!$K$115</f>
        <v>0.33333333333333331</v>
      </c>
      <c r="G247" s="738" t="s">
        <v>765</v>
      </c>
      <c r="H247" s="738" t="s">
        <v>1463</v>
      </c>
      <c r="I247" s="770">
        <f>+'Desarrollo Economico'!AK99</f>
        <v>1</v>
      </c>
      <c r="J247" s="738" t="s">
        <v>736</v>
      </c>
      <c r="K247" s="742" t="s">
        <v>1996</v>
      </c>
      <c r="P247" s="732"/>
    </row>
    <row r="248" spans="1:16" ht="37.200000000000003" customHeight="1" thickBot="1" x14ac:dyDescent="0.35">
      <c r="A248" s="738" t="s">
        <v>2068</v>
      </c>
      <c r="B248" s="740">
        <f>'[1]PLAN DE DESARROLLO 2024 - 2027'!$K$92</f>
        <v>0.27017707911062067</v>
      </c>
      <c r="C248" s="738" t="s">
        <v>2097</v>
      </c>
      <c r="D248" s="741">
        <f>'[1]PLAN DE DESARROLLO 2024 - 2027'!$K$116</f>
        <v>0.23817818229753918</v>
      </c>
      <c r="E248" s="738" t="s">
        <v>2098</v>
      </c>
      <c r="F248" s="741">
        <f>'[1]PLAN DE DESARROLLO 2024 - 2027'!$K$117</f>
        <v>0.30715959252971137</v>
      </c>
      <c r="G248" s="738" t="s">
        <v>766</v>
      </c>
      <c r="H248" s="738" t="s">
        <v>1464</v>
      </c>
      <c r="I248" s="770">
        <f>+'Desarrollo Economico'!AK102</f>
        <v>0.4</v>
      </c>
      <c r="J248" s="738" t="s">
        <v>767</v>
      </c>
      <c r="K248" s="742" t="s">
        <v>1996</v>
      </c>
      <c r="P248" s="732"/>
    </row>
    <row r="249" spans="1:16" ht="29.4" thickBot="1" x14ac:dyDescent="0.35">
      <c r="A249" s="738" t="s">
        <v>2068</v>
      </c>
      <c r="B249" s="740">
        <f>'[1]PLAN DE DESARROLLO 2024 - 2027'!$K$92</f>
        <v>0.27017707911062067</v>
      </c>
      <c r="C249" s="738" t="s">
        <v>2097</v>
      </c>
      <c r="D249" s="741">
        <f>'[1]PLAN DE DESARROLLO 2024 - 2027'!$K$116</f>
        <v>0.23817818229753918</v>
      </c>
      <c r="E249" s="738" t="s">
        <v>2098</v>
      </c>
      <c r="F249" s="741">
        <f>'[1]PLAN DE DESARROLLO 2024 - 2027'!$K$117</f>
        <v>0.30715959252971137</v>
      </c>
      <c r="G249" s="738" t="s">
        <v>768</v>
      </c>
      <c r="H249" s="738" t="s">
        <v>1465</v>
      </c>
      <c r="I249" s="770">
        <f>+'Desarrollo Economico'!AK103</f>
        <v>0.32371250707413696</v>
      </c>
      <c r="J249" s="738" t="s">
        <v>767</v>
      </c>
      <c r="K249" s="742" t="s">
        <v>1996</v>
      </c>
      <c r="P249" s="732"/>
    </row>
    <row r="250" spans="1:16" ht="29.4" thickBot="1" x14ac:dyDescent="0.35">
      <c r="A250" s="738" t="s">
        <v>2068</v>
      </c>
      <c r="B250" s="740">
        <f>'[1]PLAN DE DESARROLLO 2024 - 2027'!$K$92</f>
        <v>0.27017707911062067</v>
      </c>
      <c r="C250" s="738" t="s">
        <v>2097</v>
      </c>
      <c r="D250" s="741">
        <f>'[1]PLAN DE DESARROLLO 2024 - 2027'!$K$116</f>
        <v>0.23817818229753918</v>
      </c>
      <c r="E250" s="738" t="s">
        <v>2098</v>
      </c>
      <c r="F250" s="741">
        <f>'[1]PLAN DE DESARROLLO 2024 - 2027'!$K$117</f>
        <v>0.30715959252971137</v>
      </c>
      <c r="G250" s="738" t="s">
        <v>769</v>
      </c>
      <c r="H250" s="738" t="s">
        <v>1466</v>
      </c>
      <c r="I250" s="770">
        <f>+'Desarrollo Economico'!AK104</f>
        <v>0.4</v>
      </c>
      <c r="J250" s="738" t="s">
        <v>767</v>
      </c>
      <c r="K250" s="742" t="s">
        <v>1996</v>
      </c>
      <c r="P250" s="732"/>
    </row>
    <row r="251" spans="1:16" ht="29.4" thickBot="1" x14ac:dyDescent="0.35">
      <c r="A251" s="738" t="s">
        <v>2068</v>
      </c>
      <c r="B251" s="740">
        <f>'[1]PLAN DE DESARROLLO 2024 - 2027'!$K$92</f>
        <v>0.27017707911062067</v>
      </c>
      <c r="C251" s="738" t="s">
        <v>2097</v>
      </c>
      <c r="D251" s="741">
        <f>'[1]PLAN DE DESARROLLO 2024 - 2027'!$K$116</f>
        <v>0.23817818229753918</v>
      </c>
      <c r="E251" s="738" t="s">
        <v>2098</v>
      </c>
      <c r="F251" s="741">
        <f>'[1]PLAN DE DESARROLLO 2024 - 2027'!$K$117</f>
        <v>0.30715959252971137</v>
      </c>
      <c r="G251" s="738" t="s">
        <v>770</v>
      </c>
      <c r="H251" s="738" t="s">
        <v>1467</v>
      </c>
      <c r="I251" s="770">
        <f>+'Desarrollo Economico'!AK105</f>
        <v>0.55000000000000004</v>
      </c>
      <c r="J251" s="738" t="s">
        <v>767</v>
      </c>
      <c r="K251" s="742" t="s">
        <v>1996</v>
      </c>
      <c r="P251" s="732"/>
    </row>
    <row r="252" spans="1:16" ht="43.8" thickBot="1" x14ac:dyDescent="0.35">
      <c r="A252" s="738" t="s">
        <v>2068</v>
      </c>
      <c r="B252" s="740">
        <f>'[1]PLAN DE DESARROLLO 2024 - 2027'!$K$92</f>
        <v>0.27017707911062067</v>
      </c>
      <c r="C252" s="738" t="s">
        <v>2097</v>
      </c>
      <c r="D252" s="741">
        <f>'[1]PLAN DE DESARROLLO 2024 - 2027'!$K$116</f>
        <v>0.23817818229753918</v>
      </c>
      <c r="E252" s="738" t="s">
        <v>2098</v>
      </c>
      <c r="F252" s="741">
        <f>'[1]PLAN DE DESARROLLO 2024 - 2027'!$K$117</f>
        <v>0.30715959252971137</v>
      </c>
      <c r="G252" s="738" t="s">
        <v>771</v>
      </c>
      <c r="H252" s="738" t="s">
        <v>1468</v>
      </c>
      <c r="I252" s="770">
        <f>+'Desarrollo Economico'!AK106</f>
        <v>1</v>
      </c>
      <c r="J252" s="738" t="s">
        <v>767</v>
      </c>
      <c r="K252" s="742" t="s">
        <v>1996</v>
      </c>
      <c r="P252" s="732"/>
    </row>
    <row r="253" spans="1:16" ht="46.8" customHeight="1" thickBot="1" x14ac:dyDescent="0.35">
      <c r="A253" s="738" t="s">
        <v>2068</v>
      </c>
      <c r="B253" s="740">
        <f>'[1]PLAN DE DESARROLLO 2024 - 2027'!$K$92</f>
        <v>0.27017707911062067</v>
      </c>
      <c r="C253" s="738" t="s">
        <v>2097</v>
      </c>
      <c r="D253" s="741">
        <f>'[1]PLAN DE DESARROLLO 2024 - 2027'!$K$116</f>
        <v>0.23817818229753918</v>
      </c>
      <c r="E253" s="738" t="s">
        <v>2099</v>
      </c>
      <c r="F253" s="741">
        <f>'[1]PLAN DE DESARROLLO 2024 - 2027'!$K$118</f>
        <v>0.15737495436290616</v>
      </c>
      <c r="G253" s="738" t="s">
        <v>772</v>
      </c>
      <c r="H253" s="738" t="s">
        <v>1469</v>
      </c>
      <c r="I253" s="771">
        <f>+'Desarrollo Economico'!AK108</f>
        <v>0</v>
      </c>
      <c r="J253" s="738" t="s">
        <v>767</v>
      </c>
      <c r="K253" s="742" t="s">
        <v>1996</v>
      </c>
      <c r="P253" s="732"/>
    </row>
    <row r="254" spans="1:16" ht="43.8" thickBot="1" x14ac:dyDescent="0.35">
      <c r="A254" s="738" t="s">
        <v>2068</v>
      </c>
      <c r="B254" s="740">
        <f>'[1]PLAN DE DESARROLLO 2024 - 2027'!$K$92</f>
        <v>0.27017707911062067</v>
      </c>
      <c r="C254" s="738" t="s">
        <v>2097</v>
      </c>
      <c r="D254" s="741">
        <f>'[1]PLAN DE DESARROLLO 2024 - 2027'!$K$116</f>
        <v>0.23817818229753918</v>
      </c>
      <c r="E254" s="738" t="s">
        <v>2099</v>
      </c>
      <c r="F254" s="741">
        <f>'[1]PLAN DE DESARROLLO 2024 - 2027'!$K$118</f>
        <v>0.15737495436290616</v>
      </c>
      <c r="G254" s="738" t="s">
        <v>773</v>
      </c>
      <c r="H254" s="738" t="s">
        <v>1470</v>
      </c>
      <c r="I254" s="770">
        <f>+'Desarrollo Economico'!AK109</f>
        <v>0.69277108433734935</v>
      </c>
      <c r="J254" s="738" t="s">
        <v>767</v>
      </c>
      <c r="K254" s="742" t="s">
        <v>1996</v>
      </c>
      <c r="P254" s="732"/>
    </row>
    <row r="255" spans="1:16" ht="43.8" thickBot="1" x14ac:dyDescent="0.35">
      <c r="A255" s="738" t="s">
        <v>2068</v>
      </c>
      <c r="B255" s="740">
        <f>'[1]PLAN DE DESARROLLO 2024 - 2027'!$K$92</f>
        <v>0.27017707911062067</v>
      </c>
      <c r="C255" s="738" t="s">
        <v>2097</v>
      </c>
      <c r="D255" s="741">
        <f>'[1]PLAN DE DESARROLLO 2024 - 2027'!$K$116</f>
        <v>0.23817818229753918</v>
      </c>
      <c r="E255" s="738" t="s">
        <v>2099</v>
      </c>
      <c r="F255" s="741">
        <f>'[1]PLAN DE DESARROLLO 2024 - 2027'!$K$118</f>
        <v>0.15737495436290616</v>
      </c>
      <c r="G255" s="738" t="s">
        <v>774</v>
      </c>
      <c r="H255" s="738" t="s">
        <v>1471</v>
      </c>
      <c r="I255" s="771">
        <f>+'Desarrollo Economico'!AK110</f>
        <v>0</v>
      </c>
      <c r="J255" s="738" t="s">
        <v>767</v>
      </c>
      <c r="K255" s="742" t="s">
        <v>1996</v>
      </c>
      <c r="P255" s="732"/>
    </row>
    <row r="256" spans="1:16" ht="43.8" thickBot="1" x14ac:dyDescent="0.35">
      <c r="A256" s="738" t="s">
        <v>2068</v>
      </c>
      <c r="B256" s="740">
        <f>'[1]PLAN DE DESARROLLO 2024 - 2027'!$K$92</f>
        <v>0.27017707911062067</v>
      </c>
      <c r="C256" s="738" t="s">
        <v>2097</v>
      </c>
      <c r="D256" s="741">
        <f>'[1]PLAN DE DESARROLLO 2024 - 2027'!$K$116</f>
        <v>0.23817818229753918</v>
      </c>
      <c r="E256" s="738" t="s">
        <v>2099</v>
      </c>
      <c r="F256" s="741">
        <f>'[1]PLAN DE DESARROLLO 2024 - 2027'!$K$118</f>
        <v>0.15737495436290616</v>
      </c>
      <c r="G256" s="738" t="s">
        <v>775</v>
      </c>
      <c r="H256" s="738" t="s">
        <v>1472</v>
      </c>
      <c r="I256" s="770">
        <f>+'Desarrollo Economico'!AK111</f>
        <v>0.55000000000000004</v>
      </c>
      <c r="J256" s="738" t="s">
        <v>767</v>
      </c>
      <c r="K256" s="742" t="s">
        <v>1996</v>
      </c>
      <c r="P256" s="732"/>
    </row>
    <row r="257" spans="1:16" ht="43.8" thickBot="1" x14ac:dyDescent="0.35">
      <c r="A257" s="738" t="s">
        <v>2068</v>
      </c>
      <c r="B257" s="740">
        <f>'[1]PLAN DE DESARROLLO 2024 - 2027'!$K$92</f>
        <v>0.27017707911062067</v>
      </c>
      <c r="C257" s="738" t="s">
        <v>2097</v>
      </c>
      <c r="D257" s="741">
        <f>'[1]PLAN DE DESARROLLO 2024 - 2027'!$K$116</f>
        <v>0.23817818229753918</v>
      </c>
      <c r="E257" s="738" t="s">
        <v>2099</v>
      </c>
      <c r="F257" s="741">
        <f>'[1]PLAN DE DESARROLLO 2024 - 2027'!$K$118</f>
        <v>0.15737495436290616</v>
      </c>
      <c r="G257" s="738" t="s">
        <v>776</v>
      </c>
      <c r="H257" s="738" t="s">
        <v>1473</v>
      </c>
      <c r="I257" s="771">
        <f>+'Desarrollo Economico'!AK112</f>
        <v>1</v>
      </c>
      <c r="J257" s="738" t="s">
        <v>767</v>
      </c>
      <c r="K257" s="742" t="s">
        <v>1996</v>
      </c>
      <c r="P257" s="732"/>
    </row>
    <row r="258" spans="1:16" ht="43.8" thickBot="1" x14ac:dyDescent="0.35">
      <c r="A258" s="738" t="s">
        <v>2068</v>
      </c>
      <c r="B258" s="740">
        <f>'[1]PLAN DE DESARROLLO 2024 - 2027'!$K$92</f>
        <v>0.27017707911062067</v>
      </c>
      <c r="C258" s="738" t="s">
        <v>2097</v>
      </c>
      <c r="D258" s="741">
        <f>'[1]PLAN DE DESARROLLO 2024 - 2027'!$K$116</f>
        <v>0.23817818229753918</v>
      </c>
      <c r="E258" s="738" t="s">
        <v>2099</v>
      </c>
      <c r="F258" s="741">
        <f>'[1]PLAN DE DESARROLLO 2024 - 2027'!$K$118</f>
        <v>0.15737495436290616</v>
      </c>
      <c r="G258" s="738" t="s">
        <v>777</v>
      </c>
      <c r="H258" s="738" t="s">
        <v>1474</v>
      </c>
      <c r="I258" s="771">
        <f>+'Desarrollo Economico'!AK113</f>
        <v>0</v>
      </c>
      <c r="J258" s="738" t="s">
        <v>767</v>
      </c>
      <c r="K258" s="742" t="s">
        <v>1996</v>
      </c>
      <c r="P258" s="732"/>
    </row>
    <row r="259" spans="1:16" ht="43.8" thickBot="1" x14ac:dyDescent="0.35">
      <c r="A259" s="738" t="s">
        <v>2068</v>
      </c>
      <c r="B259" s="740">
        <f>'[1]PLAN DE DESARROLLO 2024 - 2027'!$K$92</f>
        <v>0.27017707911062067</v>
      </c>
      <c r="C259" s="738" t="s">
        <v>2097</v>
      </c>
      <c r="D259" s="741">
        <f>'[1]PLAN DE DESARROLLO 2024 - 2027'!$K$116</f>
        <v>0.23817818229753918</v>
      </c>
      <c r="E259" s="738" t="s">
        <v>2099</v>
      </c>
      <c r="F259" s="741">
        <f>'[1]PLAN DE DESARROLLO 2024 - 2027'!$K$118</f>
        <v>0.15737495436290616</v>
      </c>
      <c r="G259" s="738" t="s">
        <v>778</v>
      </c>
      <c r="H259" s="738" t="s">
        <v>1475</v>
      </c>
      <c r="I259" s="770">
        <f>+'Desarrollo Economico'!AK114</f>
        <v>0.6</v>
      </c>
      <c r="J259" s="738" t="s">
        <v>767</v>
      </c>
      <c r="K259" s="742" t="s">
        <v>1996</v>
      </c>
      <c r="P259" s="732"/>
    </row>
    <row r="260" spans="1:16" ht="43.8" thickBot="1" x14ac:dyDescent="0.35">
      <c r="A260" s="738" t="s">
        <v>2068</v>
      </c>
      <c r="B260" s="740">
        <f>'[1]PLAN DE DESARROLLO 2024 - 2027'!$K$92</f>
        <v>0.27017707911062067</v>
      </c>
      <c r="C260" s="738" t="s">
        <v>2097</v>
      </c>
      <c r="D260" s="741">
        <f>'[1]PLAN DE DESARROLLO 2024 - 2027'!$K$116</f>
        <v>0.23817818229753918</v>
      </c>
      <c r="E260" s="738" t="s">
        <v>2099</v>
      </c>
      <c r="F260" s="741">
        <f>'[1]PLAN DE DESARROLLO 2024 - 2027'!$K$118</f>
        <v>0.15737495436290616</v>
      </c>
      <c r="G260" s="738" t="s">
        <v>779</v>
      </c>
      <c r="H260" s="738" t="s">
        <v>1476</v>
      </c>
      <c r="I260" s="771">
        <f>+'Desarrollo Economico'!AK115</f>
        <v>0</v>
      </c>
      <c r="J260" s="738" t="s">
        <v>2100</v>
      </c>
      <c r="K260" s="742" t="s">
        <v>1996</v>
      </c>
      <c r="P260" s="732"/>
    </row>
    <row r="261" spans="1:16" ht="43.8" thickBot="1" x14ac:dyDescent="0.35">
      <c r="A261" s="738" t="s">
        <v>2068</v>
      </c>
      <c r="B261" s="740">
        <f>'[1]PLAN DE DESARROLLO 2024 - 2027'!$K$92</f>
        <v>0.27017707911062067</v>
      </c>
      <c r="C261" s="738" t="s">
        <v>2097</v>
      </c>
      <c r="D261" s="741">
        <f>'[1]PLAN DE DESARROLLO 2024 - 2027'!$K$116</f>
        <v>0.23817818229753918</v>
      </c>
      <c r="E261" s="738" t="s">
        <v>2099</v>
      </c>
      <c r="F261" s="741">
        <f>'[1]PLAN DE DESARROLLO 2024 - 2027'!$K$118</f>
        <v>0.15737495436290616</v>
      </c>
      <c r="G261" s="738" t="s">
        <v>781</v>
      </c>
      <c r="H261" s="738" t="s">
        <v>1477</v>
      </c>
      <c r="I261" s="771">
        <f>+'Desarrollo Economico'!AK116</f>
        <v>0</v>
      </c>
      <c r="J261" s="738" t="s">
        <v>2101</v>
      </c>
      <c r="K261" s="742" t="s">
        <v>1996</v>
      </c>
      <c r="P261" s="732"/>
    </row>
    <row r="262" spans="1:16" ht="15" thickBot="1" x14ac:dyDescent="0.35">
      <c r="A262" s="738" t="s">
        <v>2068</v>
      </c>
      <c r="B262" s="740">
        <f>'[1]PLAN DE DESARROLLO 2024 - 2027'!$K$92</f>
        <v>0.27017707911062067</v>
      </c>
      <c r="C262" s="738" t="s">
        <v>2097</v>
      </c>
      <c r="D262" s="741">
        <f>'[1]PLAN DE DESARROLLO 2024 - 2027'!$K$116</f>
        <v>0.23817818229753918</v>
      </c>
      <c r="E262" s="738" t="s">
        <v>2102</v>
      </c>
      <c r="F262" s="741">
        <f>'[1]PLAN DE DESARROLLO 2024 - 2027'!$K$119</f>
        <v>0.25</v>
      </c>
      <c r="G262" s="738" t="s">
        <v>784</v>
      </c>
      <c r="H262" s="738" t="s">
        <v>1478</v>
      </c>
      <c r="I262" s="770">
        <f>+'Desarrollo Economico'!AK118</f>
        <v>0.25</v>
      </c>
      <c r="J262" s="738" t="s">
        <v>767</v>
      </c>
      <c r="K262" s="742" t="s">
        <v>1996</v>
      </c>
      <c r="P262" s="732"/>
    </row>
    <row r="263" spans="1:16" ht="29.4" thickBot="1" x14ac:dyDescent="0.35">
      <c r="A263" s="738" t="s">
        <v>2068</v>
      </c>
      <c r="B263" s="740">
        <f>'[1]PLAN DE DESARROLLO 2024 - 2027'!$K$92</f>
        <v>0.27017707911062067</v>
      </c>
      <c r="C263" s="738" t="s">
        <v>2097</v>
      </c>
      <c r="D263" s="741">
        <f>'[1]PLAN DE DESARROLLO 2024 - 2027'!$K$116</f>
        <v>0.23817818229753918</v>
      </c>
      <c r="E263" s="738" t="s">
        <v>2102</v>
      </c>
      <c r="F263" s="741">
        <f>'[1]PLAN DE DESARROLLO 2024 - 2027'!$K$119</f>
        <v>0.25</v>
      </c>
      <c r="G263" s="738" t="s">
        <v>785</v>
      </c>
      <c r="H263" s="738" t="s">
        <v>1479</v>
      </c>
      <c r="I263" s="770">
        <f>+'Desarrollo Economico'!AK119</f>
        <v>0.5</v>
      </c>
      <c r="J263" s="738" t="s">
        <v>767</v>
      </c>
      <c r="K263" s="742" t="s">
        <v>1996</v>
      </c>
      <c r="P263" s="732"/>
    </row>
    <row r="264" spans="1:16" ht="15" thickBot="1" x14ac:dyDescent="0.35">
      <c r="A264" s="738" t="s">
        <v>2068</v>
      </c>
      <c r="B264" s="740">
        <f>'[1]PLAN DE DESARROLLO 2024 - 2027'!$K$92</f>
        <v>0.27017707911062067</v>
      </c>
      <c r="C264" s="738" t="s">
        <v>2097</v>
      </c>
      <c r="D264" s="741">
        <f>'[1]PLAN DE DESARROLLO 2024 - 2027'!$K$116</f>
        <v>0.23817818229753918</v>
      </c>
      <c r="E264" s="738" t="s">
        <v>2102</v>
      </c>
      <c r="F264" s="741">
        <f>'[1]PLAN DE DESARROLLO 2024 - 2027'!$K$119</f>
        <v>0.25</v>
      </c>
      <c r="G264" s="738" t="s">
        <v>786</v>
      </c>
      <c r="H264" s="738" t="s">
        <v>1480</v>
      </c>
      <c r="I264" s="771">
        <f>+'Desarrollo Economico'!AK120</f>
        <v>0</v>
      </c>
      <c r="J264" s="738" t="s">
        <v>767</v>
      </c>
      <c r="K264" s="742" t="s">
        <v>1996</v>
      </c>
      <c r="P264" s="732"/>
    </row>
    <row r="265" spans="1:16" ht="15" thickBot="1" x14ac:dyDescent="0.35">
      <c r="A265" s="738" t="s">
        <v>2068</v>
      </c>
      <c r="B265" s="740">
        <f>'[1]PLAN DE DESARROLLO 2024 - 2027'!$K$92</f>
        <v>0.27017707911062067</v>
      </c>
      <c r="C265" s="738" t="s">
        <v>2097</v>
      </c>
      <c r="D265" s="741">
        <f>'[1]PLAN DE DESARROLLO 2024 - 2027'!$K$116</f>
        <v>0.23817818229753918</v>
      </c>
      <c r="E265" s="738" t="s">
        <v>2102</v>
      </c>
      <c r="F265" s="741">
        <f>'[1]PLAN DE DESARROLLO 2024 - 2027'!$K$119</f>
        <v>0.25</v>
      </c>
      <c r="G265" s="738" t="s">
        <v>787</v>
      </c>
      <c r="H265" s="738" t="s">
        <v>1481</v>
      </c>
      <c r="I265" s="770">
        <f>+'Desarrollo Economico'!AK121</f>
        <v>1</v>
      </c>
      <c r="J265" s="738" t="s">
        <v>767</v>
      </c>
      <c r="K265" s="742" t="s">
        <v>1996</v>
      </c>
      <c r="P265" s="732"/>
    </row>
    <row r="266" spans="1:16" ht="29.4" thickBot="1" x14ac:dyDescent="0.35">
      <c r="A266" s="738" t="s">
        <v>2068</v>
      </c>
      <c r="B266" s="740">
        <f>'[1]PLAN DE DESARROLLO 2024 - 2027'!$K$92</f>
        <v>0.27017707911062067</v>
      </c>
      <c r="C266" s="738" t="s">
        <v>2097</v>
      </c>
      <c r="D266" s="741">
        <f>'[1]PLAN DE DESARROLLO 2024 - 2027'!$K$116</f>
        <v>0.23817818229753918</v>
      </c>
      <c r="E266" s="738" t="s">
        <v>2102</v>
      </c>
      <c r="F266" s="741">
        <f>'[1]PLAN DE DESARROLLO 2024 - 2027'!$K$119</f>
        <v>0.25</v>
      </c>
      <c r="G266" s="738" t="s">
        <v>788</v>
      </c>
      <c r="H266" s="738" t="s">
        <v>1482</v>
      </c>
      <c r="I266" s="770">
        <f>+'Desarrollo Economico'!AK122</f>
        <v>0.2</v>
      </c>
      <c r="J266" s="738" t="s">
        <v>2103</v>
      </c>
      <c r="K266" s="742" t="s">
        <v>1996</v>
      </c>
      <c r="P266" s="732"/>
    </row>
    <row r="267" spans="1:16" ht="29.4" thickBot="1" x14ac:dyDescent="0.35">
      <c r="A267" s="738" t="s">
        <v>2068</v>
      </c>
      <c r="B267" s="740">
        <f>'[1]PLAN DE DESARROLLO 2024 - 2027'!$K$92</f>
        <v>0.27017707911062067</v>
      </c>
      <c r="C267" s="738" t="s">
        <v>2097</v>
      </c>
      <c r="D267" s="741">
        <f>'[1]PLAN DE DESARROLLO 2024 - 2027'!$K$116</f>
        <v>0.23817818229753918</v>
      </c>
      <c r="E267" s="738" t="s">
        <v>2102</v>
      </c>
      <c r="F267" s="741">
        <f>'[1]PLAN DE DESARROLLO 2024 - 2027'!$K$119</f>
        <v>0.25</v>
      </c>
      <c r="G267" s="738" t="s">
        <v>789</v>
      </c>
      <c r="H267" s="738" t="s">
        <v>1483</v>
      </c>
      <c r="I267" s="770">
        <f>+'Desarrollo Economico'!AK123</f>
        <v>0.2</v>
      </c>
      <c r="J267" s="738" t="s">
        <v>2104</v>
      </c>
      <c r="K267" s="742" t="s">
        <v>1996</v>
      </c>
      <c r="P267" s="732"/>
    </row>
    <row r="268" spans="1:16" ht="87" thickBot="1" x14ac:dyDescent="0.35">
      <c r="A268" s="738" t="s">
        <v>2068</v>
      </c>
      <c r="B268" s="740">
        <f>'[1]PLAN DE DESARROLLO 2024 - 2027'!$K$92</f>
        <v>0.27017707911062067</v>
      </c>
      <c r="C268" s="738" t="s">
        <v>2105</v>
      </c>
      <c r="D268" s="741">
        <f>'[1]PLAN DE DESARROLLO 2024 - 2027'!$K$120</f>
        <v>0.24676666666666666</v>
      </c>
      <c r="E268" s="738" t="s">
        <v>2106</v>
      </c>
      <c r="F268" s="741">
        <f>'[1]PLAN DE DESARROLLO 2024 - 2027'!$K$121</f>
        <v>9.9999999999999992E-2</v>
      </c>
      <c r="G268" s="738" t="s">
        <v>791</v>
      </c>
      <c r="H268" s="738" t="s">
        <v>2107</v>
      </c>
      <c r="I268" s="770">
        <f>+'Desarrollo Economico'!AK126</f>
        <v>0.47666666666666663</v>
      </c>
      <c r="J268" s="738" t="s">
        <v>2108</v>
      </c>
      <c r="K268" s="742" t="s">
        <v>1996</v>
      </c>
      <c r="P268" s="732"/>
    </row>
    <row r="269" spans="1:16" ht="43.8" thickBot="1" x14ac:dyDescent="0.35">
      <c r="A269" s="738" t="s">
        <v>2068</v>
      </c>
      <c r="B269" s="740">
        <f>'[1]PLAN DE DESARROLLO 2024 - 2027'!$K$92</f>
        <v>0.27017707911062067</v>
      </c>
      <c r="C269" s="738" t="s">
        <v>2105</v>
      </c>
      <c r="D269" s="741">
        <f>'[1]PLAN DE DESARROLLO 2024 - 2027'!$K$120</f>
        <v>0.24676666666666666</v>
      </c>
      <c r="E269" s="738" t="s">
        <v>2106</v>
      </c>
      <c r="F269" s="741">
        <f>'[1]PLAN DE DESARROLLO 2024 - 2027'!$K$121</f>
        <v>9.9999999999999992E-2</v>
      </c>
      <c r="G269" s="738" t="s">
        <v>793</v>
      </c>
      <c r="H269" s="738" t="s">
        <v>1485</v>
      </c>
      <c r="I269" s="771">
        <f>+'Desarrollo Economico'!AK127</f>
        <v>0</v>
      </c>
      <c r="J269" s="738" t="s">
        <v>1540</v>
      </c>
      <c r="K269" s="742" t="s">
        <v>1996</v>
      </c>
      <c r="P269" s="732"/>
    </row>
    <row r="270" spans="1:16" ht="43.8" thickBot="1" x14ac:dyDescent="0.35">
      <c r="A270" s="738" t="s">
        <v>2068</v>
      </c>
      <c r="B270" s="740">
        <f>'[1]PLAN DE DESARROLLO 2024 - 2027'!$K$92</f>
        <v>0.27017707911062067</v>
      </c>
      <c r="C270" s="738" t="s">
        <v>2105</v>
      </c>
      <c r="D270" s="741">
        <f>'[1]PLAN DE DESARROLLO 2024 - 2027'!$K$120</f>
        <v>0.24676666666666666</v>
      </c>
      <c r="E270" s="738" t="s">
        <v>2106</v>
      </c>
      <c r="F270" s="741">
        <f>'[1]PLAN DE DESARROLLO 2024 - 2027'!$K$121</f>
        <v>9.9999999999999992E-2</v>
      </c>
      <c r="G270" s="738" t="s">
        <v>795</v>
      </c>
      <c r="H270" s="738" t="s">
        <v>1486</v>
      </c>
      <c r="I270" s="771">
        <f>+'Desarrollo Economico'!AK128</f>
        <v>0</v>
      </c>
      <c r="J270" s="738" t="s">
        <v>1540</v>
      </c>
      <c r="K270" s="742" t="s">
        <v>1996</v>
      </c>
      <c r="P270" s="732"/>
    </row>
    <row r="271" spans="1:16" ht="29.4" thickBot="1" x14ac:dyDescent="0.35">
      <c r="A271" s="738" t="s">
        <v>2068</v>
      </c>
      <c r="B271" s="740">
        <f>'[1]PLAN DE DESARROLLO 2024 - 2027'!$K$92</f>
        <v>0.27017707911062067</v>
      </c>
      <c r="C271" s="738" t="s">
        <v>2105</v>
      </c>
      <c r="D271" s="741">
        <f>'[1]PLAN DE DESARROLLO 2024 - 2027'!$K$120</f>
        <v>0.24676666666666666</v>
      </c>
      <c r="E271" s="738" t="s">
        <v>2109</v>
      </c>
      <c r="F271" s="741">
        <f>'[1]PLAN DE DESARROLLO 2024 - 2027'!$K$122</f>
        <v>0.39353333333333335</v>
      </c>
      <c r="G271" s="738" t="s">
        <v>796</v>
      </c>
      <c r="H271" s="738" t="s">
        <v>1487</v>
      </c>
      <c r="I271" s="770">
        <f>+'Desarrollo Economico'!AK130</f>
        <v>0.6</v>
      </c>
      <c r="J271" s="738" t="s">
        <v>516</v>
      </c>
      <c r="K271" s="742" t="s">
        <v>1996</v>
      </c>
      <c r="P271" s="732"/>
    </row>
    <row r="272" spans="1:16" ht="29.4" thickBot="1" x14ac:dyDescent="0.35">
      <c r="A272" s="738" t="s">
        <v>2068</v>
      </c>
      <c r="B272" s="740">
        <f>'[1]PLAN DE DESARROLLO 2024 - 2027'!$K$92</f>
        <v>0.27017707911062067</v>
      </c>
      <c r="C272" s="738" t="s">
        <v>2105</v>
      </c>
      <c r="D272" s="741">
        <f>'[1]PLAN DE DESARROLLO 2024 - 2027'!$K$120</f>
        <v>0.24676666666666666</v>
      </c>
      <c r="E272" s="738" t="s">
        <v>2109</v>
      </c>
      <c r="F272" s="741">
        <f>'[1]PLAN DE DESARROLLO 2024 - 2027'!$K$122</f>
        <v>0.39353333333333335</v>
      </c>
      <c r="G272" s="738" t="s">
        <v>797</v>
      </c>
      <c r="H272" s="738" t="s">
        <v>1488</v>
      </c>
      <c r="I272" s="770">
        <f>+'Desarrollo Economico'!AK131</f>
        <v>0.5</v>
      </c>
      <c r="J272" s="738" t="s">
        <v>516</v>
      </c>
      <c r="K272" s="742" t="s">
        <v>1996</v>
      </c>
      <c r="P272" s="732"/>
    </row>
    <row r="273" spans="1:16" ht="43.8" thickBot="1" x14ac:dyDescent="0.35">
      <c r="A273" s="738" t="s">
        <v>2068</v>
      </c>
      <c r="B273" s="740">
        <f>'[1]PLAN DE DESARROLLO 2024 - 2027'!$K$92</f>
        <v>0.27017707911062067</v>
      </c>
      <c r="C273" s="738" t="s">
        <v>2105</v>
      </c>
      <c r="D273" s="741">
        <f>'[1]PLAN DE DESARROLLO 2024 - 2027'!$K$120</f>
        <v>0.24676666666666666</v>
      </c>
      <c r="E273" s="738" t="s">
        <v>2109</v>
      </c>
      <c r="F273" s="741">
        <f>'[1]PLAN DE DESARROLLO 2024 - 2027'!$K$122</f>
        <v>0.39353333333333335</v>
      </c>
      <c r="G273" s="738" t="s">
        <v>798</v>
      </c>
      <c r="H273" s="738" t="s">
        <v>1489</v>
      </c>
      <c r="I273" s="770">
        <f>+'Desarrollo Economico'!AK132</f>
        <v>0.68059999999999998</v>
      </c>
      <c r="J273" s="738" t="s">
        <v>516</v>
      </c>
      <c r="K273" s="742" t="s">
        <v>1996</v>
      </c>
      <c r="P273" s="732"/>
    </row>
    <row r="274" spans="1:16" ht="29.4" thickBot="1" x14ac:dyDescent="0.35">
      <c r="A274" s="738" t="s">
        <v>2110</v>
      </c>
      <c r="B274" s="740">
        <f>'[1]PLAN DE DESARROLLO 2024 - 2027'!$K$161</f>
        <v>0.25845384584399683</v>
      </c>
      <c r="C274" s="738" t="s">
        <v>2111</v>
      </c>
      <c r="D274" s="740">
        <f>'[1]PLAN DE DESARROLLO 2024 - 2027'!$J$162</f>
        <v>0.21</v>
      </c>
      <c r="E274" s="738" t="s">
        <v>1820</v>
      </c>
      <c r="F274" s="741">
        <f>'[1]PLAN DE DESARROLLO 2024 - 2027'!$K$163</f>
        <v>2.5000000000000001E-2</v>
      </c>
      <c r="G274" s="738" t="s">
        <v>955</v>
      </c>
      <c r="H274" s="738" t="s">
        <v>1162</v>
      </c>
      <c r="I274" s="770">
        <f>+'Innovación Pública'!AK6</f>
        <v>0.35</v>
      </c>
      <c r="J274" s="738" t="s">
        <v>516</v>
      </c>
      <c r="K274" s="742" t="s">
        <v>1996</v>
      </c>
      <c r="P274" s="732"/>
    </row>
    <row r="275" spans="1:16" ht="29.4" thickBot="1" x14ac:dyDescent="0.35">
      <c r="A275" s="738" t="s">
        <v>2110</v>
      </c>
      <c r="B275" s="740">
        <f>'[1]PLAN DE DESARROLLO 2024 - 2027'!$J$161</f>
        <v>0.21734598565460142</v>
      </c>
      <c r="C275" s="738" t="s">
        <v>2111</v>
      </c>
      <c r="D275" s="740">
        <f>'[1]PLAN DE DESARROLLO 2024 - 2027'!$K$162</f>
        <v>0.19166666666666665</v>
      </c>
      <c r="E275" s="738" t="s">
        <v>1820</v>
      </c>
      <c r="F275" s="741">
        <f>'[1]PLAN DE DESARROLLO 2024 - 2027'!$K$163</f>
        <v>2.5000000000000001E-2</v>
      </c>
      <c r="G275" s="738" t="s">
        <v>956</v>
      </c>
      <c r="H275" s="738" t="s">
        <v>1163</v>
      </c>
      <c r="I275" s="771">
        <f>+'Innovación Pública'!AK7</f>
        <v>0</v>
      </c>
      <c r="J275" s="738" t="s">
        <v>516</v>
      </c>
      <c r="K275" s="742" t="s">
        <v>1996</v>
      </c>
      <c r="P275" s="732"/>
    </row>
    <row r="276" spans="1:16" ht="29.4" thickBot="1" x14ac:dyDescent="0.35">
      <c r="A276" s="738" t="s">
        <v>2110</v>
      </c>
      <c r="B276" s="740">
        <f>'[1]PLAN DE DESARROLLO 2024 - 2027'!$J$161</f>
        <v>0.21734598565460142</v>
      </c>
      <c r="C276" s="738" t="s">
        <v>2111</v>
      </c>
      <c r="D276" s="740">
        <f>'[1]PLAN DE DESARROLLO 2024 - 2027'!$K$162</f>
        <v>0.19166666666666665</v>
      </c>
      <c r="E276" s="738" t="s">
        <v>1820</v>
      </c>
      <c r="F276" s="741">
        <f>'[1]PLAN DE DESARROLLO 2024 - 2027'!$K$163</f>
        <v>2.5000000000000001E-2</v>
      </c>
      <c r="G276" s="738" t="s">
        <v>957</v>
      </c>
      <c r="H276" s="738" t="s">
        <v>1164</v>
      </c>
      <c r="I276" s="771">
        <f>+'Innovación Pública'!AK8</f>
        <v>0</v>
      </c>
      <c r="J276" s="738" t="s">
        <v>516</v>
      </c>
      <c r="K276" s="742" t="s">
        <v>1996</v>
      </c>
      <c r="P276" s="732"/>
    </row>
    <row r="277" spans="1:16" ht="29.4" thickBot="1" x14ac:dyDescent="0.35">
      <c r="A277" s="738" t="s">
        <v>2110</v>
      </c>
      <c r="B277" s="740">
        <f>'[1]PLAN DE DESARROLLO 2024 - 2027'!$J$161</f>
        <v>0.21734598565460142</v>
      </c>
      <c r="C277" s="738" t="s">
        <v>2112</v>
      </c>
      <c r="D277" s="741">
        <f>'[1]PLAN DE DESARROLLO 2024 - 2027'!$K$166</f>
        <v>0.22116069173966579</v>
      </c>
      <c r="E277" s="738" t="s">
        <v>2113</v>
      </c>
      <c r="F277" s="741">
        <f>'[1]PLAN DE DESARROLLO 2024 - 2027'!$K$171</f>
        <v>0.16666666666666666</v>
      </c>
      <c r="G277" s="738" t="s">
        <v>979</v>
      </c>
      <c r="H277" s="738" t="s">
        <v>1181</v>
      </c>
      <c r="I277" s="770">
        <f>+'Innovación Pública'!AK33</f>
        <v>1</v>
      </c>
      <c r="J277" s="738" t="s">
        <v>516</v>
      </c>
      <c r="K277" s="742" t="s">
        <v>1996</v>
      </c>
      <c r="P277" s="732"/>
    </row>
    <row r="278" spans="1:16" ht="29.4" thickBot="1" x14ac:dyDescent="0.35">
      <c r="A278" s="738" t="s">
        <v>2110</v>
      </c>
      <c r="B278" s="740">
        <f>'[1]PLAN DE DESARROLLO 2024 - 2027'!$J$161</f>
        <v>0.21734598565460142</v>
      </c>
      <c r="C278" s="738" t="s">
        <v>2112</v>
      </c>
      <c r="D278" s="741">
        <f>'[1]PLAN DE DESARROLLO 2024 - 2027'!$K$166</f>
        <v>0.22116069173966579</v>
      </c>
      <c r="E278" s="738" t="s">
        <v>2113</v>
      </c>
      <c r="F278" s="741">
        <f>'[1]PLAN DE DESARROLLO 2024 - 2027'!$K$171</f>
        <v>0.16666666666666666</v>
      </c>
      <c r="G278" s="738" t="s">
        <v>980</v>
      </c>
      <c r="H278" s="738" t="s">
        <v>1182</v>
      </c>
      <c r="I278" s="770">
        <f>+'Innovación Pública'!AK34</f>
        <v>1</v>
      </c>
      <c r="J278" s="738" t="s">
        <v>516</v>
      </c>
      <c r="K278" s="742" t="s">
        <v>1996</v>
      </c>
      <c r="P278" s="732"/>
    </row>
    <row r="279" spans="1:16" ht="29.4" thickBot="1" x14ac:dyDescent="0.35">
      <c r="A279" s="738" t="s">
        <v>2110</v>
      </c>
      <c r="B279" s="740">
        <f>'[1]PLAN DE DESARROLLO 2024 - 2027'!$J$161</f>
        <v>0.21734598565460142</v>
      </c>
      <c r="C279" s="738" t="s">
        <v>2112</v>
      </c>
      <c r="D279" s="741">
        <f>'[1]PLAN DE DESARROLLO 2024 - 2027'!$K$166</f>
        <v>0.22116069173966579</v>
      </c>
      <c r="E279" s="738" t="s">
        <v>2113</v>
      </c>
      <c r="F279" s="741">
        <f>'[1]PLAN DE DESARROLLO 2024 - 2027'!$K$171</f>
        <v>0.16666666666666666</v>
      </c>
      <c r="G279" s="738" t="s">
        <v>981</v>
      </c>
      <c r="H279" s="738" t="s">
        <v>1183</v>
      </c>
      <c r="I279" s="770">
        <f>+'Innovación Pública'!AK35</f>
        <v>0.2</v>
      </c>
      <c r="J279" s="738" t="s">
        <v>516</v>
      </c>
      <c r="K279" s="742" t="s">
        <v>1996</v>
      </c>
      <c r="P279" s="732"/>
    </row>
    <row r="280" spans="1:16" ht="29.4" thickBot="1" x14ac:dyDescent="0.35">
      <c r="A280" s="738" t="s">
        <v>2110</v>
      </c>
      <c r="B280" s="740">
        <f>'[1]PLAN DE DESARROLLO 2024 - 2027'!$J$161</f>
        <v>0.21734598565460142</v>
      </c>
      <c r="C280" s="738" t="s">
        <v>2112</v>
      </c>
      <c r="D280" s="741">
        <f>'[1]PLAN DE DESARROLLO 2024 - 2027'!$K$166</f>
        <v>0.22116069173966579</v>
      </c>
      <c r="E280" s="738" t="s">
        <v>2114</v>
      </c>
      <c r="F280" s="741">
        <f>'[1]PLAN DE DESARROLLO 2024 - 2027'!$K$173</f>
        <v>0</v>
      </c>
      <c r="G280" s="738" t="s">
        <v>985</v>
      </c>
      <c r="H280" s="738" t="s">
        <v>1187</v>
      </c>
      <c r="I280" s="770">
        <f>+'Innovación Pública'!AK41</f>
        <v>0.1</v>
      </c>
      <c r="J280" s="738" t="s">
        <v>2115</v>
      </c>
      <c r="K280" s="742" t="s">
        <v>1996</v>
      </c>
      <c r="P280" s="732"/>
    </row>
    <row r="281" spans="1:16" ht="29.4" thickBot="1" x14ac:dyDescent="0.35">
      <c r="A281" s="738" t="s">
        <v>2110</v>
      </c>
      <c r="B281" s="740">
        <f>'[1]PLAN DE DESARROLLO 2024 - 2027'!$J$161</f>
        <v>0.21734598565460142</v>
      </c>
      <c r="C281" s="738" t="s">
        <v>2112</v>
      </c>
      <c r="D281" s="741">
        <f>'[1]PLAN DE DESARROLLO 2024 - 2027'!$K$166</f>
        <v>0.22116069173966579</v>
      </c>
      <c r="E281" s="738" t="s">
        <v>2114</v>
      </c>
      <c r="F281" s="741">
        <f>'[1]PLAN DE DESARROLLO 2024 - 2027'!$K$173</f>
        <v>0</v>
      </c>
      <c r="G281" s="738" t="s">
        <v>986</v>
      </c>
      <c r="H281" s="738" t="s">
        <v>1188</v>
      </c>
      <c r="I281" s="770">
        <f>+'Innovación Pública'!AK42</f>
        <v>0</v>
      </c>
      <c r="J281" s="738" t="s">
        <v>2115</v>
      </c>
      <c r="K281" s="742" t="s">
        <v>1996</v>
      </c>
      <c r="P281" s="732"/>
    </row>
    <row r="282" spans="1:16" ht="29.4" thickBot="1" x14ac:dyDescent="0.35">
      <c r="A282" s="738" t="s">
        <v>2110</v>
      </c>
      <c r="B282" s="740">
        <f>'[1]PLAN DE DESARROLLO 2024 - 2027'!$J$161</f>
        <v>0.21734598565460142</v>
      </c>
      <c r="C282" s="738" t="s">
        <v>2116</v>
      </c>
      <c r="D282" s="740">
        <f>'[1]PLAN DE DESARROLLO 2024 - 2027'!$K$175</f>
        <v>0.30645929363983626</v>
      </c>
      <c r="E282" s="738" t="s">
        <v>2117</v>
      </c>
      <c r="F282" s="741">
        <f>'[1]PLAN DE DESARROLLO 2024 - 2027'!$K$177</f>
        <v>0.25</v>
      </c>
      <c r="G282" s="738" t="s">
        <v>996</v>
      </c>
      <c r="H282" s="738" t="s">
        <v>1197</v>
      </c>
      <c r="I282" s="770">
        <f>+'Innovación Pública'!AK56</f>
        <v>1</v>
      </c>
      <c r="J282" s="738" t="s">
        <v>683</v>
      </c>
      <c r="K282" s="742" t="s">
        <v>1996</v>
      </c>
      <c r="P282" s="732"/>
    </row>
    <row r="283" spans="1:16" ht="29.4" thickBot="1" x14ac:dyDescent="0.35">
      <c r="A283" s="738" t="s">
        <v>2110</v>
      </c>
      <c r="B283" s="740">
        <f>'[1]PLAN DE DESARROLLO 2024 - 2027'!$J$161</f>
        <v>0.21734598565460142</v>
      </c>
      <c r="C283" s="738" t="s">
        <v>2118</v>
      </c>
      <c r="D283" s="740">
        <f>'[1]PLAN DE DESARROLLO 2024 - 2027'!$K$184</f>
        <v>0.20161705435056146</v>
      </c>
      <c r="E283" s="738" t="s">
        <v>1833</v>
      </c>
      <c r="F283" s="741">
        <f>'[1]PLAN DE DESARROLLO 2024 - 2027'!$K$187</f>
        <v>0</v>
      </c>
      <c r="G283" s="738" t="s">
        <v>1024</v>
      </c>
      <c r="H283" s="738" t="s">
        <v>1223</v>
      </c>
      <c r="I283" s="770">
        <f>+'Innovación Pública'!AK93</f>
        <v>0</v>
      </c>
      <c r="J283" s="738" t="s">
        <v>2119</v>
      </c>
      <c r="K283" s="742" t="s">
        <v>1996</v>
      </c>
      <c r="P283" s="732"/>
    </row>
    <row r="284" spans="1:16" ht="43.8" thickBot="1" x14ac:dyDescent="0.35">
      <c r="A284" s="738" t="s">
        <v>2110</v>
      </c>
      <c r="B284" s="740">
        <f>'[1]PLAN DE DESARROLLO 2024 - 2027'!$J$161</f>
        <v>0.21734598565460142</v>
      </c>
      <c r="C284" s="738" t="s">
        <v>2111</v>
      </c>
      <c r="D284" s="740">
        <f>'[1]PLAN DE DESARROLLO 2024 - 2027'!$K$162</f>
        <v>0.19166666666666665</v>
      </c>
      <c r="E284" s="738" t="s">
        <v>1821</v>
      </c>
      <c r="F284" s="741">
        <f>'[1]PLAN DE DESARROLLO 2024 - 2027'!$K$164</f>
        <v>0.1875</v>
      </c>
      <c r="G284" s="738" t="s">
        <v>958</v>
      </c>
      <c r="H284" s="738" t="s">
        <v>1165</v>
      </c>
      <c r="I284" s="770">
        <f>+'Innovación Pública'!AK10</f>
        <v>0.5</v>
      </c>
      <c r="J284" s="738" t="s">
        <v>516</v>
      </c>
      <c r="K284" s="742" t="s">
        <v>1996</v>
      </c>
      <c r="P284" s="732"/>
    </row>
    <row r="285" spans="1:16" ht="29.4" thickBot="1" x14ac:dyDescent="0.35">
      <c r="A285" s="738" t="s">
        <v>2110</v>
      </c>
      <c r="B285" s="740">
        <f>'[1]PLAN DE DESARROLLO 2024 - 2027'!$J$161</f>
        <v>0.21734598565460142</v>
      </c>
      <c r="C285" s="738" t="s">
        <v>2111</v>
      </c>
      <c r="D285" s="740">
        <f>'[1]PLAN DE DESARROLLO 2024 - 2027'!$K$162</f>
        <v>0.19166666666666665</v>
      </c>
      <c r="E285" s="738" t="s">
        <v>1821</v>
      </c>
      <c r="F285" s="741">
        <f>'[1]PLAN DE DESARROLLO 2024 - 2027'!$K$164</f>
        <v>0.1875</v>
      </c>
      <c r="G285" s="738" t="s">
        <v>959</v>
      </c>
      <c r="H285" s="738" t="s">
        <v>1166</v>
      </c>
      <c r="I285" s="770">
        <f>+'Innovación Pública'!AK11</f>
        <v>0.875</v>
      </c>
      <c r="J285" s="738" t="s">
        <v>2120</v>
      </c>
      <c r="K285" s="742" t="s">
        <v>1996</v>
      </c>
      <c r="P285" s="732"/>
    </row>
    <row r="286" spans="1:16" ht="29.4" thickBot="1" x14ac:dyDescent="0.35">
      <c r="A286" s="738" t="s">
        <v>2110</v>
      </c>
      <c r="B286" s="740">
        <f>'[1]PLAN DE DESARROLLO 2024 - 2027'!$J$161</f>
        <v>0.21734598565460142</v>
      </c>
      <c r="C286" s="738" t="s">
        <v>2111</v>
      </c>
      <c r="D286" s="740">
        <f>'[1]PLAN DE DESARROLLO 2024 - 2027'!$K$162</f>
        <v>0.19166666666666665</v>
      </c>
      <c r="E286" s="738" t="s">
        <v>1822</v>
      </c>
      <c r="F286" s="741">
        <f>'[1]PLAN DE DESARROLLO 2024 - 2027'!$K$165</f>
        <v>0.36249999999999999</v>
      </c>
      <c r="G286" s="738" t="s">
        <v>961</v>
      </c>
      <c r="H286" s="738" t="s">
        <v>1167</v>
      </c>
      <c r="I286" s="770">
        <f>+'Innovación Pública'!AK13</f>
        <v>0.27433333333333332</v>
      </c>
      <c r="J286" s="738" t="s">
        <v>2121</v>
      </c>
      <c r="K286" s="742" t="s">
        <v>1996</v>
      </c>
      <c r="P286" s="732"/>
    </row>
    <row r="287" spans="1:16" ht="29.4" thickBot="1" x14ac:dyDescent="0.35">
      <c r="A287" s="738" t="s">
        <v>2110</v>
      </c>
      <c r="B287" s="740">
        <f>'[1]PLAN DE DESARROLLO 2024 - 2027'!$J$161</f>
        <v>0.21734598565460142</v>
      </c>
      <c r="C287" s="738" t="s">
        <v>2111</v>
      </c>
      <c r="D287" s="740">
        <f>'[1]PLAN DE DESARROLLO 2024 - 2027'!$K$162</f>
        <v>0.19166666666666665</v>
      </c>
      <c r="E287" s="738" t="s">
        <v>1822</v>
      </c>
      <c r="F287" s="741">
        <f>'[1]PLAN DE DESARROLLO 2024 - 2027'!$K$165</f>
        <v>0.36249999999999999</v>
      </c>
      <c r="G287" s="738" t="s">
        <v>963</v>
      </c>
      <c r="H287" s="738" t="s">
        <v>1168</v>
      </c>
      <c r="I287" s="770">
        <f>+'Innovación Pública'!AK14</f>
        <v>0.38833333333333336</v>
      </c>
      <c r="J287" s="738" t="s">
        <v>2122</v>
      </c>
      <c r="K287" s="742" t="s">
        <v>1996</v>
      </c>
      <c r="P287" s="732"/>
    </row>
    <row r="288" spans="1:16" ht="29.4" thickBot="1" x14ac:dyDescent="0.35">
      <c r="A288" s="738" t="s">
        <v>2110</v>
      </c>
      <c r="B288" s="740">
        <f>'[1]PLAN DE DESARROLLO 2024 - 2027'!$J$161</f>
        <v>0.21734598565460142</v>
      </c>
      <c r="C288" s="738" t="s">
        <v>2111</v>
      </c>
      <c r="D288" s="740">
        <f>'[1]PLAN DE DESARROLLO 2024 - 2027'!$K$162</f>
        <v>0.19166666666666665</v>
      </c>
      <c r="E288" s="738" t="s">
        <v>1822</v>
      </c>
      <c r="F288" s="741">
        <f>'[1]PLAN DE DESARROLLO 2024 - 2027'!$K$165</f>
        <v>0.36249999999999999</v>
      </c>
      <c r="G288" s="738" t="s">
        <v>965</v>
      </c>
      <c r="H288" s="738" t="s">
        <v>1169</v>
      </c>
      <c r="I288" s="770">
        <f>+'Innovación Pública'!AK15</f>
        <v>0.38833333333333336</v>
      </c>
      <c r="J288" s="738" t="s">
        <v>2122</v>
      </c>
      <c r="K288" s="742" t="s">
        <v>1996</v>
      </c>
      <c r="P288" s="732"/>
    </row>
    <row r="289" spans="1:16" ht="29.4" thickBot="1" x14ac:dyDescent="0.35">
      <c r="A289" s="738" t="s">
        <v>2110</v>
      </c>
      <c r="B289" s="740">
        <f>'[1]PLAN DE DESARROLLO 2024 - 2027'!$J$161</f>
        <v>0.21734598565460142</v>
      </c>
      <c r="C289" s="738" t="s">
        <v>2111</v>
      </c>
      <c r="D289" s="740">
        <f>'[1]PLAN DE DESARROLLO 2024 - 2027'!$K$162</f>
        <v>0.19166666666666665</v>
      </c>
      <c r="E289" s="738" t="s">
        <v>1822</v>
      </c>
      <c r="F289" s="741">
        <f>'[1]PLAN DE DESARROLLO 2024 - 2027'!$K$165</f>
        <v>0.36249999999999999</v>
      </c>
      <c r="G289" s="738" t="s">
        <v>966</v>
      </c>
      <c r="H289" s="738" t="s">
        <v>1170</v>
      </c>
      <c r="I289" s="770">
        <f>+'Innovación Pública'!AK16</f>
        <v>1</v>
      </c>
      <c r="J289" s="738" t="s">
        <v>2122</v>
      </c>
      <c r="K289" s="742" t="s">
        <v>1996</v>
      </c>
      <c r="P289" s="732"/>
    </row>
    <row r="290" spans="1:16" ht="29.4" thickBot="1" x14ac:dyDescent="0.35">
      <c r="A290" s="738" t="s">
        <v>2110</v>
      </c>
      <c r="B290" s="740">
        <f>'[1]PLAN DE DESARROLLO 2024 - 2027'!$J$161</f>
        <v>0.21734598565460142</v>
      </c>
      <c r="C290" s="738" t="s">
        <v>2112</v>
      </c>
      <c r="D290" s="741">
        <f>'[1]PLAN DE DESARROLLO 2024 - 2027'!$K$166</f>
        <v>0.22116069173966579</v>
      </c>
      <c r="E290" s="738" t="s">
        <v>2123</v>
      </c>
      <c r="F290" s="741">
        <f>'[1]PLAN DE DESARROLLO 2024 - 2027'!$K$167</f>
        <v>0.44305555555555554</v>
      </c>
      <c r="G290" s="738" t="s">
        <v>967</v>
      </c>
      <c r="H290" s="738" t="s">
        <v>1171</v>
      </c>
      <c r="I290" s="770">
        <f>+'Innovación Pública'!AK19</f>
        <v>0.57499999999999996</v>
      </c>
      <c r="J290" s="738" t="s">
        <v>516</v>
      </c>
      <c r="K290" s="742" t="s">
        <v>1996</v>
      </c>
      <c r="P290" s="732"/>
    </row>
    <row r="291" spans="1:16" ht="29.4" thickBot="1" x14ac:dyDescent="0.35">
      <c r="A291" s="738" t="s">
        <v>2110</v>
      </c>
      <c r="B291" s="740">
        <f>'[1]PLAN DE DESARROLLO 2024 - 2027'!$J$161</f>
        <v>0.21734598565460142</v>
      </c>
      <c r="C291" s="738" t="s">
        <v>2112</v>
      </c>
      <c r="D291" s="741">
        <f>'[1]PLAN DE DESARROLLO 2024 - 2027'!$K$166</f>
        <v>0.22116069173966579</v>
      </c>
      <c r="E291" s="738" t="s">
        <v>2123</v>
      </c>
      <c r="F291" s="741">
        <f>'[1]PLAN DE DESARROLLO 2024 - 2027'!$K$167</f>
        <v>0.44305555555555554</v>
      </c>
      <c r="G291" s="738" t="s">
        <v>968</v>
      </c>
      <c r="H291" s="738" t="s">
        <v>1172</v>
      </c>
      <c r="I291" s="771">
        <f>+'Innovación Pública'!AK20</f>
        <v>0.91520000000000001</v>
      </c>
      <c r="J291" s="738" t="s">
        <v>516</v>
      </c>
      <c r="K291" s="742" t="s">
        <v>1996</v>
      </c>
      <c r="P291" s="732"/>
    </row>
    <row r="292" spans="1:16" ht="29.4" thickBot="1" x14ac:dyDescent="0.35">
      <c r="A292" s="738" t="s">
        <v>2110</v>
      </c>
      <c r="B292" s="740">
        <f>'[1]PLAN DE DESARROLLO 2024 - 2027'!$J$161</f>
        <v>0.21734598565460142</v>
      </c>
      <c r="C292" s="738" t="s">
        <v>2112</v>
      </c>
      <c r="D292" s="741">
        <f>'[1]PLAN DE DESARROLLO 2024 - 2027'!$K$166</f>
        <v>0.22116069173966579</v>
      </c>
      <c r="E292" s="738" t="s">
        <v>2123</v>
      </c>
      <c r="F292" s="741">
        <f>'[1]PLAN DE DESARROLLO 2024 - 2027'!$K$167</f>
        <v>0.44305555555555554</v>
      </c>
      <c r="G292" s="738" t="s">
        <v>970</v>
      </c>
      <c r="H292" s="738" t="s">
        <v>1173</v>
      </c>
      <c r="I292" s="770">
        <f>+'Innovación Pública'!AK21</f>
        <v>1</v>
      </c>
      <c r="J292" s="738" t="s">
        <v>698</v>
      </c>
      <c r="K292" s="742" t="s">
        <v>1996</v>
      </c>
      <c r="P292" s="732"/>
    </row>
    <row r="293" spans="1:16" ht="29.4" thickBot="1" x14ac:dyDescent="0.35">
      <c r="A293" s="738" t="s">
        <v>2110</v>
      </c>
      <c r="B293" s="740">
        <f>'[1]PLAN DE DESARROLLO 2024 - 2027'!$J$161</f>
        <v>0.21734598565460142</v>
      </c>
      <c r="C293" s="738" t="s">
        <v>2112</v>
      </c>
      <c r="D293" s="741">
        <f>'[1]PLAN DE DESARROLLO 2024 - 2027'!$K$166</f>
        <v>0.22116069173966579</v>
      </c>
      <c r="E293" s="738" t="s">
        <v>2123</v>
      </c>
      <c r="F293" s="741">
        <f>'[1]PLAN DE DESARROLLO 2024 - 2027'!$K$167</f>
        <v>0.44305555555555554</v>
      </c>
      <c r="G293" s="738" t="s">
        <v>971</v>
      </c>
      <c r="H293" s="738" t="s">
        <v>1174</v>
      </c>
      <c r="I293" s="770">
        <f>+'Innovación Pública'!AK22</f>
        <v>0.5625</v>
      </c>
      <c r="J293" s="738" t="s">
        <v>698</v>
      </c>
      <c r="K293" s="742" t="s">
        <v>1996</v>
      </c>
      <c r="P293" s="732"/>
    </row>
    <row r="294" spans="1:16" ht="29.4" thickBot="1" x14ac:dyDescent="0.35">
      <c r="A294" s="738" t="s">
        <v>2110</v>
      </c>
      <c r="B294" s="740">
        <f>'[1]PLAN DE DESARROLLO 2024 - 2027'!$J$161</f>
        <v>0.21734598565460142</v>
      </c>
      <c r="C294" s="738" t="s">
        <v>2112</v>
      </c>
      <c r="D294" s="741">
        <f>'[1]PLAN DE DESARROLLO 2024 - 2027'!$K$166</f>
        <v>0.22116069173966579</v>
      </c>
      <c r="E294" s="738" t="s">
        <v>1824</v>
      </c>
      <c r="F294" s="741">
        <f>'[1]PLAN DE DESARROLLO 2024 - 2027'!$K$168</f>
        <v>0.25</v>
      </c>
      <c r="G294" s="738" t="s">
        <v>972</v>
      </c>
      <c r="H294" s="738" t="s">
        <v>1175</v>
      </c>
      <c r="I294" s="770">
        <f>+'Innovación Pública'!AK24</f>
        <v>0.63749999999999996</v>
      </c>
      <c r="J294" s="738" t="s">
        <v>516</v>
      </c>
      <c r="K294" s="742" t="s">
        <v>1996</v>
      </c>
      <c r="P294" s="732"/>
    </row>
    <row r="295" spans="1:16" ht="29.4" thickBot="1" x14ac:dyDescent="0.35">
      <c r="A295" s="738" t="s">
        <v>2110</v>
      </c>
      <c r="B295" s="740">
        <f>'[1]PLAN DE DESARROLLO 2024 - 2027'!$J$161</f>
        <v>0.21734598565460142</v>
      </c>
      <c r="C295" s="738" t="s">
        <v>2112</v>
      </c>
      <c r="D295" s="741">
        <f>'[1]PLAN DE DESARROLLO 2024 - 2027'!$K$166</f>
        <v>0.22116069173966579</v>
      </c>
      <c r="E295" s="738" t="s">
        <v>1824</v>
      </c>
      <c r="F295" s="741">
        <f>'[1]PLAN DE DESARROLLO 2024 - 2027'!$K$168</f>
        <v>0.25</v>
      </c>
      <c r="G295" s="738" t="s">
        <v>973</v>
      </c>
      <c r="H295" s="738" t="s">
        <v>1176</v>
      </c>
      <c r="I295" s="770">
        <f>+'Innovación Pública'!AK25</f>
        <v>0.5</v>
      </c>
      <c r="J295" s="738" t="s">
        <v>516</v>
      </c>
      <c r="K295" s="742" t="s">
        <v>1996</v>
      </c>
      <c r="P295" s="732"/>
    </row>
    <row r="296" spans="1:16" ht="29.4" thickBot="1" x14ac:dyDescent="0.35">
      <c r="A296" s="738" t="s">
        <v>2110</v>
      </c>
      <c r="B296" s="740">
        <f>'[1]PLAN DE DESARROLLO 2024 - 2027'!$J$161</f>
        <v>0.21734598565460142</v>
      </c>
      <c r="C296" s="738" t="s">
        <v>2112</v>
      </c>
      <c r="D296" s="741">
        <f>'[1]PLAN DE DESARROLLO 2024 - 2027'!$K$166</f>
        <v>0.22116069173966579</v>
      </c>
      <c r="E296" s="738" t="s">
        <v>1825</v>
      </c>
      <c r="F296" s="741">
        <f>'[1]PLAN DE DESARROLLO 2024 - 2027'!$K$169</f>
        <v>0.2147249647390691</v>
      </c>
      <c r="G296" s="738" t="s">
        <v>974</v>
      </c>
      <c r="H296" s="738" t="s">
        <v>1177</v>
      </c>
      <c r="I296" s="770">
        <f>+'Innovación Pública'!AK27</f>
        <v>0.48161730136342268</v>
      </c>
      <c r="J296" s="738" t="s">
        <v>516</v>
      </c>
      <c r="K296" s="742" t="s">
        <v>1996</v>
      </c>
      <c r="P296" s="732"/>
    </row>
    <row r="297" spans="1:16" ht="29.4" thickBot="1" x14ac:dyDescent="0.35">
      <c r="A297" s="738" t="s">
        <v>2110</v>
      </c>
      <c r="B297" s="740">
        <f>'[1]PLAN DE DESARROLLO 2024 - 2027'!$J$161</f>
        <v>0.21734598565460142</v>
      </c>
      <c r="C297" s="738" t="s">
        <v>2112</v>
      </c>
      <c r="D297" s="741">
        <f>'[1]PLAN DE DESARROLLO 2024 - 2027'!$K$166</f>
        <v>0.22116069173966579</v>
      </c>
      <c r="E297" s="738" t="s">
        <v>1825</v>
      </c>
      <c r="F297" s="741">
        <f>'[1]PLAN DE DESARROLLO 2024 - 2027'!$K$169</f>
        <v>0.2147249647390691</v>
      </c>
      <c r="G297" s="738" t="s">
        <v>976</v>
      </c>
      <c r="H297" s="738" t="s">
        <v>1178</v>
      </c>
      <c r="I297" s="770">
        <f>+'Innovación Pública'!AK28</f>
        <v>0.7533333333333333</v>
      </c>
      <c r="J297" s="738" t="s">
        <v>516</v>
      </c>
      <c r="K297" s="742" t="s">
        <v>1996</v>
      </c>
      <c r="P297" s="732"/>
    </row>
    <row r="298" spans="1:16" ht="29.4" thickBot="1" x14ac:dyDescent="0.35">
      <c r="A298" s="738" t="s">
        <v>2110</v>
      </c>
      <c r="B298" s="740">
        <f>'[1]PLAN DE DESARROLLO 2024 - 2027'!$J$161</f>
        <v>0.21734598565460142</v>
      </c>
      <c r="C298" s="738" t="s">
        <v>2112</v>
      </c>
      <c r="D298" s="741">
        <f>'[1]PLAN DE DESARROLLO 2024 - 2027'!$K$166</f>
        <v>0.22116069173966579</v>
      </c>
      <c r="E298" s="738" t="s">
        <v>1825</v>
      </c>
      <c r="F298" s="741">
        <f>'[1]PLAN DE DESARROLLO 2024 - 2027'!$K$169</f>
        <v>0.2147249647390691</v>
      </c>
      <c r="G298" s="738" t="s">
        <v>977</v>
      </c>
      <c r="H298" s="738" t="s">
        <v>1179</v>
      </c>
      <c r="I298" s="771">
        <f>+'Innovación Pública'!AK29</f>
        <v>1</v>
      </c>
      <c r="J298" s="738" t="s">
        <v>516</v>
      </c>
      <c r="K298" s="742" t="s">
        <v>1996</v>
      </c>
      <c r="P298" s="732"/>
    </row>
    <row r="299" spans="1:16" ht="29.4" thickBot="1" x14ac:dyDescent="0.35">
      <c r="A299" s="738" t="s">
        <v>2110</v>
      </c>
      <c r="B299" s="740">
        <f>'[1]PLAN DE DESARROLLO 2024 - 2027'!$J$161</f>
        <v>0.21734598565460142</v>
      </c>
      <c r="C299" s="738" t="s">
        <v>2112</v>
      </c>
      <c r="D299" s="741">
        <f>'[1]PLAN DE DESARROLLO 2024 - 2027'!$K$166</f>
        <v>0.22116069173966579</v>
      </c>
      <c r="E299" s="738" t="s">
        <v>2124</v>
      </c>
      <c r="F299" s="741">
        <f>'[1]PLAN DE DESARROLLO 2024 - 2027'!$K$170</f>
        <v>0.3</v>
      </c>
      <c r="G299" s="738" t="s">
        <v>978</v>
      </c>
      <c r="H299" s="738" t="s">
        <v>1180</v>
      </c>
      <c r="I299" s="770">
        <f>+'Innovación Pública'!AK31</f>
        <v>0.65019760000000004</v>
      </c>
      <c r="J299" s="738" t="s">
        <v>516</v>
      </c>
      <c r="K299" s="742" t="s">
        <v>1996</v>
      </c>
      <c r="P299" s="732"/>
    </row>
    <row r="300" spans="1:16" ht="29.4" thickBot="1" x14ac:dyDescent="0.35">
      <c r="A300" s="738" t="s">
        <v>2110</v>
      </c>
      <c r="B300" s="740">
        <f>'[1]PLAN DE DESARROLLO 2024 - 2027'!$J$161</f>
        <v>0.21734598565460142</v>
      </c>
      <c r="C300" s="738" t="s">
        <v>2112</v>
      </c>
      <c r="D300" s="741">
        <f>'[1]PLAN DE DESARROLLO 2024 - 2027'!$K$166</f>
        <v>0.22116069173966579</v>
      </c>
      <c r="E300" s="738" t="s">
        <v>2125</v>
      </c>
      <c r="F300" s="741">
        <f>'[1]PLAN DE DESARROLLO 2024 - 2027'!$K$172</f>
        <v>0.19500000000000001</v>
      </c>
      <c r="G300" s="738" t="s">
        <v>982</v>
      </c>
      <c r="H300" s="738" t="s">
        <v>1184</v>
      </c>
      <c r="I300" s="770">
        <f>+'Innovación Pública'!AK37</f>
        <v>0.6319999999999999</v>
      </c>
      <c r="J300" s="738" t="s">
        <v>516</v>
      </c>
      <c r="K300" s="742" t="s">
        <v>1996</v>
      </c>
      <c r="P300" s="732"/>
    </row>
    <row r="301" spans="1:16" ht="29.4" thickBot="1" x14ac:dyDescent="0.35">
      <c r="A301" s="738" t="s">
        <v>2110</v>
      </c>
      <c r="B301" s="740">
        <f>'[1]PLAN DE DESARROLLO 2024 - 2027'!$J$161</f>
        <v>0.21734598565460142</v>
      </c>
      <c r="C301" s="738" t="s">
        <v>2112</v>
      </c>
      <c r="D301" s="741">
        <f>'[1]PLAN DE DESARROLLO 2024 - 2027'!$K$166</f>
        <v>0.22116069173966579</v>
      </c>
      <c r="E301" s="738" t="s">
        <v>2125</v>
      </c>
      <c r="F301" s="741">
        <f>'[1]PLAN DE DESARROLLO 2024 - 2027'!$K$172</f>
        <v>0.19500000000000001</v>
      </c>
      <c r="G301" s="738" t="s">
        <v>983</v>
      </c>
      <c r="H301" s="738" t="s">
        <v>1185</v>
      </c>
      <c r="I301" s="770">
        <f>+'Innovación Pública'!AK38</f>
        <v>0.54500000000000004</v>
      </c>
      <c r="J301" s="738" t="s">
        <v>516</v>
      </c>
      <c r="K301" s="742" t="s">
        <v>1996</v>
      </c>
      <c r="P301" s="732"/>
    </row>
    <row r="302" spans="1:16" ht="43.8" thickBot="1" x14ac:dyDescent="0.35">
      <c r="A302" s="738" t="s">
        <v>2110</v>
      </c>
      <c r="B302" s="740">
        <f>'[1]PLAN DE DESARROLLO 2024 - 2027'!$J$161</f>
        <v>0.21734598565460142</v>
      </c>
      <c r="C302" s="738" t="s">
        <v>2112</v>
      </c>
      <c r="D302" s="741">
        <f>'[1]PLAN DE DESARROLLO 2024 - 2027'!$K$166</f>
        <v>0.22116069173966579</v>
      </c>
      <c r="E302" s="738" t="s">
        <v>2125</v>
      </c>
      <c r="F302" s="741">
        <f>'[1]PLAN DE DESARROLLO 2024 - 2027'!$K$172</f>
        <v>0.19500000000000001</v>
      </c>
      <c r="G302" s="738" t="s">
        <v>984</v>
      </c>
      <c r="H302" s="738" t="s">
        <v>1186</v>
      </c>
      <c r="I302" s="771">
        <f>+'Innovación Pública'!AK39</f>
        <v>0.31</v>
      </c>
      <c r="J302" s="738" t="s">
        <v>516</v>
      </c>
      <c r="K302" s="742" t="s">
        <v>1996</v>
      </c>
      <c r="P302" s="732"/>
    </row>
    <row r="303" spans="1:16" ht="29.4" thickBot="1" x14ac:dyDescent="0.35">
      <c r="A303" s="738" t="s">
        <v>2110</v>
      </c>
      <c r="B303" s="740">
        <f>'[1]PLAN DE DESARROLLO 2024 - 2027'!$J$161</f>
        <v>0.21734598565460142</v>
      </c>
      <c r="C303" s="738" t="s">
        <v>2112</v>
      </c>
      <c r="D303" s="741">
        <f>'[1]PLAN DE DESARROLLO 2024 - 2027'!$K$166</f>
        <v>0.22116069173966579</v>
      </c>
      <c r="E303" s="738" t="s">
        <v>2126</v>
      </c>
      <c r="F303" s="741">
        <f>'[1]PLAN DE DESARROLLO 2024 - 2027'!$K$174</f>
        <v>0.19983834695603492</v>
      </c>
      <c r="G303" s="738" t="s">
        <v>987</v>
      </c>
      <c r="H303" s="738" t="s">
        <v>1189</v>
      </c>
      <c r="I303" s="771">
        <f>+'Innovación Pública'!AK44</f>
        <v>0.33666666666666667</v>
      </c>
      <c r="J303" s="738" t="s">
        <v>48</v>
      </c>
      <c r="K303" s="742" t="s">
        <v>1996</v>
      </c>
      <c r="P303" s="732"/>
    </row>
    <row r="304" spans="1:16" ht="29.4" thickBot="1" x14ac:dyDescent="0.35">
      <c r="A304" s="738" t="s">
        <v>2110</v>
      </c>
      <c r="B304" s="740">
        <f>'[1]PLAN DE DESARROLLO 2024 - 2027'!$J$161</f>
        <v>0.21734598565460142</v>
      </c>
      <c r="C304" s="738" t="s">
        <v>2112</v>
      </c>
      <c r="D304" s="741">
        <f>'[1]PLAN DE DESARROLLO 2024 - 2027'!$K$166</f>
        <v>0.22116069173966579</v>
      </c>
      <c r="E304" s="738" t="s">
        <v>2126</v>
      </c>
      <c r="F304" s="741">
        <f>'[1]PLAN DE DESARROLLO 2024 - 2027'!$K$174</f>
        <v>0.19983834695603492</v>
      </c>
      <c r="G304" s="738" t="s">
        <v>988</v>
      </c>
      <c r="H304" s="738" t="s">
        <v>1190</v>
      </c>
      <c r="I304" s="770">
        <f>+'Innovación Pública'!AK45</f>
        <v>0.5</v>
      </c>
      <c r="J304" s="738" t="s">
        <v>48</v>
      </c>
      <c r="K304" s="742" t="s">
        <v>1996</v>
      </c>
      <c r="P304" s="732"/>
    </row>
    <row r="305" spans="1:16" ht="29.4" thickBot="1" x14ac:dyDescent="0.35">
      <c r="A305" s="738" t="s">
        <v>2110</v>
      </c>
      <c r="B305" s="740">
        <f>'[1]PLAN DE DESARROLLO 2024 - 2027'!$J$161</f>
        <v>0.21734598565460142</v>
      </c>
      <c r="C305" s="738" t="s">
        <v>2112</v>
      </c>
      <c r="D305" s="741">
        <f>'[1]PLAN DE DESARROLLO 2024 - 2027'!$K$166</f>
        <v>0.22116069173966579</v>
      </c>
      <c r="E305" s="738" t="s">
        <v>2126</v>
      </c>
      <c r="F305" s="741">
        <f>'[1]PLAN DE DESARROLLO 2024 - 2027'!$K$174</f>
        <v>0.19983834695603492</v>
      </c>
      <c r="G305" s="738" t="s">
        <v>989</v>
      </c>
      <c r="H305" s="738" t="s">
        <v>1191</v>
      </c>
      <c r="I305" s="770">
        <f>+'Innovación Pública'!AK46</f>
        <v>0.20388875866309977</v>
      </c>
      <c r="J305" s="738" t="s">
        <v>48</v>
      </c>
      <c r="K305" s="742" t="s">
        <v>1996</v>
      </c>
      <c r="P305" s="732"/>
    </row>
    <row r="306" spans="1:16" ht="29.4" thickBot="1" x14ac:dyDescent="0.35">
      <c r="A306" s="738" t="s">
        <v>2110</v>
      </c>
      <c r="B306" s="740">
        <f>'[1]PLAN DE DESARROLLO 2024 - 2027'!$J$161</f>
        <v>0.21734598565460142</v>
      </c>
      <c r="C306" s="738" t="s">
        <v>2112</v>
      </c>
      <c r="D306" s="741">
        <f>'[1]PLAN DE DESARROLLO 2024 - 2027'!$K$166</f>
        <v>0.22116069173966579</v>
      </c>
      <c r="E306" s="738" t="s">
        <v>2126</v>
      </c>
      <c r="F306" s="741">
        <f>'[1]PLAN DE DESARROLLO 2024 - 2027'!$K$174</f>
        <v>0.19983834695603492</v>
      </c>
      <c r="G306" s="738" t="s">
        <v>990</v>
      </c>
      <c r="H306" s="738" t="s">
        <v>1192</v>
      </c>
      <c r="I306" s="771">
        <f>+'Innovación Pública'!AK47</f>
        <v>0</v>
      </c>
      <c r="J306" s="738" t="s">
        <v>48</v>
      </c>
      <c r="K306" s="742" t="s">
        <v>1996</v>
      </c>
      <c r="P306" s="732"/>
    </row>
    <row r="307" spans="1:16" ht="29.4" thickBot="1" x14ac:dyDescent="0.35">
      <c r="A307" s="738" t="s">
        <v>2110</v>
      </c>
      <c r="B307" s="740">
        <f>'[1]PLAN DE DESARROLLO 2024 - 2027'!$J$161</f>
        <v>0.21734598565460142</v>
      </c>
      <c r="C307" s="738" t="s">
        <v>2116</v>
      </c>
      <c r="D307" s="740">
        <f>'[1]PLAN DE DESARROLLO 2024 - 2027'!$K$175</f>
        <v>0.30645929363983626</v>
      </c>
      <c r="E307" s="738" t="s">
        <v>2127</v>
      </c>
      <c r="F307" s="741">
        <f>'[1]PLAN DE DESARROLLO 2024 - 2027'!$K$176</f>
        <v>0.36291858727967258</v>
      </c>
      <c r="G307" s="738" t="s">
        <v>991</v>
      </c>
      <c r="H307" s="738" t="s">
        <v>1193</v>
      </c>
      <c r="I307" s="770">
        <f>+'Innovación Pública'!AK50</f>
        <v>0.57393237121080154</v>
      </c>
      <c r="J307" s="738" t="s">
        <v>683</v>
      </c>
      <c r="K307" s="742" t="s">
        <v>1996</v>
      </c>
      <c r="P307" s="732"/>
    </row>
    <row r="308" spans="1:16" ht="29.4" thickBot="1" x14ac:dyDescent="0.35">
      <c r="A308" s="738" t="s">
        <v>2110</v>
      </c>
      <c r="B308" s="740">
        <f>'[1]PLAN DE DESARROLLO 2024 - 2027'!$J$161</f>
        <v>0.21734598565460142</v>
      </c>
      <c r="C308" s="738" t="s">
        <v>2116</v>
      </c>
      <c r="D308" s="740">
        <f>'[1]PLAN DE DESARROLLO 2024 - 2027'!$K$175</f>
        <v>0.30645929363983626</v>
      </c>
      <c r="E308" s="738" t="s">
        <v>2127</v>
      </c>
      <c r="F308" s="741">
        <f>'[1]PLAN DE DESARROLLO 2024 - 2027'!$K$176</f>
        <v>0.36291858727967258</v>
      </c>
      <c r="G308" s="738" t="s">
        <v>992</v>
      </c>
      <c r="H308" s="738" t="s">
        <v>1194</v>
      </c>
      <c r="I308" s="770">
        <f>+'Innovación Pública'!AK51</f>
        <v>0.47619108113384828</v>
      </c>
      <c r="J308" s="738" t="s">
        <v>683</v>
      </c>
      <c r="K308" s="742" t="s">
        <v>1996</v>
      </c>
      <c r="P308" s="732"/>
    </row>
    <row r="309" spans="1:16" ht="29.4" thickBot="1" x14ac:dyDescent="0.35">
      <c r="A309" s="738" t="s">
        <v>2110</v>
      </c>
      <c r="B309" s="740">
        <f>'[1]PLAN DE DESARROLLO 2024 - 2027'!$J$161</f>
        <v>0.21734598565460142</v>
      </c>
      <c r="C309" s="738" t="s">
        <v>2116</v>
      </c>
      <c r="D309" s="740">
        <f>'[1]PLAN DE DESARROLLO 2024 - 2027'!$K$175</f>
        <v>0.30645929363983626</v>
      </c>
      <c r="E309" s="738" t="s">
        <v>2127</v>
      </c>
      <c r="F309" s="741">
        <f>'[1]PLAN DE DESARROLLO 2024 - 2027'!$K$176</f>
        <v>0.36291858727967258</v>
      </c>
      <c r="G309" s="738" t="s">
        <v>993</v>
      </c>
      <c r="H309" s="738" t="s">
        <v>1195</v>
      </c>
      <c r="I309" s="770">
        <f>+'Innovación Pública'!AK52</f>
        <v>0.8497618851127986</v>
      </c>
      <c r="J309" s="738" t="s">
        <v>683</v>
      </c>
      <c r="K309" s="742" t="s">
        <v>1996</v>
      </c>
      <c r="P309" s="732"/>
    </row>
    <row r="310" spans="1:16" ht="29.4" thickBot="1" x14ac:dyDescent="0.35">
      <c r="A310" s="738" t="s">
        <v>2110</v>
      </c>
      <c r="B310" s="740">
        <f>'[1]PLAN DE DESARROLLO 2024 - 2027'!$J$161</f>
        <v>0.21734598565460142</v>
      </c>
      <c r="C310" s="738" t="s">
        <v>2116</v>
      </c>
      <c r="D310" s="740">
        <f>'[1]PLAN DE DESARROLLO 2024 - 2027'!$K$175</f>
        <v>0.30645929363983626</v>
      </c>
      <c r="E310" s="738" t="s">
        <v>2127</v>
      </c>
      <c r="F310" s="741">
        <f>'[1]PLAN DE DESARROLLO 2024 - 2027'!$K$176</f>
        <v>0.36291858727967258</v>
      </c>
      <c r="G310" s="738" t="s">
        <v>994</v>
      </c>
      <c r="H310" s="738" t="s">
        <v>1196</v>
      </c>
      <c r="I310" s="770">
        <f>+'Innovación Pública'!AK53</f>
        <v>0.51088676911024189</v>
      </c>
      <c r="J310" s="738" t="s">
        <v>683</v>
      </c>
      <c r="K310" s="742" t="s">
        <v>1996</v>
      </c>
      <c r="P310" s="732"/>
    </row>
    <row r="311" spans="1:16" ht="29.4" thickBot="1" x14ac:dyDescent="0.35">
      <c r="A311" s="738" t="s">
        <v>2110</v>
      </c>
      <c r="B311" s="740">
        <f>'[1]PLAN DE DESARROLLO 2024 - 2027'!$J$161</f>
        <v>0.21734598565460142</v>
      </c>
      <c r="C311" s="738" t="s">
        <v>2116</v>
      </c>
      <c r="D311" s="740">
        <f>'[1]PLAN DE DESARROLLO 2024 - 2027'!$K$175</f>
        <v>0.30645929363983626</v>
      </c>
      <c r="E311" s="738" t="s">
        <v>2127</v>
      </c>
      <c r="F311" s="741">
        <f>'[1]PLAN DE DESARROLLO 2024 - 2027'!$K$176</f>
        <v>0.36291858727967258</v>
      </c>
      <c r="G311" s="738" t="s">
        <v>995</v>
      </c>
      <c r="H311" s="738" t="s">
        <v>1556</v>
      </c>
      <c r="I311" s="770">
        <f>+'Innovación Pública'!AK54</f>
        <v>0.5625</v>
      </c>
      <c r="J311" s="738" t="s">
        <v>683</v>
      </c>
      <c r="K311" s="742" t="s">
        <v>1996</v>
      </c>
      <c r="P311" s="732"/>
    </row>
    <row r="312" spans="1:16" ht="29.4" thickBot="1" x14ac:dyDescent="0.35">
      <c r="A312" s="738" t="s">
        <v>2110</v>
      </c>
      <c r="B312" s="740">
        <f>'[1]PLAN DE DESARROLLO 2024 - 2027'!$J$161</f>
        <v>0.21734598565460142</v>
      </c>
      <c r="C312" s="738" t="s">
        <v>2128</v>
      </c>
      <c r="D312" s="740">
        <f>'[1]PLAN DE DESARROLLO 2024 - 2027'!$K$178</f>
        <v>0.27789168183196844</v>
      </c>
      <c r="E312" s="738" t="s">
        <v>2129</v>
      </c>
      <c r="F312" s="741">
        <f>'[1]PLAN DE DESARROLLO 2024 - 2027'!$K$179</f>
        <v>0.3959167424931756</v>
      </c>
      <c r="G312" s="738" t="s">
        <v>997</v>
      </c>
      <c r="H312" s="738" t="s">
        <v>1198</v>
      </c>
      <c r="I312" s="770">
        <f>+'Innovación Pública'!AK59</f>
        <v>0.79663330300272972</v>
      </c>
      <c r="J312" s="738" t="s">
        <v>998</v>
      </c>
      <c r="K312" s="742" t="s">
        <v>1996</v>
      </c>
      <c r="P312" s="732"/>
    </row>
    <row r="313" spans="1:16" ht="43.8" thickBot="1" x14ac:dyDescent="0.35">
      <c r="A313" s="738" t="s">
        <v>2110</v>
      </c>
      <c r="B313" s="740">
        <f>'[1]PLAN DE DESARROLLO 2024 - 2027'!$J$161</f>
        <v>0.21734598565460142</v>
      </c>
      <c r="C313" s="738" t="s">
        <v>2128</v>
      </c>
      <c r="D313" s="740">
        <f>'[1]PLAN DE DESARROLLO 2024 - 2027'!$K$178</f>
        <v>0.27789168183196844</v>
      </c>
      <c r="E313" s="738" t="s">
        <v>2129</v>
      </c>
      <c r="F313" s="741">
        <f>'[1]PLAN DE DESARROLLO 2024 - 2027'!$K$179</f>
        <v>0.3959167424931756</v>
      </c>
      <c r="G313" s="738" t="s">
        <v>999</v>
      </c>
      <c r="H313" s="738" t="s">
        <v>1199</v>
      </c>
      <c r="I313" s="770">
        <f>+'Innovación Pública'!AK60</f>
        <v>0.51249999999999996</v>
      </c>
      <c r="J313" s="738" t="s">
        <v>998</v>
      </c>
      <c r="K313" s="742" t="s">
        <v>1996</v>
      </c>
      <c r="P313" s="732"/>
    </row>
    <row r="314" spans="1:16" ht="29.4" thickBot="1" x14ac:dyDescent="0.35">
      <c r="A314" s="738" t="s">
        <v>2110</v>
      </c>
      <c r="B314" s="740">
        <f>'[1]PLAN DE DESARROLLO 2024 - 2027'!$J$161</f>
        <v>0.21734598565460142</v>
      </c>
      <c r="C314" s="738" t="s">
        <v>2128</v>
      </c>
      <c r="D314" s="740">
        <f>'[1]PLAN DE DESARROLLO 2024 - 2027'!$K$178</f>
        <v>0.27789168183196844</v>
      </c>
      <c r="E314" s="738" t="s">
        <v>1828</v>
      </c>
      <c r="F314" s="741">
        <f>'[1]PLAN DE DESARROLLO 2024 - 2027'!$K$180</f>
        <v>0.25562499999999999</v>
      </c>
      <c r="G314" s="738" t="s">
        <v>1000</v>
      </c>
      <c r="H314" s="738" t="s">
        <v>1200</v>
      </c>
      <c r="I314" s="770">
        <f>+'Innovación Pública'!AK62</f>
        <v>0.76249999999999996</v>
      </c>
      <c r="J314" s="738" t="s">
        <v>998</v>
      </c>
      <c r="K314" s="742" t="s">
        <v>1996</v>
      </c>
      <c r="P314" s="732"/>
    </row>
    <row r="315" spans="1:16" ht="29.4" thickBot="1" x14ac:dyDescent="0.35">
      <c r="A315" s="738" t="s">
        <v>2110</v>
      </c>
      <c r="B315" s="740">
        <f>'[1]PLAN DE DESARROLLO 2024 - 2027'!$J$161</f>
        <v>0.21734598565460142</v>
      </c>
      <c r="C315" s="738" t="s">
        <v>2128</v>
      </c>
      <c r="D315" s="740">
        <f>'[1]PLAN DE DESARROLLO 2024 - 2027'!$K$178</f>
        <v>0.27789168183196844</v>
      </c>
      <c r="E315" s="738" t="s">
        <v>1828</v>
      </c>
      <c r="F315" s="741">
        <f>'[1]PLAN DE DESARROLLO 2024 - 2027'!$K$180</f>
        <v>0.25562499999999999</v>
      </c>
      <c r="G315" s="738" t="s">
        <v>1001</v>
      </c>
      <c r="H315" s="738" t="s">
        <v>1201</v>
      </c>
      <c r="I315" s="770">
        <f>+'Innovación Pública'!AK63</f>
        <v>0.47099999999999997</v>
      </c>
      <c r="J315" s="738" t="s">
        <v>998</v>
      </c>
      <c r="K315" s="742" t="s">
        <v>1996</v>
      </c>
      <c r="P315" s="732"/>
    </row>
    <row r="316" spans="1:16" ht="43.8" thickBot="1" x14ac:dyDescent="0.35">
      <c r="A316" s="738" t="s">
        <v>2110</v>
      </c>
      <c r="B316" s="740">
        <f>'[1]PLAN DE DESARROLLO 2024 - 2027'!$J$161</f>
        <v>0.21734598565460142</v>
      </c>
      <c r="C316" s="738" t="s">
        <v>2128</v>
      </c>
      <c r="D316" s="740">
        <f>'[1]PLAN DE DESARROLLO 2024 - 2027'!$K$178</f>
        <v>0.27789168183196844</v>
      </c>
      <c r="E316" s="738" t="s">
        <v>1828</v>
      </c>
      <c r="F316" s="741">
        <f>'[1]PLAN DE DESARROLLO 2024 - 2027'!$K$180</f>
        <v>0.25562499999999999</v>
      </c>
      <c r="G316" s="738" t="s">
        <v>1002</v>
      </c>
      <c r="H316" s="738" t="s">
        <v>1202</v>
      </c>
      <c r="I316" s="770">
        <f>+'Innovación Pública'!AK64</f>
        <v>0.45624999999999999</v>
      </c>
      <c r="J316" s="738" t="s">
        <v>998</v>
      </c>
      <c r="K316" s="742" t="s">
        <v>1996</v>
      </c>
      <c r="P316" s="732"/>
    </row>
    <row r="317" spans="1:16" ht="29.4" thickBot="1" x14ac:dyDescent="0.35">
      <c r="A317" s="738" t="s">
        <v>2110</v>
      </c>
      <c r="B317" s="740">
        <f>'[1]PLAN DE DESARROLLO 2024 - 2027'!$J$161</f>
        <v>0.21734598565460142</v>
      </c>
      <c r="C317" s="738" t="s">
        <v>2128</v>
      </c>
      <c r="D317" s="740">
        <f>'[1]PLAN DE DESARROLLO 2024 - 2027'!$K$178</f>
        <v>0.27789168183196844</v>
      </c>
      <c r="E317" s="738" t="s">
        <v>1828</v>
      </c>
      <c r="F317" s="741">
        <f>'[1]PLAN DE DESARROLLO 2024 - 2027'!$K$180</f>
        <v>0.25562499999999999</v>
      </c>
      <c r="G317" s="738" t="s">
        <v>1003</v>
      </c>
      <c r="H317" s="738" t="s">
        <v>1203</v>
      </c>
      <c r="I317" s="770">
        <f>+'Innovación Pública'!AK65</f>
        <v>0.45</v>
      </c>
      <c r="J317" s="738" t="s">
        <v>998</v>
      </c>
      <c r="K317" s="742" t="s">
        <v>1996</v>
      </c>
      <c r="P317" s="732"/>
    </row>
    <row r="318" spans="1:16" ht="29.4" thickBot="1" x14ac:dyDescent="0.35">
      <c r="A318" s="738" t="s">
        <v>2110</v>
      </c>
      <c r="B318" s="740">
        <f>'[1]PLAN DE DESARROLLO 2024 - 2027'!$J$161</f>
        <v>0.21734598565460142</v>
      </c>
      <c r="C318" s="738" t="s">
        <v>2128</v>
      </c>
      <c r="D318" s="740">
        <f>'[1]PLAN DE DESARROLLO 2024 - 2027'!$K$178</f>
        <v>0.27789168183196844</v>
      </c>
      <c r="E318" s="738" t="s">
        <v>1829</v>
      </c>
      <c r="F318" s="741">
        <f>'[1]PLAN DE DESARROLLO 2024 - 2027'!$K$181</f>
        <v>0.27500000000000002</v>
      </c>
      <c r="G318" s="738" t="s">
        <v>1004</v>
      </c>
      <c r="H318" s="738" t="s">
        <v>1204</v>
      </c>
      <c r="I318" s="770">
        <f>+'Innovación Pública'!AK67</f>
        <v>0.54749999999999999</v>
      </c>
      <c r="J318" s="738" t="s">
        <v>998</v>
      </c>
      <c r="K318" s="742" t="s">
        <v>1996</v>
      </c>
      <c r="P318" s="732"/>
    </row>
    <row r="319" spans="1:16" ht="29.4" thickBot="1" x14ac:dyDescent="0.35">
      <c r="A319" s="738" t="s">
        <v>2110</v>
      </c>
      <c r="B319" s="740">
        <f>'[1]PLAN DE DESARROLLO 2024 - 2027'!$J$161</f>
        <v>0.21734598565460142</v>
      </c>
      <c r="C319" s="738" t="s">
        <v>2128</v>
      </c>
      <c r="D319" s="740">
        <f>'[1]PLAN DE DESARROLLO 2024 - 2027'!$K$178</f>
        <v>0.27789168183196844</v>
      </c>
      <c r="E319" s="738" t="s">
        <v>1830</v>
      </c>
      <c r="F319" s="741">
        <f>'[1]PLAN DE DESARROLLO 2024 - 2027'!$K$182</f>
        <v>0.19416666666666665</v>
      </c>
      <c r="G319" s="738" t="s">
        <v>1005</v>
      </c>
      <c r="H319" s="738" t="s">
        <v>1205</v>
      </c>
      <c r="I319" s="770">
        <f>+'Innovación Pública'!AK69</f>
        <v>0.31159420289855072</v>
      </c>
      <c r="J319" s="738" t="s">
        <v>998</v>
      </c>
      <c r="K319" s="742" t="s">
        <v>1996</v>
      </c>
      <c r="P319" s="732"/>
    </row>
    <row r="320" spans="1:16" ht="43.8" thickBot="1" x14ac:dyDescent="0.35">
      <c r="A320" s="738" t="s">
        <v>2110</v>
      </c>
      <c r="B320" s="740">
        <f>'[1]PLAN DE DESARROLLO 2024 - 2027'!$J$161</f>
        <v>0.21734598565460142</v>
      </c>
      <c r="C320" s="738" t="s">
        <v>2128</v>
      </c>
      <c r="D320" s="740">
        <f>'[1]PLAN DE DESARROLLO 2024 - 2027'!$K$178</f>
        <v>0.27789168183196844</v>
      </c>
      <c r="E320" s="738" t="s">
        <v>1830</v>
      </c>
      <c r="F320" s="741">
        <f>'[1]PLAN DE DESARROLLO 2024 - 2027'!$K$182</f>
        <v>0.19416666666666665</v>
      </c>
      <c r="G320" s="738" t="s">
        <v>1006</v>
      </c>
      <c r="H320" s="738" t="s">
        <v>1206</v>
      </c>
      <c r="I320" s="770">
        <f>+'Innovación Pública'!AK70</f>
        <v>0.55000000000000004</v>
      </c>
      <c r="J320" s="738" t="s">
        <v>998</v>
      </c>
      <c r="K320" s="742" t="s">
        <v>1996</v>
      </c>
      <c r="P320" s="732"/>
    </row>
    <row r="321" spans="1:16" ht="29.4" thickBot="1" x14ac:dyDescent="0.35">
      <c r="A321" s="738" t="s">
        <v>2110</v>
      </c>
      <c r="B321" s="740">
        <f>'[1]PLAN DE DESARROLLO 2024 - 2027'!$J$161</f>
        <v>0.21734598565460142</v>
      </c>
      <c r="C321" s="738" t="s">
        <v>2128</v>
      </c>
      <c r="D321" s="740">
        <f>'[1]PLAN DE DESARROLLO 2024 - 2027'!$K$178</f>
        <v>0.27789168183196844</v>
      </c>
      <c r="E321" s="738" t="s">
        <v>1830</v>
      </c>
      <c r="F321" s="741">
        <f>'[1]PLAN DE DESARROLLO 2024 - 2027'!$K$182</f>
        <v>0.19416666666666665</v>
      </c>
      <c r="G321" s="738" t="s">
        <v>1007</v>
      </c>
      <c r="H321" s="738" t="s">
        <v>1207</v>
      </c>
      <c r="I321" s="770">
        <f>+'Innovación Pública'!AK71</f>
        <v>0.52500000000000002</v>
      </c>
      <c r="J321" s="738" t="s">
        <v>998</v>
      </c>
      <c r="K321" s="742" t="s">
        <v>1996</v>
      </c>
      <c r="P321" s="732"/>
    </row>
    <row r="322" spans="1:16" ht="29.4" thickBot="1" x14ac:dyDescent="0.35">
      <c r="A322" s="738" t="s">
        <v>2110</v>
      </c>
      <c r="B322" s="740">
        <f>'[1]PLAN DE DESARROLLO 2024 - 2027'!$J$161</f>
        <v>0.21734598565460142</v>
      </c>
      <c r="C322" s="738" t="s">
        <v>2128</v>
      </c>
      <c r="D322" s="740">
        <f>'[1]PLAN DE DESARROLLO 2024 - 2027'!$K$178</f>
        <v>0.27789168183196844</v>
      </c>
      <c r="E322" s="738" t="s">
        <v>1830</v>
      </c>
      <c r="F322" s="741">
        <f>'[1]PLAN DE DESARROLLO 2024 - 2027'!$K$182</f>
        <v>0.19416666666666665</v>
      </c>
      <c r="G322" s="738" t="s">
        <v>1008</v>
      </c>
      <c r="H322" s="738" t="s">
        <v>1208</v>
      </c>
      <c r="I322" s="770">
        <f>+'Innovación Pública'!AK72</f>
        <v>0.53749999999999998</v>
      </c>
      <c r="J322" s="738" t="s">
        <v>998</v>
      </c>
      <c r="K322" s="742" t="s">
        <v>1996</v>
      </c>
      <c r="P322" s="732"/>
    </row>
    <row r="323" spans="1:16" ht="29.4" thickBot="1" x14ac:dyDescent="0.35">
      <c r="A323" s="738" t="s">
        <v>2110</v>
      </c>
      <c r="B323" s="740">
        <f>'[1]PLAN DE DESARROLLO 2024 - 2027'!$J$161</f>
        <v>0.21734598565460142</v>
      </c>
      <c r="C323" s="738" t="s">
        <v>2128</v>
      </c>
      <c r="D323" s="740">
        <f>'[1]PLAN DE DESARROLLO 2024 - 2027'!$K$178</f>
        <v>0.27789168183196844</v>
      </c>
      <c r="E323" s="738" t="s">
        <v>1830</v>
      </c>
      <c r="F323" s="741">
        <f>'[1]PLAN DE DESARROLLO 2024 - 2027'!$K$182</f>
        <v>0.19416666666666665</v>
      </c>
      <c r="G323" s="738" t="s">
        <v>1545</v>
      </c>
      <c r="H323" s="738" t="s">
        <v>1544</v>
      </c>
      <c r="I323" s="770">
        <f>+'Innovación Pública'!AK73</f>
        <v>0.51249999999999996</v>
      </c>
      <c r="J323" s="738" t="s">
        <v>998</v>
      </c>
      <c r="K323" s="742" t="s">
        <v>1996</v>
      </c>
      <c r="P323" s="732"/>
    </row>
    <row r="324" spans="1:16" ht="29.4" thickBot="1" x14ac:dyDescent="0.35">
      <c r="A324" s="738" t="s">
        <v>2110</v>
      </c>
      <c r="B324" s="740">
        <f>'[1]PLAN DE DESARROLLO 2024 - 2027'!$J$161</f>
        <v>0.21734598565460142</v>
      </c>
      <c r="C324" s="738" t="s">
        <v>2128</v>
      </c>
      <c r="D324" s="740">
        <f>'[1]PLAN DE DESARROLLO 2024 - 2027'!$K$178</f>
        <v>0.27789168183196844</v>
      </c>
      <c r="E324" s="738" t="s">
        <v>1831</v>
      </c>
      <c r="F324" s="741">
        <f>'[1]PLAN DE DESARROLLO 2024 - 2027'!$K$183</f>
        <v>0.26875000000000004</v>
      </c>
      <c r="G324" s="738" t="s">
        <v>1009</v>
      </c>
      <c r="H324" s="738" t="s">
        <v>1209</v>
      </c>
      <c r="I324" s="770">
        <f>+'Innovación Pública'!AK75</f>
        <v>0.51500000000000001</v>
      </c>
      <c r="J324" s="738" t="s">
        <v>998</v>
      </c>
      <c r="K324" s="742" t="s">
        <v>1996</v>
      </c>
      <c r="P324" s="732"/>
    </row>
    <row r="325" spans="1:16" ht="29.4" thickBot="1" x14ac:dyDescent="0.35">
      <c r="A325" s="738" t="s">
        <v>2110</v>
      </c>
      <c r="B325" s="740">
        <f>'[1]PLAN DE DESARROLLO 2024 - 2027'!$J$161</f>
        <v>0.21734598565460142</v>
      </c>
      <c r="C325" s="738" t="s">
        <v>2128</v>
      </c>
      <c r="D325" s="740">
        <f>'[1]PLAN DE DESARROLLO 2024 - 2027'!$K$178</f>
        <v>0.27789168183196844</v>
      </c>
      <c r="E325" s="738" t="s">
        <v>1831</v>
      </c>
      <c r="F325" s="741">
        <f>'[1]PLAN DE DESARROLLO 2024 - 2027'!$K$183</f>
        <v>0.26875000000000004</v>
      </c>
      <c r="G325" s="738" t="s">
        <v>1010</v>
      </c>
      <c r="H325" s="738" t="s">
        <v>1210</v>
      </c>
      <c r="I325" s="770">
        <f>+'Innovación Pública'!AK76</f>
        <v>0.51500000000000001</v>
      </c>
      <c r="J325" s="738" t="s">
        <v>998</v>
      </c>
      <c r="K325" s="742" t="s">
        <v>1996</v>
      </c>
      <c r="P325" s="732"/>
    </row>
    <row r="326" spans="1:16" ht="43.8" thickBot="1" x14ac:dyDescent="0.35">
      <c r="A326" s="738" t="s">
        <v>2110</v>
      </c>
      <c r="B326" s="740">
        <f>'[1]PLAN DE DESARROLLO 2024 - 2027'!$J$161</f>
        <v>0.21734598565460142</v>
      </c>
      <c r="C326" s="738" t="s">
        <v>2118</v>
      </c>
      <c r="D326" s="740">
        <f>'[1]PLAN DE DESARROLLO 2024 - 2027'!$K$184</f>
        <v>0.20161705435056146</v>
      </c>
      <c r="E326" s="738" t="s">
        <v>2130</v>
      </c>
      <c r="F326" s="741">
        <f>'[1]PLAN DE DESARROLLO 2024 - 2027'!$K$185</f>
        <v>0.41443843721447998</v>
      </c>
      <c r="G326" s="738" t="s">
        <v>1011</v>
      </c>
      <c r="H326" s="738" t="s">
        <v>1211</v>
      </c>
      <c r="I326" s="770">
        <f>+'Innovación Pública'!AK79</f>
        <v>0.61722488038277512</v>
      </c>
      <c r="J326" s="738" t="s">
        <v>1012</v>
      </c>
      <c r="K326" s="742" t="s">
        <v>1996</v>
      </c>
      <c r="P326" s="732"/>
    </row>
    <row r="327" spans="1:16" ht="43.8" thickBot="1" x14ac:dyDescent="0.35">
      <c r="A327" s="738" t="s">
        <v>2110</v>
      </c>
      <c r="B327" s="740">
        <f>'[1]PLAN DE DESARROLLO 2024 - 2027'!$J$161</f>
        <v>0.21734598565460142</v>
      </c>
      <c r="C327" s="738" t="s">
        <v>2118</v>
      </c>
      <c r="D327" s="740">
        <f>'[1]PLAN DE DESARROLLO 2024 - 2027'!$K$184</f>
        <v>0.20161705435056146</v>
      </c>
      <c r="E327" s="738" t="s">
        <v>2130</v>
      </c>
      <c r="F327" s="741">
        <f>'[1]PLAN DE DESARROLLO 2024 - 2027'!$K$185</f>
        <v>0.41443843721447998</v>
      </c>
      <c r="G327" s="738" t="s">
        <v>1013</v>
      </c>
      <c r="H327" s="738" t="s">
        <v>1212</v>
      </c>
      <c r="I327" s="770">
        <f>+'Innovación Pública'!AK80</f>
        <v>1</v>
      </c>
      <c r="J327" s="738" t="s">
        <v>1012</v>
      </c>
      <c r="K327" s="742" t="s">
        <v>1996</v>
      </c>
      <c r="P327" s="732"/>
    </row>
    <row r="328" spans="1:16" ht="29.4" thickBot="1" x14ac:dyDescent="0.35">
      <c r="A328" s="738" t="s">
        <v>2110</v>
      </c>
      <c r="B328" s="740">
        <f>'[1]PLAN DE DESARROLLO 2024 - 2027'!$J$161</f>
        <v>0.21734598565460142</v>
      </c>
      <c r="C328" s="738" t="s">
        <v>2118</v>
      </c>
      <c r="D328" s="740">
        <f>'[1]PLAN DE DESARROLLO 2024 - 2027'!$K$184</f>
        <v>0.20161705435056146</v>
      </c>
      <c r="E328" s="738" t="s">
        <v>2130</v>
      </c>
      <c r="F328" s="741">
        <f>'[1]PLAN DE DESARROLLO 2024 - 2027'!$K$185</f>
        <v>0.41443843721447998</v>
      </c>
      <c r="G328" s="738" t="s">
        <v>1014</v>
      </c>
      <c r="H328" s="738" t="s">
        <v>1213</v>
      </c>
      <c r="I328" s="770">
        <f>+'Innovación Pública'!AK81</f>
        <v>0.54975124378109452</v>
      </c>
      <c r="J328" s="738" t="s">
        <v>1012</v>
      </c>
      <c r="K328" s="742" t="s">
        <v>1996</v>
      </c>
      <c r="P328" s="732"/>
    </row>
    <row r="329" spans="1:16" ht="29.4" thickBot="1" x14ac:dyDescent="0.35">
      <c r="A329" s="738" t="s">
        <v>2110</v>
      </c>
      <c r="B329" s="740">
        <f>'[1]PLAN DE DESARROLLO 2024 - 2027'!$J$161</f>
        <v>0.21734598565460142</v>
      </c>
      <c r="C329" s="738" t="s">
        <v>2118</v>
      </c>
      <c r="D329" s="740">
        <f>'[1]PLAN DE DESARROLLO 2024 - 2027'!$K$184</f>
        <v>0.20161705435056146</v>
      </c>
      <c r="E329" s="738" t="s">
        <v>2130</v>
      </c>
      <c r="F329" s="741">
        <f>'[1]PLAN DE DESARROLLO 2024 - 2027'!$K$185</f>
        <v>0.41443843721447998</v>
      </c>
      <c r="G329" s="738" t="s">
        <v>1015</v>
      </c>
      <c r="H329" s="738" t="s">
        <v>1214</v>
      </c>
      <c r="I329" s="770">
        <f>+'Innovación Pública'!AK82</f>
        <v>0.9</v>
      </c>
      <c r="J329" s="738" t="s">
        <v>1012</v>
      </c>
      <c r="K329" s="742" t="s">
        <v>1996</v>
      </c>
      <c r="P329" s="732"/>
    </row>
    <row r="330" spans="1:16" ht="43.8" thickBot="1" x14ac:dyDescent="0.35">
      <c r="A330" s="738" t="s">
        <v>2110</v>
      </c>
      <c r="B330" s="740">
        <f>'[1]PLAN DE DESARROLLO 2024 - 2027'!$J$161</f>
        <v>0.21734598565460142</v>
      </c>
      <c r="C330" s="738" t="s">
        <v>2118</v>
      </c>
      <c r="D330" s="740">
        <f>'[1]PLAN DE DESARROLLO 2024 - 2027'!$K$184</f>
        <v>0.20161705435056146</v>
      </c>
      <c r="E330" s="738" t="s">
        <v>2130</v>
      </c>
      <c r="F330" s="741">
        <f>'[1]PLAN DE DESARROLLO 2024 - 2027'!$K$185</f>
        <v>0.41443843721447998</v>
      </c>
      <c r="G330" s="738" t="s">
        <v>1016</v>
      </c>
      <c r="H330" s="738" t="s">
        <v>1215</v>
      </c>
      <c r="I330" s="770">
        <f>+'Innovación Pública'!AK83</f>
        <v>0.9</v>
      </c>
      <c r="J330" s="738" t="s">
        <v>1012</v>
      </c>
      <c r="K330" s="742" t="s">
        <v>1996</v>
      </c>
      <c r="P330" s="732"/>
    </row>
    <row r="331" spans="1:16" ht="43.8" thickBot="1" x14ac:dyDescent="0.35">
      <c r="A331" s="738" t="s">
        <v>2110</v>
      </c>
      <c r="B331" s="740">
        <f>'[1]PLAN DE DESARROLLO 2024 - 2027'!$J$161</f>
        <v>0.21734598565460142</v>
      </c>
      <c r="C331" s="738" t="s">
        <v>2118</v>
      </c>
      <c r="D331" s="740">
        <f>'[1]PLAN DE DESARROLLO 2024 - 2027'!$K$184</f>
        <v>0.20161705435056146</v>
      </c>
      <c r="E331" s="738" t="s">
        <v>2130</v>
      </c>
      <c r="F331" s="741">
        <f>'[1]PLAN DE DESARROLLO 2024 - 2027'!$K$185</f>
        <v>0.41443843721447998</v>
      </c>
      <c r="G331" s="738" t="s">
        <v>1017</v>
      </c>
      <c r="H331" s="738" t="s">
        <v>1216</v>
      </c>
      <c r="I331" s="770">
        <f>+'Innovación Pública'!AK84</f>
        <v>0.91999999999999993</v>
      </c>
      <c r="J331" s="738" t="s">
        <v>1012</v>
      </c>
      <c r="K331" s="742" t="s">
        <v>1996</v>
      </c>
      <c r="P331" s="732"/>
    </row>
    <row r="332" spans="1:16" ht="29.4" thickBot="1" x14ac:dyDescent="0.35">
      <c r="A332" s="738" t="s">
        <v>2110</v>
      </c>
      <c r="B332" s="740">
        <f>'[1]PLAN DE DESARROLLO 2024 - 2027'!$J$161</f>
        <v>0.21734598565460142</v>
      </c>
      <c r="C332" s="738" t="s">
        <v>2118</v>
      </c>
      <c r="D332" s="740">
        <f>'[1]PLAN DE DESARROLLO 2024 - 2027'!$K$184</f>
        <v>0.20161705435056146</v>
      </c>
      <c r="E332" s="738" t="s">
        <v>2131</v>
      </c>
      <c r="F332" s="741">
        <f>'[1]PLAN DE DESARROLLO 2024 - 2027'!$K$186</f>
        <v>0.15999999999999998</v>
      </c>
      <c r="G332" s="738" t="s">
        <v>1018</v>
      </c>
      <c r="H332" s="738" t="s">
        <v>1217</v>
      </c>
      <c r="I332" s="771">
        <f>+'Innovación Pública'!AK86</f>
        <v>1.6666666666666668E-3</v>
      </c>
      <c r="J332" s="738" t="s">
        <v>1012</v>
      </c>
      <c r="K332" s="742" t="s">
        <v>1996</v>
      </c>
      <c r="P332" s="732"/>
    </row>
    <row r="333" spans="1:16" ht="29.4" thickBot="1" x14ac:dyDescent="0.35">
      <c r="A333" s="738" t="s">
        <v>2110</v>
      </c>
      <c r="B333" s="740">
        <f>'[1]PLAN DE DESARROLLO 2024 - 2027'!$J$161</f>
        <v>0.21734598565460142</v>
      </c>
      <c r="C333" s="738" t="s">
        <v>2118</v>
      </c>
      <c r="D333" s="740">
        <f>'[1]PLAN DE DESARROLLO 2024 - 2027'!$K$184</f>
        <v>0.20161705435056146</v>
      </c>
      <c r="E333" s="738" t="s">
        <v>2131</v>
      </c>
      <c r="F333" s="741">
        <f>'[1]PLAN DE DESARROLLO 2024 - 2027'!$K$186</f>
        <v>0.15999999999999998</v>
      </c>
      <c r="G333" s="738" t="s">
        <v>1019</v>
      </c>
      <c r="H333" s="738" t="s">
        <v>1218</v>
      </c>
      <c r="I333" s="770">
        <f>+'Innovación Pública'!AK87</f>
        <v>1</v>
      </c>
      <c r="J333" s="738" t="s">
        <v>1012</v>
      </c>
      <c r="K333" s="742" t="s">
        <v>1996</v>
      </c>
      <c r="P333" s="732"/>
    </row>
    <row r="334" spans="1:16" ht="29.4" thickBot="1" x14ac:dyDescent="0.35">
      <c r="A334" s="738" t="s">
        <v>2110</v>
      </c>
      <c r="B334" s="740">
        <f>'[1]PLAN DE DESARROLLO 2024 - 2027'!$J$161</f>
        <v>0.21734598565460142</v>
      </c>
      <c r="C334" s="738" t="s">
        <v>2118</v>
      </c>
      <c r="D334" s="740">
        <f>'[1]PLAN DE DESARROLLO 2024 - 2027'!$K$184</f>
        <v>0.20161705435056146</v>
      </c>
      <c r="E334" s="738" t="s">
        <v>2131</v>
      </c>
      <c r="F334" s="741">
        <f>'[1]PLAN DE DESARROLLO 2024 - 2027'!$K$186</f>
        <v>0.15999999999999998</v>
      </c>
      <c r="G334" s="738" t="s">
        <v>1020</v>
      </c>
      <c r="H334" s="738" t="s">
        <v>1219</v>
      </c>
      <c r="I334" s="771">
        <f>+'Innovación Pública'!AK88</f>
        <v>3.3333333333333333E-2</v>
      </c>
      <c r="J334" s="738" t="s">
        <v>1012</v>
      </c>
      <c r="K334" s="742" t="s">
        <v>1996</v>
      </c>
      <c r="P334" s="732"/>
    </row>
    <row r="335" spans="1:16" ht="29.4" thickBot="1" x14ac:dyDescent="0.35">
      <c r="A335" s="738" t="s">
        <v>2110</v>
      </c>
      <c r="B335" s="740">
        <f>'[1]PLAN DE DESARROLLO 2024 - 2027'!$J$161</f>
        <v>0.21734598565460142</v>
      </c>
      <c r="C335" s="738" t="s">
        <v>2118</v>
      </c>
      <c r="D335" s="740">
        <f>'[1]PLAN DE DESARROLLO 2024 - 2027'!$K$184</f>
        <v>0.20161705435056146</v>
      </c>
      <c r="E335" s="738" t="s">
        <v>2131</v>
      </c>
      <c r="F335" s="741">
        <f>'[1]PLAN DE DESARROLLO 2024 - 2027'!$K$186</f>
        <v>0.15999999999999998</v>
      </c>
      <c r="G335" s="738" t="s">
        <v>1021</v>
      </c>
      <c r="H335" s="738" t="s">
        <v>1220</v>
      </c>
      <c r="I335" s="771">
        <f>+'Innovación Pública'!AK89</f>
        <v>0</v>
      </c>
      <c r="J335" s="738" t="s">
        <v>1012</v>
      </c>
      <c r="K335" s="742" t="s">
        <v>1996</v>
      </c>
      <c r="P335" s="732"/>
    </row>
    <row r="336" spans="1:16" ht="43.8" thickBot="1" x14ac:dyDescent="0.35">
      <c r="A336" s="738" t="s">
        <v>2110</v>
      </c>
      <c r="B336" s="740">
        <f>'[1]PLAN DE DESARROLLO 2024 - 2027'!$J$161</f>
        <v>0.21734598565460142</v>
      </c>
      <c r="C336" s="738" t="s">
        <v>2118</v>
      </c>
      <c r="D336" s="740">
        <f>'[1]PLAN DE DESARROLLO 2024 - 2027'!$K$184</f>
        <v>0.20161705435056146</v>
      </c>
      <c r="E336" s="738" t="s">
        <v>2131</v>
      </c>
      <c r="F336" s="741">
        <f>'[1]PLAN DE DESARROLLO 2024 - 2027'!$K$186</f>
        <v>0.15999999999999998</v>
      </c>
      <c r="G336" s="738" t="s">
        <v>1022</v>
      </c>
      <c r="H336" s="738" t="s">
        <v>1221</v>
      </c>
      <c r="I336" s="770">
        <f>+'Innovación Pública'!AK90</f>
        <v>0.57999999999999996</v>
      </c>
      <c r="J336" s="738" t="s">
        <v>1012</v>
      </c>
      <c r="K336" s="742" t="s">
        <v>1996</v>
      </c>
      <c r="P336" s="732"/>
    </row>
    <row r="337" spans="1:16" ht="43.8" thickBot="1" x14ac:dyDescent="0.35">
      <c r="A337" s="738" t="s">
        <v>2110</v>
      </c>
      <c r="B337" s="740">
        <f>'[1]PLAN DE DESARROLLO 2024 - 2027'!$J$161</f>
        <v>0.21734598565460142</v>
      </c>
      <c r="C337" s="738" t="s">
        <v>2118</v>
      </c>
      <c r="D337" s="740">
        <f>'[1]PLAN DE DESARROLLO 2024 - 2027'!$K$184</f>
        <v>0.20161705435056146</v>
      </c>
      <c r="E337" s="738" t="s">
        <v>2131</v>
      </c>
      <c r="F337" s="741">
        <f>'[1]PLAN DE DESARROLLO 2024 - 2027'!$K$186</f>
        <v>0.15999999999999998</v>
      </c>
      <c r="G337" s="738" t="s">
        <v>1023</v>
      </c>
      <c r="H337" s="738" t="s">
        <v>1222</v>
      </c>
      <c r="I337" s="771">
        <f>+'Innovación Pública'!AK91</f>
        <v>0</v>
      </c>
      <c r="J337" s="738" t="s">
        <v>1012</v>
      </c>
      <c r="K337" s="742" t="s">
        <v>1996</v>
      </c>
      <c r="P337" s="732"/>
    </row>
    <row r="338" spans="1:16" ht="29.4" thickBot="1" x14ac:dyDescent="0.35">
      <c r="A338" s="738" t="s">
        <v>2110</v>
      </c>
      <c r="B338" s="740">
        <f>'[1]PLAN DE DESARROLLO 2024 - 2027'!$J$161</f>
        <v>0.21734598565460142</v>
      </c>
      <c r="C338" s="738" t="s">
        <v>2118</v>
      </c>
      <c r="D338" s="740">
        <f>'[1]PLAN DE DESARROLLO 2024 - 2027'!$K$184</f>
        <v>0.20161705435056146</v>
      </c>
      <c r="E338" s="738" t="s">
        <v>1834</v>
      </c>
      <c r="F338" s="741">
        <f>'[1]PLAN DE DESARROLLO 2024 - 2027'!$K$188</f>
        <v>0.21366666666666667</v>
      </c>
      <c r="G338" s="738" t="s">
        <v>1026</v>
      </c>
      <c r="H338" s="738" t="s">
        <v>1224</v>
      </c>
      <c r="I338" s="770">
        <f>+'Innovación Pública'!AK95</f>
        <v>0.49443999999999999</v>
      </c>
      <c r="J338" s="738" t="s">
        <v>1012</v>
      </c>
      <c r="K338" s="742" t="s">
        <v>1996</v>
      </c>
      <c r="P338" s="732"/>
    </row>
    <row r="339" spans="1:16" ht="29.4" thickBot="1" x14ac:dyDescent="0.35">
      <c r="A339" s="738" t="s">
        <v>2110</v>
      </c>
      <c r="B339" s="740">
        <f>'[1]PLAN DE DESARROLLO 2024 - 2027'!$J$161</f>
        <v>0.21734598565460142</v>
      </c>
      <c r="C339" s="738" t="s">
        <v>2118</v>
      </c>
      <c r="D339" s="740">
        <f>'[1]PLAN DE DESARROLLO 2024 - 2027'!$K$184</f>
        <v>0.20161705435056146</v>
      </c>
      <c r="E339" s="738" t="s">
        <v>1834</v>
      </c>
      <c r="F339" s="741">
        <f>'[1]PLAN DE DESARROLLO 2024 - 2027'!$K$188</f>
        <v>0.21366666666666667</v>
      </c>
      <c r="G339" s="738" t="s">
        <v>1027</v>
      </c>
      <c r="H339" s="738" t="s">
        <v>1225</v>
      </c>
      <c r="I339" s="770">
        <f>+'Innovación Pública'!AK96</f>
        <v>0.5</v>
      </c>
      <c r="J339" s="738" t="s">
        <v>1012</v>
      </c>
      <c r="K339" s="742" t="s">
        <v>1996</v>
      </c>
      <c r="P339" s="732"/>
    </row>
    <row r="340" spans="1:16" ht="43.8" thickBot="1" x14ac:dyDescent="0.35">
      <c r="A340" s="738" t="s">
        <v>2110</v>
      </c>
      <c r="B340" s="740">
        <f>'[1]PLAN DE DESARROLLO 2024 - 2027'!$J$161</f>
        <v>0.21734598565460142</v>
      </c>
      <c r="C340" s="738" t="s">
        <v>2118</v>
      </c>
      <c r="D340" s="740">
        <f>'[1]PLAN DE DESARROLLO 2024 - 2027'!$K$184</f>
        <v>0.20161705435056146</v>
      </c>
      <c r="E340" s="738" t="s">
        <v>1834</v>
      </c>
      <c r="F340" s="741">
        <f>'[1]PLAN DE DESARROLLO 2024 - 2027'!$K$188</f>
        <v>0.21366666666666667</v>
      </c>
      <c r="G340" s="738" t="s">
        <v>1028</v>
      </c>
      <c r="H340" s="738" t="s">
        <v>1226</v>
      </c>
      <c r="I340" s="770">
        <f>+'Innovación Pública'!AK97</f>
        <v>0.55000000000000004</v>
      </c>
      <c r="J340" s="738" t="s">
        <v>1012</v>
      </c>
      <c r="K340" s="742" t="s">
        <v>1996</v>
      </c>
      <c r="P340" s="732"/>
    </row>
    <row r="341" spans="1:16" ht="43.8" thickBot="1" x14ac:dyDescent="0.35">
      <c r="A341" s="738" t="s">
        <v>2110</v>
      </c>
      <c r="B341" s="740">
        <f>'[1]PLAN DE DESARROLLO 2024 - 2027'!$J$161</f>
        <v>0.21734598565460142</v>
      </c>
      <c r="C341" s="738" t="s">
        <v>2118</v>
      </c>
      <c r="D341" s="740">
        <f>'[1]PLAN DE DESARROLLO 2024 - 2027'!$K$184</f>
        <v>0.20161705435056146</v>
      </c>
      <c r="E341" s="738" t="s">
        <v>1834</v>
      </c>
      <c r="F341" s="741">
        <f>'[1]PLAN DE DESARROLLO 2024 - 2027'!$K$188</f>
        <v>0.21366666666666667</v>
      </c>
      <c r="G341" s="738" t="s">
        <v>1029</v>
      </c>
      <c r="H341" s="738" t="s">
        <v>1227</v>
      </c>
      <c r="I341" s="771">
        <f>+'Innovación Pública'!AK98</f>
        <v>0.33800000000000002</v>
      </c>
      <c r="J341" s="738" t="s">
        <v>1012</v>
      </c>
      <c r="K341" s="742" t="s">
        <v>1996</v>
      </c>
      <c r="P341" s="732"/>
    </row>
    <row r="342" spans="1:16" ht="29.4" thickBot="1" x14ac:dyDescent="0.35">
      <c r="A342" s="738" t="s">
        <v>2110</v>
      </c>
      <c r="B342" s="740">
        <f>'[1]PLAN DE DESARROLLO 2024 - 2027'!$J$161</f>
        <v>0.21734598565460142</v>
      </c>
      <c r="C342" s="738" t="s">
        <v>2118</v>
      </c>
      <c r="D342" s="740">
        <f>'[1]PLAN DE DESARROLLO 2024 - 2027'!$K$184</f>
        <v>0.20161705435056146</v>
      </c>
      <c r="E342" s="738" t="s">
        <v>2132</v>
      </c>
      <c r="F342" s="741">
        <f>'[1]PLAN DE DESARROLLO 2024 - 2027'!$K$189</f>
        <v>0.295375</v>
      </c>
      <c r="G342" s="738" t="s">
        <v>1030</v>
      </c>
      <c r="H342" s="738" t="s">
        <v>1228</v>
      </c>
      <c r="I342" s="771">
        <f>+'Innovación Pública'!AK100</f>
        <v>1</v>
      </c>
      <c r="J342" s="738" t="s">
        <v>58</v>
      </c>
      <c r="K342" s="742" t="s">
        <v>1996</v>
      </c>
      <c r="P342" s="732"/>
    </row>
    <row r="343" spans="1:16" ht="29.4" thickBot="1" x14ac:dyDescent="0.35">
      <c r="A343" s="738" t="s">
        <v>2110</v>
      </c>
      <c r="B343" s="740">
        <f>'[1]PLAN DE DESARROLLO 2024 - 2027'!$J$161</f>
        <v>0.21734598565460142</v>
      </c>
      <c r="C343" s="738" t="s">
        <v>2118</v>
      </c>
      <c r="D343" s="740">
        <f>'[1]PLAN DE DESARROLLO 2024 - 2027'!$K$184</f>
        <v>0.20161705435056146</v>
      </c>
      <c r="E343" s="738" t="s">
        <v>2132</v>
      </c>
      <c r="F343" s="741">
        <f>'[1]PLAN DE DESARROLLO 2024 - 2027'!$K$189</f>
        <v>0.295375</v>
      </c>
      <c r="G343" s="738" t="s">
        <v>1031</v>
      </c>
      <c r="H343" s="738" t="s">
        <v>1229</v>
      </c>
      <c r="I343" s="771">
        <f>+'Innovación Pública'!AK101</f>
        <v>1</v>
      </c>
      <c r="J343" s="738" t="s">
        <v>58</v>
      </c>
      <c r="K343" s="742" t="s">
        <v>1996</v>
      </c>
      <c r="P343" s="732"/>
    </row>
    <row r="344" spans="1:16" ht="29.4" thickBot="1" x14ac:dyDescent="0.35">
      <c r="A344" s="738" t="s">
        <v>2110</v>
      </c>
      <c r="B344" s="740">
        <f>'[1]PLAN DE DESARROLLO 2024 - 2027'!$J$161</f>
        <v>0.21734598565460142</v>
      </c>
      <c r="C344" s="738" t="s">
        <v>2118</v>
      </c>
      <c r="D344" s="740">
        <f>'[1]PLAN DE DESARROLLO 2024 - 2027'!$K$184</f>
        <v>0.20161705435056146</v>
      </c>
      <c r="E344" s="738" t="s">
        <v>2132</v>
      </c>
      <c r="F344" s="741">
        <f>'[1]PLAN DE DESARROLLO 2024 - 2027'!$K$189</f>
        <v>0.295375</v>
      </c>
      <c r="G344" s="738" t="s">
        <v>1032</v>
      </c>
      <c r="H344" s="738" t="s">
        <v>1230</v>
      </c>
      <c r="I344" s="770">
        <f>+'Innovación Pública'!AK102</f>
        <v>0.61287499999999995</v>
      </c>
      <c r="J344" s="738" t="s">
        <v>58</v>
      </c>
      <c r="K344" s="742" t="s">
        <v>1996</v>
      </c>
      <c r="P344" s="732"/>
    </row>
    <row r="345" spans="1:16" ht="29.4" thickBot="1" x14ac:dyDescent="0.35">
      <c r="A345" s="738" t="s">
        <v>2110</v>
      </c>
      <c r="B345" s="740">
        <f>'[1]PLAN DE DESARROLLO 2024 - 2027'!$J$161</f>
        <v>0.21734598565460142</v>
      </c>
      <c r="C345" s="738" t="s">
        <v>2118</v>
      </c>
      <c r="D345" s="740">
        <f>'[1]PLAN DE DESARROLLO 2024 - 2027'!$K$184</f>
        <v>0.20161705435056146</v>
      </c>
      <c r="E345" s="738" t="s">
        <v>2132</v>
      </c>
      <c r="F345" s="741">
        <f>'[1]PLAN DE DESARROLLO 2024 - 2027'!$K$189</f>
        <v>0.295375</v>
      </c>
      <c r="G345" s="738" t="s">
        <v>1033</v>
      </c>
      <c r="H345" s="738" t="s">
        <v>1231</v>
      </c>
      <c r="I345" s="770">
        <f>+'Innovación Pública'!AK103</f>
        <v>0.5</v>
      </c>
      <c r="J345" s="738" t="s">
        <v>58</v>
      </c>
      <c r="K345" s="742" t="s">
        <v>1996</v>
      </c>
      <c r="P345" s="732"/>
    </row>
    <row r="346" spans="1:16" ht="29.4" thickBot="1" x14ac:dyDescent="0.35">
      <c r="A346" s="738" t="s">
        <v>2110</v>
      </c>
      <c r="B346" s="740">
        <f>'[1]PLAN DE DESARROLLO 2024 - 2027'!$J$161</f>
        <v>0.21734598565460142</v>
      </c>
      <c r="C346" s="738" t="s">
        <v>2118</v>
      </c>
      <c r="D346" s="740">
        <f>'[1]PLAN DE DESARROLLO 2024 - 2027'!$K$184</f>
        <v>0.20161705435056146</v>
      </c>
      <c r="E346" s="738" t="s">
        <v>2132</v>
      </c>
      <c r="F346" s="741">
        <f>'[1]PLAN DE DESARROLLO 2024 - 2027'!$K$189</f>
        <v>0.295375</v>
      </c>
      <c r="G346" s="738" t="s">
        <v>1034</v>
      </c>
      <c r="H346" s="738" t="s">
        <v>1232</v>
      </c>
      <c r="I346" s="770">
        <f>+'Innovación Pública'!AK104</f>
        <v>0.75</v>
      </c>
      <c r="J346" s="738" t="s">
        <v>58</v>
      </c>
      <c r="K346" s="742" t="s">
        <v>1996</v>
      </c>
      <c r="P346" s="732"/>
    </row>
    <row r="347" spans="1:16" ht="29.4" thickBot="1" x14ac:dyDescent="0.35">
      <c r="A347" s="738" t="s">
        <v>2110</v>
      </c>
      <c r="B347" s="740">
        <f>'[1]PLAN DE DESARROLLO 2024 - 2027'!$J$161</f>
        <v>0.21734598565460142</v>
      </c>
      <c r="C347" s="738" t="s">
        <v>2118</v>
      </c>
      <c r="D347" s="740">
        <f>'[1]PLAN DE DESARROLLO 2024 - 2027'!$K$184</f>
        <v>0.20161705435056146</v>
      </c>
      <c r="E347" s="738" t="s">
        <v>2133</v>
      </c>
      <c r="F347" s="741">
        <f>'[1]PLAN DE DESARROLLO 2024 - 2027'!$K$190</f>
        <v>0.12622222222222224</v>
      </c>
      <c r="G347" s="738" t="s">
        <v>1035</v>
      </c>
      <c r="H347" s="738" t="s">
        <v>1233</v>
      </c>
      <c r="I347" s="770">
        <f>+'Innovación Pública'!AK106</f>
        <v>0.5</v>
      </c>
      <c r="J347" s="738" t="s">
        <v>58</v>
      </c>
      <c r="K347" s="742" t="s">
        <v>1996</v>
      </c>
      <c r="P347" s="732"/>
    </row>
    <row r="348" spans="1:16" ht="29.4" thickBot="1" x14ac:dyDescent="0.35">
      <c r="A348" s="738" t="s">
        <v>2110</v>
      </c>
      <c r="B348" s="740">
        <f>'[1]PLAN DE DESARROLLO 2024 - 2027'!$J$161</f>
        <v>0.21734598565460142</v>
      </c>
      <c r="C348" s="738" t="s">
        <v>2118</v>
      </c>
      <c r="D348" s="740">
        <f>'[1]PLAN DE DESARROLLO 2024 - 2027'!$K$184</f>
        <v>0.20161705435056146</v>
      </c>
      <c r="E348" s="738" t="s">
        <v>2133</v>
      </c>
      <c r="F348" s="741">
        <f>'[1]PLAN DE DESARROLLO 2024 - 2027'!$K$190</f>
        <v>0.12622222222222224</v>
      </c>
      <c r="G348" s="738" t="s">
        <v>1036</v>
      </c>
      <c r="H348" s="738" t="s">
        <v>1234</v>
      </c>
      <c r="I348" s="770">
        <f>+'Innovación Pública'!AK107</f>
        <v>0.52566666666666662</v>
      </c>
      <c r="J348" s="738" t="s">
        <v>58</v>
      </c>
      <c r="K348" s="742" t="s">
        <v>1996</v>
      </c>
      <c r="P348" s="732"/>
    </row>
    <row r="349" spans="1:16" ht="29.4" thickBot="1" x14ac:dyDescent="0.35">
      <c r="A349" s="738" t="s">
        <v>2110</v>
      </c>
      <c r="B349" s="740">
        <f>'[1]PLAN DE DESARROLLO 2024 - 2027'!$J$161</f>
        <v>0.21734598565460142</v>
      </c>
      <c r="C349" s="738" t="s">
        <v>2118</v>
      </c>
      <c r="D349" s="740">
        <f>'[1]PLAN DE DESARROLLO 2024 - 2027'!$K$184</f>
        <v>0.20161705435056146</v>
      </c>
      <c r="E349" s="738" t="s">
        <v>2133</v>
      </c>
      <c r="F349" s="741">
        <f>'[1]PLAN DE DESARROLLO 2024 - 2027'!$K$190</f>
        <v>0.12622222222222224</v>
      </c>
      <c r="G349" s="738" t="s">
        <v>1037</v>
      </c>
      <c r="H349" s="738" t="s">
        <v>1235</v>
      </c>
      <c r="I349" s="771">
        <f>+'Innovación Pública'!AK108</f>
        <v>1</v>
      </c>
      <c r="J349" s="738" t="s">
        <v>58</v>
      </c>
      <c r="K349" s="742" t="s">
        <v>1996</v>
      </c>
      <c r="P349" s="732"/>
    </row>
    <row r="350" spans="1:16" ht="29.4" thickBot="1" x14ac:dyDescent="0.35">
      <c r="A350" s="738" t="s">
        <v>2110</v>
      </c>
      <c r="B350" s="740">
        <f>'[1]PLAN DE DESARROLLO 2024 - 2027'!$J$161</f>
        <v>0.21734598565460142</v>
      </c>
      <c r="C350" s="738" t="s">
        <v>2134</v>
      </c>
      <c r="D350" s="740">
        <f>'[1]PLAN DE DESARROLLO 2024 - 2027'!$K$191</f>
        <v>0.25033330230104422</v>
      </c>
      <c r="E350" s="738" t="s">
        <v>2135</v>
      </c>
      <c r="F350" s="741">
        <f>'[1]PLAN DE DESARROLLO 2024 - 2027'!$K$192</f>
        <v>0.29666666666666669</v>
      </c>
      <c r="G350" s="738" t="s">
        <v>1038</v>
      </c>
      <c r="H350" s="738" t="s">
        <v>1236</v>
      </c>
      <c r="I350" s="770">
        <f>+'Innovación Pública'!AK111</f>
        <v>1</v>
      </c>
      <c r="J350" s="738" t="s">
        <v>560</v>
      </c>
      <c r="K350" s="742" t="s">
        <v>1996</v>
      </c>
      <c r="P350" s="732"/>
    </row>
    <row r="351" spans="1:16" ht="29.4" thickBot="1" x14ac:dyDescent="0.35">
      <c r="A351" s="738" t="s">
        <v>2110</v>
      </c>
      <c r="B351" s="740">
        <f>'[1]PLAN DE DESARROLLO 2024 - 2027'!$J$161</f>
        <v>0.21734598565460142</v>
      </c>
      <c r="C351" s="738" t="s">
        <v>2134</v>
      </c>
      <c r="D351" s="740">
        <f>'[1]PLAN DE DESARROLLO 2024 - 2027'!$K$191</f>
        <v>0.25033330230104422</v>
      </c>
      <c r="E351" s="738" t="s">
        <v>2135</v>
      </c>
      <c r="F351" s="741">
        <f>'[1]PLAN DE DESARROLLO 2024 - 2027'!$K$192</f>
        <v>0.29666666666666669</v>
      </c>
      <c r="G351" s="738" t="s">
        <v>1039</v>
      </c>
      <c r="H351" s="738" t="s">
        <v>1237</v>
      </c>
      <c r="I351" s="770">
        <f>+'Innovación Pública'!AK112</f>
        <v>1</v>
      </c>
      <c r="J351" s="738" t="s">
        <v>560</v>
      </c>
      <c r="K351" s="742" t="s">
        <v>1996</v>
      </c>
      <c r="P351" s="732"/>
    </row>
    <row r="352" spans="1:16" ht="29.4" thickBot="1" x14ac:dyDescent="0.35">
      <c r="A352" s="738" t="s">
        <v>2110</v>
      </c>
      <c r="B352" s="740">
        <f>'[1]PLAN DE DESARROLLO 2024 - 2027'!$J$161</f>
        <v>0.21734598565460142</v>
      </c>
      <c r="C352" s="738" t="s">
        <v>2134</v>
      </c>
      <c r="D352" s="740">
        <f>'[1]PLAN DE DESARROLLO 2024 - 2027'!$K$191</f>
        <v>0.25033330230104422</v>
      </c>
      <c r="E352" s="738" t="s">
        <v>2135</v>
      </c>
      <c r="F352" s="741">
        <f>'[1]PLAN DE DESARROLLO 2024 - 2027'!$K$192</f>
        <v>0.29666666666666669</v>
      </c>
      <c r="G352" s="738" t="s">
        <v>1040</v>
      </c>
      <c r="H352" s="738" t="s">
        <v>1238</v>
      </c>
      <c r="I352" s="770">
        <f>+'Innovación Pública'!AK113</f>
        <v>1</v>
      </c>
      <c r="J352" s="738" t="s">
        <v>560</v>
      </c>
      <c r="K352" s="742" t="s">
        <v>1996</v>
      </c>
      <c r="P352" s="732"/>
    </row>
    <row r="353" spans="1:16" ht="29.4" thickBot="1" x14ac:dyDescent="0.35">
      <c r="A353" s="738" t="s">
        <v>2110</v>
      </c>
      <c r="B353" s="740">
        <f>'[1]PLAN DE DESARROLLO 2024 - 2027'!$J$161</f>
        <v>0.21734598565460142</v>
      </c>
      <c r="C353" s="738" t="s">
        <v>2134</v>
      </c>
      <c r="D353" s="740">
        <f>'[1]PLAN DE DESARROLLO 2024 - 2027'!$K$191</f>
        <v>0.25033330230104422</v>
      </c>
      <c r="E353" s="738" t="s">
        <v>2135</v>
      </c>
      <c r="F353" s="741">
        <f>'[1]PLAN DE DESARROLLO 2024 - 2027'!$K$192</f>
        <v>0.29666666666666669</v>
      </c>
      <c r="G353" s="738" t="s">
        <v>1041</v>
      </c>
      <c r="H353" s="738" t="s">
        <v>1239</v>
      </c>
      <c r="I353" s="770">
        <f>+'Innovación Pública'!AK114</f>
        <v>1</v>
      </c>
      <c r="J353" s="738" t="s">
        <v>560</v>
      </c>
      <c r="K353" s="742" t="s">
        <v>1996</v>
      </c>
      <c r="P353" s="732"/>
    </row>
    <row r="354" spans="1:16" ht="29.4" thickBot="1" x14ac:dyDescent="0.35">
      <c r="A354" s="738" t="s">
        <v>2110</v>
      </c>
      <c r="B354" s="740">
        <f>'[1]PLAN DE DESARROLLO 2024 - 2027'!$J$161</f>
        <v>0.21734598565460142</v>
      </c>
      <c r="C354" s="738" t="s">
        <v>2134</v>
      </c>
      <c r="D354" s="740">
        <f>'[1]PLAN DE DESARROLLO 2024 - 2027'!$K$191</f>
        <v>0.25033330230104422</v>
      </c>
      <c r="E354" s="738" t="s">
        <v>2135</v>
      </c>
      <c r="F354" s="741">
        <f>'[1]PLAN DE DESARROLLO 2024 - 2027'!$K$192</f>
        <v>0.29666666666666669</v>
      </c>
      <c r="G354" s="738" t="s">
        <v>1042</v>
      </c>
      <c r="H354" s="738" t="s">
        <v>1240</v>
      </c>
      <c r="I354" s="770">
        <f>+'Innovación Pública'!AK115</f>
        <v>0.5</v>
      </c>
      <c r="J354" s="738" t="s">
        <v>560</v>
      </c>
      <c r="K354" s="742" t="s">
        <v>1996</v>
      </c>
      <c r="P354" s="732"/>
    </row>
    <row r="355" spans="1:16" ht="29.4" thickBot="1" x14ac:dyDescent="0.35">
      <c r="A355" s="738" t="s">
        <v>2110</v>
      </c>
      <c r="B355" s="740">
        <f>'[1]PLAN DE DESARROLLO 2024 - 2027'!$J$161</f>
        <v>0.21734598565460142</v>
      </c>
      <c r="C355" s="738" t="s">
        <v>2134</v>
      </c>
      <c r="D355" s="740">
        <f>'[1]PLAN DE DESARROLLO 2024 - 2027'!$K$191</f>
        <v>0.25033330230104422</v>
      </c>
      <c r="E355" s="738" t="s">
        <v>2136</v>
      </c>
      <c r="F355" s="741">
        <f>'[1]PLAN DE DESARROLLO 2024 - 2027'!$K$193</f>
        <v>0.24052272727272728</v>
      </c>
      <c r="G355" s="738" t="s">
        <v>2137</v>
      </c>
      <c r="H355" s="738" t="s">
        <v>1241</v>
      </c>
      <c r="I355" s="770">
        <f>+'Innovación Pública'!AK117</f>
        <v>0.5625</v>
      </c>
      <c r="J355" s="738" t="s">
        <v>560</v>
      </c>
      <c r="K355" s="742" t="s">
        <v>1996</v>
      </c>
      <c r="P355" s="732"/>
    </row>
    <row r="356" spans="1:16" ht="29.4" thickBot="1" x14ac:dyDescent="0.35">
      <c r="A356" s="738" t="s">
        <v>2110</v>
      </c>
      <c r="B356" s="740">
        <f>'[1]PLAN DE DESARROLLO 2024 - 2027'!$J$161</f>
        <v>0.21734598565460142</v>
      </c>
      <c r="C356" s="738" t="s">
        <v>2134</v>
      </c>
      <c r="D356" s="740">
        <f>'[1]PLAN DE DESARROLLO 2024 - 2027'!$K$191</f>
        <v>0.25033330230104422</v>
      </c>
      <c r="E356" s="738" t="s">
        <v>2136</v>
      </c>
      <c r="F356" s="741">
        <f>'[1]PLAN DE DESARROLLO 2024 - 2027'!$K$193</f>
        <v>0.24052272727272728</v>
      </c>
      <c r="G356" s="738" t="s">
        <v>1044</v>
      </c>
      <c r="H356" s="738" t="s">
        <v>1242</v>
      </c>
      <c r="I356" s="770">
        <f>+'Innovación Pública'!AK118</f>
        <v>0.47399999999999998</v>
      </c>
      <c r="J356" s="738" t="s">
        <v>560</v>
      </c>
      <c r="K356" s="742" t="s">
        <v>1996</v>
      </c>
      <c r="P356" s="732"/>
    </row>
    <row r="357" spans="1:16" ht="29.4" thickBot="1" x14ac:dyDescent="0.35">
      <c r="A357" s="738" t="s">
        <v>2110</v>
      </c>
      <c r="B357" s="740">
        <f>'[1]PLAN DE DESARROLLO 2024 - 2027'!$J$161</f>
        <v>0.21734598565460142</v>
      </c>
      <c r="C357" s="738" t="s">
        <v>2134</v>
      </c>
      <c r="D357" s="740">
        <f>'[1]PLAN DE DESARROLLO 2024 - 2027'!$K$191</f>
        <v>0.25033330230104422</v>
      </c>
      <c r="E357" s="738" t="s">
        <v>2136</v>
      </c>
      <c r="F357" s="741">
        <f>'[1]PLAN DE DESARROLLO 2024 - 2027'!$K$193</f>
        <v>0.24052272727272728</v>
      </c>
      <c r="G357" s="738" t="s">
        <v>1045</v>
      </c>
      <c r="H357" s="738" t="s">
        <v>1243</v>
      </c>
      <c r="I357" s="770">
        <f>+'Innovación Pública'!AK119</f>
        <v>0.5575</v>
      </c>
      <c r="J357" s="738" t="s">
        <v>560</v>
      </c>
      <c r="K357" s="742" t="s">
        <v>1996</v>
      </c>
      <c r="P357" s="732"/>
    </row>
    <row r="358" spans="1:16" ht="29.4" thickBot="1" x14ac:dyDescent="0.35">
      <c r="A358" s="738" t="s">
        <v>2110</v>
      </c>
      <c r="B358" s="740">
        <f>'[1]PLAN DE DESARROLLO 2024 - 2027'!$J$161</f>
        <v>0.21734598565460142</v>
      </c>
      <c r="C358" s="738" t="s">
        <v>2134</v>
      </c>
      <c r="D358" s="740">
        <f>'[1]PLAN DE DESARROLLO 2024 - 2027'!$K$191</f>
        <v>0.25033330230104422</v>
      </c>
      <c r="E358" s="738" t="s">
        <v>2136</v>
      </c>
      <c r="F358" s="741">
        <f>'[1]PLAN DE DESARROLLO 2024 - 2027'!$K$193</f>
        <v>0.24052272727272728</v>
      </c>
      <c r="G358" s="738" t="s">
        <v>1046</v>
      </c>
      <c r="H358" s="738" t="s">
        <v>1244</v>
      </c>
      <c r="I358" s="770">
        <f>+'Innovación Pública'!AK120</f>
        <v>0.40385000000000004</v>
      </c>
      <c r="J358" s="738" t="s">
        <v>560</v>
      </c>
      <c r="K358" s="742" t="s">
        <v>1996</v>
      </c>
      <c r="P358" s="732"/>
    </row>
    <row r="359" spans="1:16" ht="43.8" thickBot="1" x14ac:dyDescent="0.35">
      <c r="A359" s="738" t="s">
        <v>2110</v>
      </c>
      <c r="B359" s="740">
        <f>'[1]PLAN DE DESARROLLO 2024 - 2027'!$J$161</f>
        <v>0.21734598565460142</v>
      </c>
      <c r="C359" s="738" t="s">
        <v>2134</v>
      </c>
      <c r="D359" s="740">
        <f>'[1]PLAN DE DESARROLLO 2024 - 2027'!$K$191</f>
        <v>0.25033330230104422</v>
      </c>
      <c r="E359" s="738" t="s">
        <v>2136</v>
      </c>
      <c r="F359" s="741">
        <f>'[1]PLAN DE DESARROLLO 2024 - 2027'!$K$193</f>
        <v>0.24052272727272728</v>
      </c>
      <c r="G359" s="738" t="s">
        <v>1047</v>
      </c>
      <c r="H359" s="738" t="s">
        <v>1245</v>
      </c>
      <c r="I359" s="770">
        <f>+'Innovación Pública'!AK121</f>
        <v>0.5625</v>
      </c>
      <c r="J359" s="738" t="s">
        <v>560</v>
      </c>
      <c r="K359" s="742" t="s">
        <v>1996</v>
      </c>
      <c r="P359" s="732"/>
    </row>
    <row r="360" spans="1:16" ht="43.8" thickBot="1" x14ac:dyDescent="0.35">
      <c r="A360" s="738" t="s">
        <v>2110</v>
      </c>
      <c r="B360" s="740">
        <f>'[1]PLAN DE DESARROLLO 2024 - 2027'!$J$161</f>
        <v>0.21734598565460142</v>
      </c>
      <c r="C360" s="738" t="s">
        <v>2134</v>
      </c>
      <c r="D360" s="740">
        <f>'[1]PLAN DE DESARROLLO 2024 - 2027'!$K$191</f>
        <v>0.25033330230104422</v>
      </c>
      <c r="E360" s="738" t="s">
        <v>2136</v>
      </c>
      <c r="F360" s="741">
        <f>'[1]PLAN DE DESARROLLO 2024 - 2027'!$K$193</f>
        <v>0.24052272727272728</v>
      </c>
      <c r="G360" s="738" t="s">
        <v>1048</v>
      </c>
      <c r="H360" s="738" t="s">
        <v>1246</v>
      </c>
      <c r="I360" s="770">
        <f>+'Innovación Pública'!AK122</f>
        <v>0.5</v>
      </c>
      <c r="J360" s="738" t="s">
        <v>560</v>
      </c>
      <c r="K360" s="742" t="s">
        <v>1996</v>
      </c>
      <c r="P360" s="732"/>
    </row>
    <row r="361" spans="1:16" ht="29.4" thickBot="1" x14ac:dyDescent="0.35">
      <c r="A361" s="738" t="s">
        <v>2110</v>
      </c>
      <c r="B361" s="740">
        <f>'[1]PLAN DE DESARROLLO 2024 - 2027'!$J$161</f>
        <v>0.21734598565460142</v>
      </c>
      <c r="C361" s="738" t="s">
        <v>2134</v>
      </c>
      <c r="D361" s="740">
        <f>'[1]PLAN DE DESARROLLO 2024 - 2027'!$K$191</f>
        <v>0.25033330230104422</v>
      </c>
      <c r="E361" s="738" t="s">
        <v>2138</v>
      </c>
      <c r="F361" s="741">
        <f>'[1]PLAN DE DESARROLLO 2024 - 2027'!$K$194</f>
        <v>0.26828264208909369</v>
      </c>
      <c r="G361" s="738" t="s">
        <v>1049</v>
      </c>
      <c r="H361" s="738" t="s">
        <v>1247</v>
      </c>
      <c r="I361" s="770">
        <f>+'Innovación Pública'!AK124</f>
        <v>0.625</v>
      </c>
      <c r="J361" s="738" t="s">
        <v>560</v>
      </c>
      <c r="K361" s="742" t="s">
        <v>1996</v>
      </c>
      <c r="P361" s="732"/>
    </row>
    <row r="362" spans="1:16" ht="29.4" thickBot="1" x14ac:dyDescent="0.35">
      <c r="A362" s="738" t="s">
        <v>2110</v>
      </c>
      <c r="B362" s="740">
        <f>'[1]PLAN DE DESARROLLO 2024 - 2027'!$J$161</f>
        <v>0.21734598565460142</v>
      </c>
      <c r="C362" s="738" t="s">
        <v>2134</v>
      </c>
      <c r="D362" s="740">
        <f>'[1]PLAN DE DESARROLLO 2024 - 2027'!$K$191</f>
        <v>0.25033330230104422</v>
      </c>
      <c r="E362" s="738" t="s">
        <v>2138</v>
      </c>
      <c r="F362" s="741">
        <f>'[1]PLAN DE DESARROLLO 2024 - 2027'!$K$194</f>
        <v>0.26828264208909369</v>
      </c>
      <c r="G362" s="738" t="s">
        <v>1050</v>
      </c>
      <c r="H362" s="738" t="s">
        <v>1248</v>
      </c>
      <c r="I362" s="770">
        <f>+'Innovación Pública'!AK125</f>
        <v>0.5625</v>
      </c>
      <c r="J362" s="738" t="s">
        <v>560</v>
      </c>
      <c r="K362" s="742" t="s">
        <v>1996</v>
      </c>
      <c r="P362" s="732"/>
    </row>
    <row r="363" spans="1:16" ht="29.4" thickBot="1" x14ac:dyDescent="0.35">
      <c r="A363" s="738" t="s">
        <v>2110</v>
      </c>
      <c r="B363" s="740">
        <f>'[1]PLAN DE DESARROLLO 2024 - 2027'!$J$161</f>
        <v>0.21734598565460142</v>
      </c>
      <c r="C363" s="738" t="s">
        <v>2134</v>
      </c>
      <c r="D363" s="740">
        <f>'[1]PLAN DE DESARROLLO 2024 - 2027'!$K$191</f>
        <v>0.25033330230104422</v>
      </c>
      <c r="E363" s="738" t="s">
        <v>2138</v>
      </c>
      <c r="F363" s="741">
        <f>'[1]PLAN DE DESARROLLO 2024 - 2027'!$K$194</f>
        <v>0.26828264208909369</v>
      </c>
      <c r="G363" s="738" t="s">
        <v>1051</v>
      </c>
      <c r="H363" s="738" t="s">
        <v>1249</v>
      </c>
      <c r="I363" s="770">
        <f>+'Innovación Pública'!AK126</f>
        <v>1</v>
      </c>
      <c r="J363" s="738" t="s">
        <v>560</v>
      </c>
      <c r="K363" s="742" t="s">
        <v>1996</v>
      </c>
      <c r="P363" s="732"/>
    </row>
    <row r="364" spans="1:16" ht="29.4" thickBot="1" x14ac:dyDescent="0.35">
      <c r="A364" s="738" t="s">
        <v>2110</v>
      </c>
      <c r="B364" s="740">
        <f>'[1]PLAN DE DESARROLLO 2024 - 2027'!$J$161</f>
        <v>0.21734598565460142</v>
      </c>
      <c r="C364" s="738" t="s">
        <v>2134</v>
      </c>
      <c r="D364" s="740">
        <f>'[1]PLAN DE DESARROLLO 2024 - 2027'!$K$191</f>
        <v>0.25033330230104422</v>
      </c>
      <c r="E364" s="738" t="s">
        <v>2138</v>
      </c>
      <c r="F364" s="741">
        <f>'[1]PLAN DE DESARROLLO 2024 - 2027'!$K$194</f>
        <v>0.26828264208909369</v>
      </c>
      <c r="G364" s="738" t="s">
        <v>1052</v>
      </c>
      <c r="H364" s="738" t="s">
        <v>1250</v>
      </c>
      <c r="I364" s="770">
        <f>+'Innovación Pública'!AK127</f>
        <v>0.58333333333333337</v>
      </c>
      <c r="J364" s="738" t="s">
        <v>560</v>
      </c>
      <c r="K364" s="742" t="s">
        <v>1996</v>
      </c>
      <c r="P364" s="732"/>
    </row>
    <row r="365" spans="1:16" ht="29.4" thickBot="1" x14ac:dyDescent="0.35">
      <c r="A365" s="738" t="s">
        <v>2110</v>
      </c>
      <c r="B365" s="740">
        <f>'[1]PLAN DE DESARROLLO 2024 - 2027'!$J$161</f>
        <v>0.21734598565460142</v>
      </c>
      <c r="C365" s="738" t="s">
        <v>2134</v>
      </c>
      <c r="D365" s="740">
        <f>'[1]PLAN DE DESARROLLO 2024 - 2027'!$K$191</f>
        <v>0.25033330230104422</v>
      </c>
      <c r="E365" s="738" t="s">
        <v>2138</v>
      </c>
      <c r="F365" s="741">
        <f>'[1]PLAN DE DESARROLLO 2024 - 2027'!$K$194</f>
        <v>0.26828264208909369</v>
      </c>
      <c r="G365" s="738" t="s">
        <v>1053</v>
      </c>
      <c r="H365" s="738" t="s">
        <v>1251</v>
      </c>
      <c r="I365" s="770">
        <f>+'Innovación Pública'!AK128</f>
        <v>0.25</v>
      </c>
      <c r="J365" s="738" t="s">
        <v>560</v>
      </c>
      <c r="K365" s="742" t="s">
        <v>1996</v>
      </c>
      <c r="P365" s="732"/>
    </row>
    <row r="366" spans="1:16" ht="29.4" thickBot="1" x14ac:dyDescent="0.35">
      <c r="A366" s="738" t="s">
        <v>2110</v>
      </c>
      <c r="B366" s="740">
        <f>'[1]PLAN DE DESARROLLO 2024 - 2027'!$J$161</f>
        <v>0.21734598565460142</v>
      </c>
      <c r="C366" s="738" t="s">
        <v>2134</v>
      </c>
      <c r="D366" s="740">
        <f>'[1]PLAN DE DESARROLLO 2024 - 2027'!$K$191</f>
        <v>0.25033330230104422</v>
      </c>
      <c r="E366" s="738" t="s">
        <v>2138</v>
      </c>
      <c r="F366" s="741">
        <f>'[1]PLAN DE DESARROLLO 2024 - 2027'!$K$194</f>
        <v>0.26828264208909369</v>
      </c>
      <c r="G366" s="738" t="s">
        <v>1054</v>
      </c>
      <c r="H366" s="738" t="s">
        <v>1252</v>
      </c>
      <c r="I366" s="770">
        <f>+'Innovación Pública'!AK129</f>
        <v>0.5625</v>
      </c>
      <c r="J366" s="738" t="s">
        <v>560</v>
      </c>
      <c r="K366" s="742" t="s">
        <v>1996</v>
      </c>
      <c r="P366" s="732"/>
    </row>
    <row r="367" spans="1:16" ht="29.4" thickBot="1" x14ac:dyDescent="0.35">
      <c r="A367" s="738" t="s">
        <v>2110</v>
      </c>
      <c r="B367" s="740">
        <f>'[1]PLAN DE DESARROLLO 2024 - 2027'!$J$161</f>
        <v>0.21734598565460142</v>
      </c>
      <c r="C367" s="738" t="s">
        <v>2134</v>
      </c>
      <c r="D367" s="740">
        <f>'[1]PLAN DE DESARROLLO 2024 - 2027'!$K$191</f>
        <v>0.25033330230104422</v>
      </c>
      <c r="E367" s="738" t="s">
        <v>2138</v>
      </c>
      <c r="F367" s="741">
        <f>'[1]PLAN DE DESARROLLO 2024 - 2027'!$K$194</f>
        <v>0.26828264208909369</v>
      </c>
      <c r="G367" s="738" t="s">
        <v>1055</v>
      </c>
      <c r="H367" s="738" t="s">
        <v>1253</v>
      </c>
      <c r="I367" s="770">
        <f>+'Innovación Pública'!AK130</f>
        <v>0</v>
      </c>
      <c r="J367" s="738" t="s">
        <v>560</v>
      </c>
      <c r="K367" s="742" t="s">
        <v>1996</v>
      </c>
      <c r="P367" s="732"/>
    </row>
    <row r="368" spans="1:16" ht="29.4" thickBot="1" x14ac:dyDescent="0.35">
      <c r="A368" s="738" t="s">
        <v>2110</v>
      </c>
      <c r="B368" s="740">
        <f>'[1]PLAN DE DESARROLLO 2024 - 2027'!$J$161</f>
        <v>0.21734598565460142</v>
      </c>
      <c r="C368" s="738" t="s">
        <v>2134</v>
      </c>
      <c r="D368" s="740">
        <f>'[1]PLAN DE DESARROLLO 2024 - 2027'!$K$191</f>
        <v>0.25033330230104422</v>
      </c>
      <c r="E368" s="738" t="s">
        <v>2139</v>
      </c>
      <c r="F368" s="741">
        <f>'[1]PLAN DE DESARROLLO 2024 - 2027'!$K$195</f>
        <v>0.31111111111111112</v>
      </c>
      <c r="G368" s="738" t="s">
        <v>1056</v>
      </c>
      <c r="H368" s="738" t="s">
        <v>1254</v>
      </c>
      <c r="I368" s="770">
        <f>+'Innovación Pública'!AK132</f>
        <v>0.55555555555555558</v>
      </c>
      <c r="J368" s="738" t="s">
        <v>560</v>
      </c>
      <c r="K368" s="742" t="s">
        <v>1996</v>
      </c>
      <c r="P368" s="732"/>
    </row>
    <row r="369" spans="1:16" ht="29.4" thickBot="1" x14ac:dyDescent="0.35">
      <c r="A369" s="738" t="s">
        <v>2110</v>
      </c>
      <c r="B369" s="740">
        <f>'[1]PLAN DE DESARROLLO 2024 - 2027'!$J$161</f>
        <v>0.21734598565460142</v>
      </c>
      <c r="C369" s="738" t="s">
        <v>2134</v>
      </c>
      <c r="D369" s="740">
        <f>'[1]PLAN DE DESARROLLO 2024 - 2027'!$K$191</f>
        <v>0.25033330230104422</v>
      </c>
      <c r="E369" s="738" t="s">
        <v>2139</v>
      </c>
      <c r="F369" s="741">
        <f>'[1]PLAN DE DESARROLLO 2024 - 2027'!$K$195</f>
        <v>0.31111111111111112</v>
      </c>
      <c r="G369" s="738" t="s">
        <v>1057</v>
      </c>
      <c r="H369" s="738" t="s">
        <v>1255</v>
      </c>
      <c r="I369" s="770">
        <f>+'Innovación Pública'!AK133</f>
        <v>1</v>
      </c>
      <c r="J369" s="738" t="s">
        <v>560</v>
      </c>
      <c r="K369" s="742" t="s">
        <v>1996</v>
      </c>
      <c r="P369" s="732"/>
    </row>
    <row r="370" spans="1:16" ht="29.4" thickBot="1" x14ac:dyDescent="0.35">
      <c r="A370" s="738" t="s">
        <v>2110</v>
      </c>
      <c r="B370" s="740">
        <f>'[1]PLAN DE DESARROLLO 2024 - 2027'!$J$161</f>
        <v>0.21734598565460142</v>
      </c>
      <c r="C370" s="738" t="s">
        <v>2134</v>
      </c>
      <c r="D370" s="740">
        <f>'[1]PLAN DE DESARROLLO 2024 - 2027'!$K$191</f>
        <v>0.25033330230104422</v>
      </c>
      <c r="E370" s="738" t="s">
        <v>1836</v>
      </c>
      <c r="F370" s="741">
        <f>'[1]PLAN DE DESARROLLO 2024 - 2027'!$K$196</f>
        <v>0.19791666666666666</v>
      </c>
      <c r="G370" s="738" t="s">
        <v>1058</v>
      </c>
      <c r="H370" s="738" t="s">
        <v>1256</v>
      </c>
      <c r="I370" s="771">
        <f>+'Innovación Pública'!AK135</f>
        <v>0.55000000000000004</v>
      </c>
      <c r="J370" s="738" t="s">
        <v>2140</v>
      </c>
      <c r="K370" s="742" t="s">
        <v>1996</v>
      </c>
      <c r="P370" s="732"/>
    </row>
    <row r="371" spans="1:16" ht="29.4" thickBot="1" x14ac:dyDescent="0.35">
      <c r="A371" s="738" t="s">
        <v>2110</v>
      </c>
      <c r="B371" s="740">
        <f>'[1]PLAN DE DESARROLLO 2024 - 2027'!$J$161</f>
        <v>0.21734598565460142</v>
      </c>
      <c r="C371" s="738" t="s">
        <v>2134</v>
      </c>
      <c r="D371" s="740">
        <f>'[1]PLAN DE DESARROLLO 2024 - 2027'!$K$191</f>
        <v>0.25033330230104422</v>
      </c>
      <c r="E371" s="738" t="s">
        <v>1836</v>
      </c>
      <c r="F371" s="741">
        <f>'[1]PLAN DE DESARROLLO 2024 - 2027'!$K$196</f>
        <v>0.19791666666666666</v>
      </c>
      <c r="G371" s="738" t="s">
        <v>1060</v>
      </c>
      <c r="H371" s="738" t="s">
        <v>1257</v>
      </c>
      <c r="I371" s="771">
        <f>+'Innovación Pública'!AK136</f>
        <v>0</v>
      </c>
      <c r="J371" s="738" t="s">
        <v>560</v>
      </c>
      <c r="K371" s="742" t="s">
        <v>1996</v>
      </c>
      <c r="P371" s="732"/>
    </row>
    <row r="372" spans="1:16" ht="29.4" thickBot="1" x14ac:dyDescent="0.35">
      <c r="A372" s="738" t="s">
        <v>2110</v>
      </c>
      <c r="B372" s="740">
        <f>'[1]PLAN DE DESARROLLO 2024 - 2027'!$J$161</f>
        <v>0.21734598565460142</v>
      </c>
      <c r="C372" s="738" t="s">
        <v>2134</v>
      </c>
      <c r="D372" s="740">
        <f>'[1]PLAN DE DESARROLLO 2024 - 2027'!$K$191</f>
        <v>0.25033330230104422</v>
      </c>
      <c r="E372" s="738" t="s">
        <v>1836</v>
      </c>
      <c r="F372" s="741">
        <f>'[1]PLAN DE DESARROLLO 2024 - 2027'!$K$196</f>
        <v>0.19791666666666666</v>
      </c>
      <c r="G372" s="738" t="s">
        <v>1061</v>
      </c>
      <c r="H372" s="738" t="s">
        <v>1258</v>
      </c>
      <c r="I372" s="770">
        <f>+'Innovación Pública'!AK137</f>
        <v>0.35416666666666669</v>
      </c>
      <c r="J372" s="738" t="s">
        <v>560</v>
      </c>
      <c r="K372" s="742" t="s">
        <v>1996</v>
      </c>
      <c r="P372" s="732"/>
    </row>
    <row r="373" spans="1:16" ht="43.8" thickBot="1" x14ac:dyDescent="0.35">
      <c r="A373" s="738" t="s">
        <v>2110</v>
      </c>
      <c r="B373" s="740">
        <f>'[1]PLAN DE DESARROLLO 2024 - 2027'!$J$161</f>
        <v>0.21734598565460142</v>
      </c>
      <c r="C373" s="738" t="s">
        <v>2134</v>
      </c>
      <c r="D373" s="740">
        <f>'[1]PLAN DE DESARROLLO 2024 - 2027'!$K$191</f>
        <v>0.25033330230104422</v>
      </c>
      <c r="E373" s="738" t="s">
        <v>1836</v>
      </c>
      <c r="F373" s="741">
        <f>'[1]PLAN DE DESARROLLO 2024 - 2027'!$K$196</f>
        <v>0.19791666666666666</v>
      </c>
      <c r="G373" s="738" t="s">
        <v>1062</v>
      </c>
      <c r="H373" s="738" t="s">
        <v>1259</v>
      </c>
      <c r="I373" s="770">
        <f>+'Innovación Pública'!AK138</f>
        <v>0.33333333333333331</v>
      </c>
      <c r="J373" s="738" t="s">
        <v>560</v>
      </c>
      <c r="K373" s="742" t="s">
        <v>1996</v>
      </c>
      <c r="P373" s="732"/>
    </row>
    <row r="374" spans="1:16" ht="29.4" thickBot="1" x14ac:dyDescent="0.35">
      <c r="A374" s="738" t="s">
        <v>2110</v>
      </c>
      <c r="B374" s="740">
        <f>'[1]PLAN DE DESARROLLO 2024 - 2027'!$J$161</f>
        <v>0.21734598565460142</v>
      </c>
      <c r="C374" s="738" t="s">
        <v>2134</v>
      </c>
      <c r="D374" s="740">
        <f>'[1]PLAN DE DESARROLLO 2024 - 2027'!$K$191</f>
        <v>0.25033330230104422</v>
      </c>
      <c r="E374" s="738" t="s">
        <v>2141</v>
      </c>
      <c r="F374" s="741">
        <f>'[1]PLAN DE DESARROLLO 2024 - 2027'!$K$197</f>
        <v>0.1875</v>
      </c>
      <c r="G374" s="738" t="s">
        <v>1063</v>
      </c>
      <c r="H374" s="738" t="s">
        <v>1260</v>
      </c>
      <c r="I374" s="770">
        <f>+'Innovación Pública'!AK140</f>
        <v>0.5484</v>
      </c>
      <c r="J374" s="738" t="s">
        <v>2142</v>
      </c>
      <c r="K374" s="742" t="s">
        <v>1996</v>
      </c>
      <c r="P374" s="732"/>
    </row>
    <row r="375" spans="1:16" ht="29.4" thickBot="1" x14ac:dyDescent="0.35">
      <c r="A375" s="738" t="s">
        <v>2110</v>
      </c>
      <c r="B375" s="740">
        <f>'[1]PLAN DE DESARROLLO 2024 - 2027'!$J$161</f>
        <v>0.21734598565460142</v>
      </c>
      <c r="C375" s="738" t="s">
        <v>2134</v>
      </c>
      <c r="D375" s="740">
        <f>'[1]PLAN DE DESARROLLO 2024 - 2027'!$K$191</f>
        <v>0.25033330230104422</v>
      </c>
      <c r="E375" s="738" t="s">
        <v>2141</v>
      </c>
      <c r="F375" s="741">
        <f>'[1]PLAN DE DESARROLLO 2024 - 2027'!$K$197</f>
        <v>0.1875</v>
      </c>
      <c r="G375" s="738" t="s">
        <v>1065</v>
      </c>
      <c r="H375" s="738" t="s">
        <v>1261</v>
      </c>
      <c r="I375" s="770">
        <f>+'Innovación Pública'!AK141</f>
        <v>0.73330000000000006</v>
      </c>
      <c r="J375" s="738" t="s">
        <v>2142</v>
      </c>
      <c r="K375" s="742" t="s">
        <v>1996</v>
      </c>
      <c r="P375" s="732"/>
    </row>
    <row r="376" spans="1:16" ht="29.4" thickBot="1" x14ac:dyDescent="0.35">
      <c r="A376" s="738" t="s">
        <v>2143</v>
      </c>
      <c r="B376" s="741">
        <f>'[1]PLAN DE DESARROLLO 2024 - 2027'!$K$4</f>
        <v>0.29293663727866731</v>
      </c>
      <c r="C376" s="738" t="s">
        <v>2144</v>
      </c>
      <c r="D376" s="741">
        <f>'[1]PLAN DE DESARROLLO 2024 - 2027'!$K$26</f>
        <v>0.26520247826018756</v>
      </c>
      <c r="E376" s="738" t="s">
        <v>1617</v>
      </c>
      <c r="F376" s="741">
        <f>'[1]PLAN DE DESARROLLO 2024 - 2027'!$K$33</f>
        <v>0</v>
      </c>
      <c r="G376" s="738" t="s">
        <v>286</v>
      </c>
      <c r="H376" s="738" t="s">
        <v>287</v>
      </c>
      <c r="I376" s="770">
        <f>+'Seguridad Humana'!AK167</f>
        <v>0.25</v>
      </c>
      <c r="J376" s="738" t="s">
        <v>58</v>
      </c>
      <c r="K376" s="742" t="s">
        <v>1996</v>
      </c>
      <c r="P376" s="732"/>
    </row>
    <row r="377" spans="1:16" ht="43.8" thickBot="1" x14ac:dyDescent="0.35">
      <c r="A377" s="738" t="s">
        <v>2143</v>
      </c>
      <c r="B377" s="741">
        <f>'[1]PLAN DE DESARROLLO 2024 - 2027'!$K$4</f>
        <v>0.29293663727866731</v>
      </c>
      <c r="C377" s="738" t="s">
        <v>2144</v>
      </c>
      <c r="D377" s="741">
        <f>'[1]PLAN DE DESARROLLO 2024 - 2027'!$K$26</f>
        <v>0.26520247826018756</v>
      </c>
      <c r="E377" s="738" t="s">
        <v>1617</v>
      </c>
      <c r="F377" s="741">
        <f>'[1]PLAN DE DESARROLLO 2024 - 2027'!$K$33</f>
        <v>0</v>
      </c>
      <c r="G377" s="738" t="s">
        <v>288</v>
      </c>
      <c r="H377" s="738" t="s">
        <v>289</v>
      </c>
      <c r="I377" s="770">
        <f>+'Seguridad Humana'!AK168</f>
        <v>0.60000000000000009</v>
      </c>
      <c r="J377" s="738" t="s">
        <v>58</v>
      </c>
      <c r="K377" s="742" t="s">
        <v>1996</v>
      </c>
      <c r="P377" s="732"/>
    </row>
    <row r="378" spans="1:16" ht="29.4" thickBot="1" x14ac:dyDescent="0.35">
      <c r="A378" s="738" t="s">
        <v>2143</v>
      </c>
      <c r="B378" s="741">
        <f>'[1]PLAN DE DESARROLLO 2024 - 2027'!$K$4</f>
        <v>0.29293663727866731</v>
      </c>
      <c r="C378" s="738" t="s">
        <v>2144</v>
      </c>
      <c r="D378" s="741">
        <f>'[1]PLAN DE DESARROLLO 2024 - 2027'!$K$26</f>
        <v>0.26520247826018756</v>
      </c>
      <c r="E378" s="738" t="s">
        <v>1617</v>
      </c>
      <c r="F378" s="741">
        <f>'[1]PLAN DE DESARROLLO 2024 - 2027'!$K$33</f>
        <v>0</v>
      </c>
      <c r="G378" s="738" t="s">
        <v>290</v>
      </c>
      <c r="H378" s="738" t="s">
        <v>291</v>
      </c>
      <c r="I378" s="770">
        <f>+'Seguridad Humana'!AK169</f>
        <v>0.5</v>
      </c>
      <c r="J378" s="738" t="s">
        <v>58</v>
      </c>
      <c r="K378" s="742" t="s">
        <v>1996</v>
      </c>
      <c r="P378" s="732"/>
    </row>
    <row r="379" spans="1:16" ht="29.4" thickBot="1" x14ac:dyDescent="0.35">
      <c r="A379" s="738" t="s">
        <v>2143</v>
      </c>
      <c r="B379" s="741">
        <f>'[1]PLAN DE DESARROLLO 2024 - 2027'!$K$4</f>
        <v>0.29293663727866731</v>
      </c>
      <c r="C379" s="738" t="s">
        <v>2144</v>
      </c>
      <c r="D379" s="741">
        <f>'[1]PLAN DE DESARROLLO 2024 - 2027'!$K$26</f>
        <v>0.26520247826018756</v>
      </c>
      <c r="E379" s="738" t="s">
        <v>1617</v>
      </c>
      <c r="F379" s="741">
        <f>'[1]PLAN DE DESARROLLO 2024 - 2027'!$K$33</f>
        <v>0</v>
      </c>
      <c r="G379" s="738" t="s">
        <v>292</v>
      </c>
      <c r="H379" s="738" t="s">
        <v>293</v>
      </c>
      <c r="I379" s="770">
        <f>+'Seguridad Humana'!AK170</f>
        <v>0.66</v>
      </c>
      <c r="J379" s="738" t="s">
        <v>58</v>
      </c>
      <c r="K379" s="742" t="s">
        <v>1996</v>
      </c>
      <c r="P379" s="732"/>
    </row>
    <row r="380" spans="1:16" ht="29.4" thickBot="1" x14ac:dyDescent="0.35">
      <c r="A380" s="738" t="s">
        <v>2143</v>
      </c>
      <c r="B380" s="741">
        <f>'[1]PLAN DE DESARROLLO 2024 - 2027'!$K$4</f>
        <v>0.29293663727866731</v>
      </c>
      <c r="C380" s="738" t="s">
        <v>2145</v>
      </c>
      <c r="D380" s="741">
        <f>'[1]PLAN DE DESARROLLO 2024 - 2027'!$K$34</f>
        <v>0.2143569997651622</v>
      </c>
      <c r="E380" s="738" t="s">
        <v>1621</v>
      </c>
      <c r="F380" s="741">
        <f>'[1]PLAN DE DESARROLLO 2024 - 2027'!$K$38</f>
        <v>0</v>
      </c>
      <c r="G380" s="738" t="s">
        <v>314</v>
      </c>
      <c r="H380" s="738" t="s">
        <v>315</v>
      </c>
      <c r="I380" s="770">
        <f>+'Seguridad Humana'!AK185</f>
        <v>2.5000000000000001E-2</v>
      </c>
      <c r="J380" s="738" t="s">
        <v>297</v>
      </c>
      <c r="K380" s="742" t="s">
        <v>1996</v>
      </c>
      <c r="P380" s="732"/>
    </row>
    <row r="381" spans="1:16" ht="29.4" thickBot="1" x14ac:dyDescent="0.35">
      <c r="A381" s="738" t="s">
        <v>2143</v>
      </c>
      <c r="B381" s="741">
        <f>'[1]PLAN DE DESARROLLO 2024 - 2027'!$K$4</f>
        <v>0.29293663727866731</v>
      </c>
      <c r="C381" s="738" t="s">
        <v>2146</v>
      </c>
      <c r="D381" s="741">
        <f>'[1]PLAN DE DESARROLLO 2024 - 2027'!$K$11</f>
        <v>0.31811397569444444</v>
      </c>
      <c r="E381" s="738" t="s">
        <v>1603</v>
      </c>
      <c r="F381" s="741">
        <f>'[1]PLAN DE DESARROLLO 2024 - 2027'!$K$17</f>
        <v>0.24445833333333333</v>
      </c>
      <c r="G381" s="738" t="s">
        <v>101</v>
      </c>
      <c r="H381" s="738" t="s">
        <v>2147</v>
      </c>
      <c r="I381" s="770">
        <f>+'Seguridad Humana'!AK60</f>
        <v>0.5625</v>
      </c>
      <c r="J381" s="738" t="s">
        <v>12</v>
      </c>
      <c r="K381" s="742" t="s">
        <v>1996</v>
      </c>
      <c r="P381" s="732"/>
    </row>
    <row r="382" spans="1:16" ht="29.4" thickBot="1" x14ac:dyDescent="0.35">
      <c r="A382" s="738" t="s">
        <v>2143</v>
      </c>
      <c r="B382" s="741">
        <f>'[1]PLAN DE DESARROLLO 2024 - 2027'!$K$4</f>
        <v>0.29293663727866731</v>
      </c>
      <c r="C382" s="738" t="s">
        <v>2146</v>
      </c>
      <c r="D382" s="741">
        <f>'[1]PLAN DE DESARROLLO 2024 - 2027'!$K$11</f>
        <v>0.31811397569444444</v>
      </c>
      <c r="E382" s="738" t="s">
        <v>1603</v>
      </c>
      <c r="F382" s="741">
        <f>'[1]PLAN DE DESARROLLO 2024 - 2027'!$K$17</f>
        <v>0.24445833333333333</v>
      </c>
      <c r="G382" s="738" t="s">
        <v>103</v>
      </c>
      <c r="H382" s="738" t="s">
        <v>2148</v>
      </c>
      <c r="I382" s="770">
        <f>+'Seguridad Humana'!AK61</f>
        <v>0.5</v>
      </c>
      <c r="J382" s="738" t="s">
        <v>12</v>
      </c>
      <c r="K382" s="742" t="s">
        <v>1996</v>
      </c>
      <c r="P382" s="732"/>
    </row>
    <row r="383" spans="1:16" s="766" customFormat="1" ht="43.8" thickBot="1" x14ac:dyDescent="0.35">
      <c r="A383" s="756" t="s">
        <v>2143</v>
      </c>
      <c r="B383" s="764">
        <f>'[1]PLAN DE DESARROLLO 2024 - 2027'!$K$4</f>
        <v>0.29293663727866731</v>
      </c>
      <c r="C383" s="756" t="s">
        <v>2146</v>
      </c>
      <c r="D383" s="764">
        <f>'[1]PLAN DE DESARROLLO 2024 - 2027'!$K$11</f>
        <v>0.31811397569444444</v>
      </c>
      <c r="E383" s="756" t="s">
        <v>1603</v>
      </c>
      <c r="F383" s="764">
        <f>'[1]PLAN DE DESARROLLO 2024 - 2027'!$K$17</f>
        <v>0.24445833333333333</v>
      </c>
      <c r="G383" s="756" t="s">
        <v>105</v>
      </c>
      <c r="H383" s="756" t="s">
        <v>106</v>
      </c>
      <c r="I383" s="773">
        <f>+'Seguridad Humana'!AK62</f>
        <v>0.5</v>
      </c>
      <c r="J383" s="756" t="s">
        <v>12</v>
      </c>
      <c r="K383" s="765" t="s">
        <v>1996</v>
      </c>
    </row>
    <row r="384" spans="1:16" s="766" customFormat="1" ht="29.4" thickBot="1" x14ac:dyDescent="0.35">
      <c r="A384" s="756" t="s">
        <v>2143</v>
      </c>
      <c r="B384" s="764">
        <f>'[1]PLAN DE DESARROLLO 2024 - 2027'!$K$4</f>
        <v>0.29293663727866731</v>
      </c>
      <c r="C384" s="756" t="s">
        <v>2146</v>
      </c>
      <c r="D384" s="764">
        <f>'[1]PLAN DE DESARROLLO 2024 - 2027'!$K$11</f>
        <v>0.31811397569444444</v>
      </c>
      <c r="E384" s="756" t="s">
        <v>1603</v>
      </c>
      <c r="F384" s="764">
        <f>'[1]PLAN DE DESARROLLO 2024 - 2027'!$K$17</f>
        <v>0.24445833333333333</v>
      </c>
      <c r="G384" s="756" t="s">
        <v>107</v>
      </c>
      <c r="H384" s="756" t="s">
        <v>108</v>
      </c>
      <c r="I384" s="771">
        <f>+'Seguridad Humana'!AK63</f>
        <v>0</v>
      </c>
      <c r="J384" s="756" t="s">
        <v>12</v>
      </c>
      <c r="K384" s="765" t="s">
        <v>1996</v>
      </c>
    </row>
    <row r="385" spans="1:16" s="766" customFormat="1" ht="29.4" thickBot="1" x14ac:dyDescent="0.35">
      <c r="A385" s="756" t="s">
        <v>2143</v>
      </c>
      <c r="B385" s="764">
        <f>'[1]PLAN DE DESARROLLO 2024 - 2027'!$K$4</f>
        <v>0.29293663727866731</v>
      </c>
      <c r="C385" s="756" t="s">
        <v>2146</v>
      </c>
      <c r="D385" s="764">
        <f>'[1]PLAN DE DESARROLLO 2024 - 2027'!$K$11</f>
        <v>0.31811397569444444</v>
      </c>
      <c r="E385" s="756" t="s">
        <v>1603</v>
      </c>
      <c r="F385" s="764">
        <f>'[1]PLAN DE DESARROLLO 2024 - 2027'!$K$17</f>
        <v>0.24445833333333333</v>
      </c>
      <c r="G385" s="756" t="s">
        <v>109</v>
      </c>
      <c r="H385" s="756" t="s">
        <v>110</v>
      </c>
      <c r="I385" s="771">
        <f>+'Seguridad Humana'!AK64</f>
        <v>0</v>
      </c>
      <c r="J385" s="756" t="s">
        <v>12</v>
      </c>
      <c r="K385" s="765" t="s">
        <v>1996</v>
      </c>
    </row>
    <row r="386" spans="1:16" s="766" customFormat="1" ht="29.4" thickBot="1" x14ac:dyDescent="0.35">
      <c r="A386" s="756" t="s">
        <v>2143</v>
      </c>
      <c r="B386" s="764">
        <f>'[1]PLAN DE DESARROLLO 2024 - 2027'!$K$4</f>
        <v>0.29293663727866731</v>
      </c>
      <c r="C386" s="756" t="s">
        <v>2146</v>
      </c>
      <c r="D386" s="764">
        <f>'[1]PLAN DE DESARROLLO 2024 - 2027'!$K$11</f>
        <v>0.31811397569444444</v>
      </c>
      <c r="E386" s="756" t="s">
        <v>1603</v>
      </c>
      <c r="F386" s="764">
        <f>'[1]PLAN DE DESARROLLO 2024 - 2027'!$K$17</f>
        <v>0.24445833333333333</v>
      </c>
      <c r="G386" s="756" t="s">
        <v>111</v>
      </c>
      <c r="H386" s="756" t="s">
        <v>112</v>
      </c>
      <c r="I386" s="771">
        <f>+'Seguridad Humana'!AK65</f>
        <v>0</v>
      </c>
      <c r="J386" s="756" t="s">
        <v>12</v>
      </c>
      <c r="K386" s="765" t="s">
        <v>1996</v>
      </c>
    </row>
    <row r="387" spans="1:16" s="766" customFormat="1" ht="43.8" thickBot="1" x14ac:dyDescent="0.35">
      <c r="A387" s="756" t="s">
        <v>2143</v>
      </c>
      <c r="B387" s="764">
        <f>'[1]PLAN DE DESARROLLO 2024 - 2027'!$K$4</f>
        <v>0.29293663727866731</v>
      </c>
      <c r="C387" s="756" t="s">
        <v>2146</v>
      </c>
      <c r="D387" s="764">
        <f>'[1]PLAN DE DESARROLLO 2024 - 2027'!$K$11</f>
        <v>0.31811397569444444</v>
      </c>
      <c r="E387" s="756" t="s">
        <v>1603</v>
      </c>
      <c r="F387" s="764">
        <f>'[1]PLAN DE DESARROLLO 2024 - 2027'!$K$17</f>
        <v>0.24445833333333333</v>
      </c>
      <c r="G387" s="756" t="s">
        <v>113</v>
      </c>
      <c r="H387" s="756" t="s">
        <v>114</v>
      </c>
      <c r="I387" s="773">
        <f>+'Seguridad Humana'!AK66</f>
        <v>0.49875000000000003</v>
      </c>
      <c r="J387" s="756" t="s">
        <v>12</v>
      </c>
      <c r="K387" s="765" t="s">
        <v>1996</v>
      </c>
    </row>
    <row r="388" spans="1:16" s="766" customFormat="1" ht="29.4" thickBot="1" x14ac:dyDescent="0.35">
      <c r="A388" s="756" t="s">
        <v>2143</v>
      </c>
      <c r="B388" s="764">
        <f>'[1]PLAN DE DESARROLLO 2024 - 2027'!$K$4</f>
        <v>0.29293663727866731</v>
      </c>
      <c r="C388" s="756" t="s">
        <v>2146</v>
      </c>
      <c r="D388" s="764">
        <f>'[1]PLAN DE DESARROLLO 2024 - 2027'!$K$11</f>
        <v>0.31811397569444444</v>
      </c>
      <c r="E388" s="756" t="s">
        <v>1603</v>
      </c>
      <c r="F388" s="764">
        <f>'[1]PLAN DE DESARROLLO 2024 - 2027'!$K$17</f>
        <v>0.24445833333333333</v>
      </c>
      <c r="G388" s="756" t="s">
        <v>115</v>
      </c>
      <c r="H388" s="756" t="s">
        <v>116</v>
      </c>
      <c r="I388" s="773">
        <f>+'Seguridad Humana'!AK67</f>
        <v>0.49875000000000003</v>
      </c>
      <c r="J388" s="756" t="s">
        <v>12</v>
      </c>
      <c r="K388" s="765" t="s">
        <v>1996</v>
      </c>
    </row>
    <row r="389" spans="1:16" s="766" customFormat="1" ht="29.4" thickBot="1" x14ac:dyDescent="0.35">
      <c r="A389" s="756" t="s">
        <v>2143</v>
      </c>
      <c r="B389" s="764">
        <f>'[1]PLAN DE DESARROLLO 2024 - 2027'!$K$4</f>
        <v>0.29293663727866731</v>
      </c>
      <c r="C389" s="756" t="s">
        <v>2146</v>
      </c>
      <c r="D389" s="764">
        <f>'[1]PLAN DE DESARROLLO 2024 - 2027'!$K$11</f>
        <v>0.31811397569444444</v>
      </c>
      <c r="E389" s="756" t="s">
        <v>1603</v>
      </c>
      <c r="F389" s="764">
        <f>'[1]PLAN DE DESARROLLO 2024 - 2027'!$K$17</f>
        <v>0.24445833333333333</v>
      </c>
      <c r="G389" s="756" t="s">
        <v>117</v>
      </c>
      <c r="H389" s="756" t="s">
        <v>118</v>
      </c>
      <c r="I389" s="773">
        <f>+'Seguridad Humana'!AK68</f>
        <v>0.49875000000000003</v>
      </c>
      <c r="J389" s="756" t="s">
        <v>12</v>
      </c>
      <c r="K389" s="765" t="s">
        <v>1996</v>
      </c>
    </row>
    <row r="390" spans="1:16" s="766" customFormat="1" ht="29.4" thickBot="1" x14ac:dyDescent="0.35">
      <c r="A390" s="756" t="s">
        <v>2143</v>
      </c>
      <c r="B390" s="764">
        <f>'[1]PLAN DE DESARROLLO 2024 - 2027'!$K$4</f>
        <v>0.29293663727866731</v>
      </c>
      <c r="C390" s="756" t="s">
        <v>2146</v>
      </c>
      <c r="D390" s="764">
        <f>'[1]PLAN DE DESARROLLO 2024 - 2027'!$K$11</f>
        <v>0.31811397569444444</v>
      </c>
      <c r="E390" s="756" t="s">
        <v>1603</v>
      </c>
      <c r="F390" s="764">
        <f>'[1]PLAN DE DESARROLLO 2024 - 2027'!$K$17</f>
        <v>0.24445833333333333</v>
      </c>
      <c r="G390" s="756" t="s">
        <v>119</v>
      </c>
      <c r="H390" s="756" t="s">
        <v>120</v>
      </c>
      <c r="I390" s="773">
        <f>+'Seguridad Humana'!AK69</f>
        <v>0.25</v>
      </c>
      <c r="J390" s="756" t="s">
        <v>12</v>
      </c>
      <c r="K390" s="765" t="s">
        <v>1996</v>
      </c>
    </row>
    <row r="391" spans="1:16" s="766" customFormat="1" ht="29.4" thickBot="1" x14ac:dyDescent="0.35">
      <c r="A391" s="756" t="s">
        <v>2143</v>
      </c>
      <c r="B391" s="764">
        <f>'[1]PLAN DE DESARROLLO 2024 - 2027'!$K$4</f>
        <v>0.29293663727866731</v>
      </c>
      <c r="C391" s="756" t="s">
        <v>2146</v>
      </c>
      <c r="D391" s="764">
        <f>'[1]PLAN DE DESARROLLO 2024 - 2027'!$K$11</f>
        <v>0.31811397569444444</v>
      </c>
      <c r="E391" s="756" t="s">
        <v>1603</v>
      </c>
      <c r="F391" s="764">
        <f>'[1]PLAN DE DESARROLLO 2024 - 2027'!$K$17</f>
        <v>0.24445833333333333</v>
      </c>
      <c r="G391" s="756" t="s">
        <v>121</v>
      </c>
      <c r="H391" s="756" t="s">
        <v>122</v>
      </c>
      <c r="I391" s="773">
        <f>+'Seguridad Humana'!AK70</f>
        <v>0.5</v>
      </c>
      <c r="J391" s="756" t="s">
        <v>12</v>
      </c>
      <c r="K391" s="765" t="s">
        <v>1996</v>
      </c>
    </row>
    <row r="392" spans="1:16" s="766" customFormat="1" ht="29.4" thickBot="1" x14ac:dyDescent="0.35">
      <c r="A392" s="756" t="s">
        <v>2143</v>
      </c>
      <c r="B392" s="764">
        <f>'[1]PLAN DE DESARROLLO 2024 - 2027'!$K$4</f>
        <v>0.29293663727866731</v>
      </c>
      <c r="C392" s="756" t="s">
        <v>2146</v>
      </c>
      <c r="D392" s="764">
        <f>'[1]PLAN DE DESARROLLO 2024 - 2027'!$K$11</f>
        <v>0.31811397569444444</v>
      </c>
      <c r="E392" s="756" t="s">
        <v>1603</v>
      </c>
      <c r="F392" s="764">
        <f>'[1]PLAN DE DESARROLLO 2024 - 2027'!$K$17</f>
        <v>0.24445833333333333</v>
      </c>
      <c r="G392" s="756" t="s">
        <v>123</v>
      </c>
      <c r="H392" s="756" t="s">
        <v>124</v>
      </c>
      <c r="I392" s="773">
        <f>+'Seguridad Humana'!AK71</f>
        <v>0.25</v>
      </c>
      <c r="J392" s="756" t="s">
        <v>12</v>
      </c>
      <c r="K392" s="765" t="s">
        <v>1996</v>
      </c>
    </row>
    <row r="393" spans="1:16" s="766" customFormat="1" ht="43.8" thickBot="1" x14ac:dyDescent="0.35">
      <c r="A393" s="756" t="s">
        <v>2143</v>
      </c>
      <c r="B393" s="764">
        <f>'[1]PLAN DE DESARROLLO 2024 - 2027'!$K$4</f>
        <v>0.29293663727866731</v>
      </c>
      <c r="C393" s="756" t="s">
        <v>2146</v>
      </c>
      <c r="D393" s="764">
        <f>'[1]PLAN DE DESARROLLO 2024 - 2027'!$K$11</f>
        <v>0.31811397569444444</v>
      </c>
      <c r="E393" s="756" t="s">
        <v>1603</v>
      </c>
      <c r="F393" s="764">
        <f>'[1]PLAN DE DESARROLLO 2024 - 2027'!$K$17</f>
        <v>0.24445833333333333</v>
      </c>
      <c r="G393" s="756" t="s">
        <v>125</v>
      </c>
      <c r="H393" s="756" t="s">
        <v>126</v>
      </c>
      <c r="I393" s="771">
        <f>+'Seguridad Humana'!AK72</f>
        <v>0</v>
      </c>
      <c r="J393" s="756" t="s">
        <v>12</v>
      </c>
      <c r="K393" s="765" t="s">
        <v>1996</v>
      </c>
    </row>
    <row r="394" spans="1:16" s="766" customFormat="1" ht="43.8" thickBot="1" x14ac:dyDescent="0.35">
      <c r="A394" s="756" t="s">
        <v>2143</v>
      </c>
      <c r="B394" s="764">
        <f>'[1]PLAN DE DESARROLLO 2024 - 2027'!$K$4</f>
        <v>0.29293663727866731</v>
      </c>
      <c r="C394" s="756" t="s">
        <v>2146</v>
      </c>
      <c r="D394" s="764">
        <f>'[1]PLAN DE DESARROLLO 2024 - 2027'!$K$11</f>
        <v>0.31811397569444444</v>
      </c>
      <c r="E394" s="756" t="s">
        <v>1603</v>
      </c>
      <c r="F394" s="764">
        <f>'[1]PLAN DE DESARROLLO 2024 - 2027'!$K$17</f>
        <v>0.24445833333333333</v>
      </c>
      <c r="G394" s="756" t="s">
        <v>127</v>
      </c>
      <c r="H394" s="756" t="s">
        <v>128</v>
      </c>
      <c r="I394" s="773">
        <f>+'Seguridad Humana'!AK73</f>
        <v>0.625</v>
      </c>
      <c r="J394" s="756" t="s">
        <v>12</v>
      </c>
      <c r="K394" s="765" t="s">
        <v>1996</v>
      </c>
    </row>
    <row r="395" spans="1:16" s="766" customFormat="1" ht="29.4" thickBot="1" x14ac:dyDescent="0.35">
      <c r="A395" s="756" t="s">
        <v>2143</v>
      </c>
      <c r="B395" s="764">
        <f>'[1]PLAN DE DESARROLLO 2024 - 2027'!$K$4</f>
        <v>0.29293663727866731</v>
      </c>
      <c r="C395" s="756" t="s">
        <v>2146</v>
      </c>
      <c r="D395" s="764">
        <f>'[1]PLAN DE DESARROLLO 2024 - 2027'!$K$11</f>
        <v>0.31811397569444444</v>
      </c>
      <c r="E395" s="756" t="s">
        <v>1603</v>
      </c>
      <c r="F395" s="764">
        <f>'[1]PLAN DE DESARROLLO 2024 - 2027'!$K$17</f>
        <v>0.24445833333333333</v>
      </c>
      <c r="G395" s="756" t="s">
        <v>129</v>
      </c>
      <c r="H395" s="756" t="s">
        <v>130</v>
      </c>
      <c r="I395" s="771">
        <f>+'Seguridad Humana'!AK74</f>
        <v>0.5</v>
      </c>
      <c r="J395" s="756" t="s">
        <v>12</v>
      </c>
      <c r="K395" s="765" t="s">
        <v>1996</v>
      </c>
    </row>
    <row r="396" spans="1:16" s="766" customFormat="1" ht="29.4" thickBot="1" x14ac:dyDescent="0.35">
      <c r="A396" s="756" t="s">
        <v>2143</v>
      </c>
      <c r="B396" s="764">
        <f>'[1]PLAN DE DESARROLLO 2024 - 2027'!$K$4</f>
        <v>0.29293663727866731</v>
      </c>
      <c r="C396" s="756" t="s">
        <v>2146</v>
      </c>
      <c r="D396" s="764">
        <f>'[1]PLAN DE DESARROLLO 2024 - 2027'!$K$11</f>
        <v>0.31811397569444444</v>
      </c>
      <c r="E396" s="756" t="s">
        <v>1603</v>
      </c>
      <c r="F396" s="764">
        <f>'[1]PLAN DE DESARROLLO 2024 - 2027'!$K$17</f>
        <v>0.24445833333333333</v>
      </c>
      <c r="G396" s="756" t="s">
        <v>131</v>
      </c>
      <c r="H396" s="756" t="s">
        <v>132</v>
      </c>
      <c r="I396" s="771">
        <f>+'Seguridad Humana'!AK75</f>
        <v>0</v>
      </c>
      <c r="J396" s="756" t="s">
        <v>12</v>
      </c>
      <c r="K396" s="765" t="s">
        <v>1996</v>
      </c>
    </row>
    <row r="397" spans="1:16" s="766" customFormat="1" ht="29.4" thickBot="1" x14ac:dyDescent="0.35">
      <c r="A397" s="756" t="s">
        <v>2143</v>
      </c>
      <c r="B397" s="764">
        <f>'[1]PLAN DE DESARROLLO 2024 - 2027'!$K$4</f>
        <v>0.29293663727866731</v>
      </c>
      <c r="C397" s="756" t="s">
        <v>2146</v>
      </c>
      <c r="D397" s="764">
        <f>'[1]PLAN DE DESARROLLO 2024 - 2027'!$K$11</f>
        <v>0.31811397569444444</v>
      </c>
      <c r="E397" s="756" t="s">
        <v>1603</v>
      </c>
      <c r="F397" s="764">
        <f>'[1]PLAN DE DESARROLLO 2024 - 2027'!$K$17</f>
        <v>0.24445833333333333</v>
      </c>
      <c r="G397" s="756" t="s">
        <v>133</v>
      </c>
      <c r="H397" s="756" t="s">
        <v>134</v>
      </c>
      <c r="I397" s="771">
        <f>+'Seguridad Humana'!AK76</f>
        <v>1</v>
      </c>
      <c r="J397" s="756" t="s">
        <v>12</v>
      </c>
      <c r="K397" s="765" t="s">
        <v>1996</v>
      </c>
    </row>
    <row r="398" spans="1:16" ht="29.4" thickBot="1" x14ac:dyDescent="0.35">
      <c r="A398" s="738" t="s">
        <v>2143</v>
      </c>
      <c r="B398" s="741">
        <f>'[1]PLAN DE DESARROLLO 2024 - 2027'!$K$4</f>
        <v>0.29293663727866731</v>
      </c>
      <c r="C398" s="738" t="s">
        <v>2146</v>
      </c>
      <c r="D398" s="741">
        <f>'[1]PLAN DE DESARROLLO 2024 - 2027'!$K$11</f>
        <v>0.31811397569444444</v>
      </c>
      <c r="E398" s="738" t="s">
        <v>1604</v>
      </c>
      <c r="F398" s="741">
        <f>'[1]PLAN DE DESARROLLO 2024 - 2027'!$K$18</f>
        <v>0.31953124999999999</v>
      </c>
      <c r="G398" s="738" t="s">
        <v>135</v>
      </c>
      <c r="H398" s="738" t="s">
        <v>136</v>
      </c>
      <c r="I398" s="770">
        <f>+'Seguridad Humana'!AK78</f>
        <v>0.90625</v>
      </c>
      <c r="J398" s="738" t="s">
        <v>12</v>
      </c>
      <c r="K398" s="742" t="s">
        <v>1996</v>
      </c>
      <c r="P398" s="732"/>
    </row>
    <row r="399" spans="1:16" ht="29.4" thickBot="1" x14ac:dyDescent="0.35">
      <c r="A399" s="738" t="s">
        <v>2143</v>
      </c>
      <c r="B399" s="741">
        <f>'[1]PLAN DE DESARROLLO 2024 - 2027'!$K$4</f>
        <v>0.29293663727866731</v>
      </c>
      <c r="C399" s="738" t="s">
        <v>2146</v>
      </c>
      <c r="D399" s="741">
        <f>'[1]PLAN DE DESARROLLO 2024 - 2027'!$K$11</f>
        <v>0.31811397569444444</v>
      </c>
      <c r="E399" s="738" t="s">
        <v>1604</v>
      </c>
      <c r="F399" s="741">
        <f>'[1]PLAN DE DESARROLLO 2024 - 2027'!$K$18</f>
        <v>0.31953124999999999</v>
      </c>
      <c r="G399" s="738" t="s">
        <v>137</v>
      </c>
      <c r="H399" s="738" t="s">
        <v>138</v>
      </c>
      <c r="I399" s="770">
        <f>+'Seguridad Humana'!AK79</f>
        <v>0.56499999999999995</v>
      </c>
      <c r="J399" s="738" t="s">
        <v>12</v>
      </c>
      <c r="K399" s="742" t="s">
        <v>1996</v>
      </c>
      <c r="P399" s="732"/>
    </row>
    <row r="400" spans="1:16" ht="29.4" thickBot="1" x14ac:dyDescent="0.35">
      <c r="A400" s="738" t="s">
        <v>2143</v>
      </c>
      <c r="B400" s="741">
        <f>'[1]PLAN DE DESARROLLO 2024 - 2027'!$K$4</f>
        <v>0.29293663727866731</v>
      </c>
      <c r="C400" s="738" t="s">
        <v>2146</v>
      </c>
      <c r="D400" s="741">
        <f>'[1]PLAN DE DESARROLLO 2024 - 2027'!$K$11</f>
        <v>0.31811397569444444</v>
      </c>
      <c r="E400" s="738" t="s">
        <v>1604</v>
      </c>
      <c r="F400" s="741">
        <f>'[1]PLAN DE DESARROLLO 2024 - 2027'!$K$18</f>
        <v>0.31953124999999999</v>
      </c>
      <c r="G400" s="738" t="s">
        <v>139</v>
      </c>
      <c r="H400" s="738" t="s">
        <v>140</v>
      </c>
      <c r="I400" s="771">
        <f>+'Seguridad Humana'!AK80</f>
        <v>0.33333333333333331</v>
      </c>
      <c r="J400" s="738" t="s">
        <v>12</v>
      </c>
      <c r="K400" s="742" t="s">
        <v>1996</v>
      </c>
      <c r="P400" s="732"/>
    </row>
    <row r="401" spans="1:16" ht="29.4" thickBot="1" x14ac:dyDescent="0.35">
      <c r="A401" s="738" t="s">
        <v>2143</v>
      </c>
      <c r="B401" s="741">
        <f>'[1]PLAN DE DESARROLLO 2024 - 2027'!$K$4</f>
        <v>0.29293663727866731</v>
      </c>
      <c r="C401" s="738" t="s">
        <v>2146</v>
      </c>
      <c r="D401" s="741">
        <f>'[1]PLAN DE DESARROLLO 2024 - 2027'!$K$11</f>
        <v>0.31811397569444444</v>
      </c>
      <c r="E401" s="738" t="s">
        <v>1604</v>
      </c>
      <c r="F401" s="741">
        <f>'[1]PLAN DE DESARROLLO 2024 - 2027'!$K$18</f>
        <v>0.31953124999999999</v>
      </c>
      <c r="G401" s="738" t="s">
        <v>141</v>
      </c>
      <c r="H401" s="738" t="s">
        <v>142</v>
      </c>
      <c r="I401" s="771">
        <f>+'Seguridad Humana'!AK81</f>
        <v>1</v>
      </c>
      <c r="J401" s="738" t="s">
        <v>12</v>
      </c>
      <c r="K401" s="742" t="s">
        <v>1996</v>
      </c>
      <c r="P401" s="732"/>
    </row>
    <row r="402" spans="1:16" ht="43.8" thickBot="1" x14ac:dyDescent="0.35">
      <c r="A402" s="738" t="s">
        <v>2143</v>
      </c>
      <c r="B402" s="741">
        <f>'[1]PLAN DE DESARROLLO 2024 - 2027'!$K$4</f>
        <v>0.29293663727866731</v>
      </c>
      <c r="C402" s="738" t="s">
        <v>2146</v>
      </c>
      <c r="D402" s="741">
        <f>'[1]PLAN DE DESARROLLO 2024 - 2027'!$K$11</f>
        <v>0.31811397569444444</v>
      </c>
      <c r="E402" s="738" t="s">
        <v>1604</v>
      </c>
      <c r="F402" s="741">
        <f>'[1]PLAN DE DESARROLLO 2024 - 2027'!$K$18</f>
        <v>0.31953124999999999</v>
      </c>
      <c r="G402" s="738" t="s">
        <v>143</v>
      </c>
      <c r="H402" s="738" t="s">
        <v>144</v>
      </c>
      <c r="I402" s="770">
        <f>+'Seguridad Humana'!AK82</f>
        <v>0.75</v>
      </c>
      <c r="J402" s="738" t="s">
        <v>12</v>
      </c>
      <c r="K402" s="742" t="s">
        <v>1996</v>
      </c>
      <c r="P402" s="732"/>
    </row>
    <row r="403" spans="1:16" ht="29.4" thickBot="1" x14ac:dyDescent="0.35">
      <c r="A403" s="738" t="s">
        <v>2143</v>
      </c>
      <c r="B403" s="741">
        <f>'[1]PLAN DE DESARROLLO 2024 - 2027'!$K$4</f>
        <v>0.29293663727866731</v>
      </c>
      <c r="C403" s="738" t="s">
        <v>2146</v>
      </c>
      <c r="D403" s="741">
        <f>'[1]PLAN DE DESARROLLO 2024 - 2027'!$K$11</f>
        <v>0.31811397569444444</v>
      </c>
      <c r="E403" s="738" t="s">
        <v>1604</v>
      </c>
      <c r="F403" s="741">
        <f>'[1]PLAN DE DESARROLLO 2024 - 2027'!$K$18</f>
        <v>0.31953124999999999</v>
      </c>
      <c r="G403" s="738" t="s">
        <v>145</v>
      </c>
      <c r="H403" s="738" t="s">
        <v>146</v>
      </c>
      <c r="I403" s="770">
        <f>+'Seguridad Humana'!AK83</f>
        <v>0.49875000000000003</v>
      </c>
      <c r="J403" s="738" t="s">
        <v>12</v>
      </c>
      <c r="K403" s="742" t="s">
        <v>1996</v>
      </c>
      <c r="P403" s="732"/>
    </row>
    <row r="404" spans="1:16" ht="29.4" thickBot="1" x14ac:dyDescent="0.35">
      <c r="A404" s="738" t="s">
        <v>2143</v>
      </c>
      <c r="B404" s="741">
        <f>'[1]PLAN DE DESARROLLO 2024 - 2027'!$K$4</f>
        <v>0.29293663727866731</v>
      </c>
      <c r="C404" s="738" t="s">
        <v>2146</v>
      </c>
      <c r="D404" s="741">
        <f>'[1]PLAN DE DESARROLLO 2024 - 2027'!$K$11</f>
        <v>0.31811397569444444</v>
      </c>
      <c r="E404" s="738" t="s">
        <v>1604</v>
      </c>
      <c r="F404" s="741">
        <f>'[1]PLAN DE DESARROLLO 2024 - 2027'!$K$18</f>
        <v>0.31953124999999999</v>
      </c>
      <c r="G404" s="738" t="s">
        <v>147</v>
      </c>
      <c r="H404" s="738" t="s">
        <v>148</v>
      </c>
      <c r="I404" s="770">
        <f>+'Seguridad Humana'!AK84</f>
        <v>0.56499999999999995</v>
      </c>
      <c r="J404" s="738" t="s">
        <v>12</v>
      </c>
      <c r="K404" s="742" t="s">
        <v>1996</v>
      </c>
      <c r="P404" s="732"/>
    </row>
    <row r="405" spans="1:16" ht="43.8" thickBot="1" x14ac:dyDescent="0.35">
      <c r="A405" s="738" t="s">
        <v>2143</v>
      </c>
      <c r="B405" s="741">
        <f>'[1]PLAN DE DESARROLLO 2024 - 2027'!$K$4</f>
        <v>0.29293663727866731</v>
      </c>
      <c r="C405" s="738" t="s">
        <v>2146</v>
      </c>
      <c r="D405" s="741">
        <f>'[1]PLAN DE DESARROLLO 2024 - 2027'!$K$11</f>
        <v>0.31811397569444444</v>
      </c>
      <c r="E405" s="738" t="s">
        <v>1604</v>
      </c>
      <c r="F405" s="741">
        <f>'[1]PLAN DE DESARROLLO 2024 - 2027'!$K$18</f>
        <v>0.31953124999999999</v>
      </c>
      <c r="G405" s="738" t="s">
        <v>149</v>
      </c>
      <c r="H405" s="738" t="s">
        <v>150</v>
      </c>
      <c r="I405" s="771">
        <f>+'Seguridad Humana'!AK85</f>
        <v>0.69767441860465118</v>
      </c>
      <c r="J405" s="738" t="s">
        <v>12</v>
      </c>
      <c r="K405" s="742" t="s">
        <v>1996</v>
      </c>
      <c r="P405" s="732"/>
    </row>
    <row r="406" spans="1:16" ht="29.4" thickBot="1" x14ac:dyDescent="0.35">
      <c r="A406" s="738" t="s">
        <v>2143</v>
      </c>
      <c r="B406" s="741">
        <f>'[1]PLAN DE DESARROLLO 2024 - 2027'!$K$4</f>
        <v>0.29293663727866731</v>
      </c>
      <c r="C406" s="738" t="s">
        <v>2146</v>
      </c>
      <c r="D406" s="741">
        <f>'[1]PLAN DE DESARROLLO 2024 - 2027'!$K$11</f>
        <v>0.31811397569444444</v>
      </c>
      <c r="E406" s="738" t="s">
        <v>1604</v>
      </c>
      <c r="F406" s="741">
        <f>'[1]PLAN DE DESARROLLO 2024 - 2027'!$K$18</f>
        <v>0.31953124999999999</v>
      </c>
      <c r="G406" s="738" t="s">
        <v>151</v>
      </c>
      <c r="H406" s="738" t="s">
        <v>152</v>
      </c>
      <c r="I406" s="770">
        <f>+'Seguridad Humana'!AK86</f>
        <v>0.56499999999999995</v>
      </c>
      <c r="J406" s="738" t="s">
        <v>12</v>
      </c>
      <c r="K406" s="742" t="s">
        <v>1996</v>
      </c>
      <c r="P406" s="732"/>
    </row>
    <row r="407" spans="1:16" ht="43.8" thickBot="1" x14ac:dyDescent="0.35">
      <c r="A407" s="738" t="s">
        <v>2143</v>
      </c>
      <c r="B407" s="741">
        <f>'[1]PLAN DE DESARROLLO 2024 - 2027'!$K$4</f>
        <v>0.29293663727866731</v>
      </c>
      <c r="C407" s="738" t="s">
        <v>2146</v>
      </c>
      <c r="D407" s="741">
        <f>'[1]PLAN DE DESARROLLO 2024 - 2027'!$K$11</f>
        <v>0.31811397569444444</v>
      </c>
      <c r="E407" s="738" t="s">
        <v>1605</v>
      </c>
      <c r="F407" s="741">
        <f>'[1]PLAN DE DESARROLLO 2024 - 2027'!$K$19</f>
        <v>0.375</v>
      </c>
      <c r="G407" s="738" t="s">
        <v>153</v>
      </c>
      <c r="H407" s="738" t="s">
        <v>154</v>
      </c>
      <c r="I407" s="771">
        <f>+'Seguridad Humana'!AK88</f>
        <v>0</v>
      </c>
      <c r="J407" s="738" t="s">
        <v>12</v>
      </c>
      <c r="K407" s="742" t="s">
        <v>1996</v>
      </c>
      <c r="P407" s="732"/>
    </row>
    <row r="408" spans="1:16" ht="29.4" thickBot="1" x14ac:dyDescent="0.35">
      <c r="A408" s="738" t="s">
        <v>2143</v>
      </c>
      <c r="B408" s="741">
        <f>'[1]PLAN DE DESARROLLO 2024 - 2027'!$K$4</f>
        <v>0.29293663727866731</v>
      </c>
      <c r="C408" s="738" t="s">
        <v>2146</v>
      </c>
      <c r="D408" s="741">
        <f>'[1]PLAN DE DESARROLLO 2024 - 2027'!$K$11</f>
        <v>0.31811397569444444</v>
      </c>
      <c r="E408" s="738" t="s">
        <v>1605</v>
      </c>
      <c r="F408" s="741">
        <f>'[1]PLAN DE DESARROLLO 2024 - 2027'!$K$19</f>
        <v>0.375</v>
      </c>
      <c r="G408" s="738" t="s">
        <v>155</v>
      </c>
      <c r="H408" s="738" t="s">
        <v>156</v>
      </c>
      <c r="I408" s="770">
        <f>+'Seguridad Humana'!AK89</f>
        <v>0.63166666666666671</v>
      </c>
      <c r="J408" s="738" t="s">
        <v>12</v>
      </c>
      <c r="K408" s="742" t="s">
        <v>1996</v>
      </c>
      <c r="P408" s="732"/>
    </row>
    <row r="409" spans="1:16" ht="29.4" thickBot="1" x14ac:dyDescent="0.35">
      <c r="A409" s="738" t="s">
        <v>2143</v>
      </c>
      <c r="B409" s="741">
        <f>'[1]PLAN DE DESARROLLO 2024 - 2027'!$K$4</f>
        <v>0.29293663727866731</v>
      </c>
      <c r="C409" s="738" t="s">
        <v>2146</v>
      </c>
      <c r="D409" s="741">
        <f>'[1]PLAN DE DESARROLLO 2024 - 2027'!$K$11</f>
        <v>0.31811397569444444</v>
      </c>
      <c r="E409" s="738" t="s">
        <v>1605</v>
      </c>
      <c r="F409" s="741">
        <f>'[1]PLAN DE DESARROLLO 2024 - 2027'!$K$19</f>
        <v>0.375</v>
      </c>
      <c r="G409" s="738" t="s">
        <v>157</v>
      </c>
      <c r="H409" s="738" t="s">
        <v>158</v>
      </c>
      <c r="I409" s="770">
        <f>+'Seguridad Humana'!AK90</f>
        <v>0.25</v>
      </c>
      <c r="J409" s="738" t="s">
        <v>12</v>
      </c>
      <c r="K409" s="742" t="s">
        <v>1996</v>
      </c>
      <c r="P409" s="732"/>
    </row>
    <row r="410" spans="1:16" ht="43.8" thickBot="1" x14ac:dyDescent="0.35">
      <c r="A410" s="738" t="s">
        <v>2143</v>
      </c>
      <c r="B410" s="741">
        <f>'[1]PLAN DE DESARROLLO 2024 - 2027'!$K$4</f>
        <v>0.29293663727866731</v>
      </c>
      <c r="C410" s="738" t="s">
        <v>2149</v>
      </c>
      <c r="D410" s="741">
        <f>'[1]PLAN DE DESARROLLO 2024 - 2027'!$K$20</f>
        <v>0.23527151611744229</v>
      </c>
      <c r="E410" s="738" t="s">
        <v>2150</v>
      </c>
      <c r="F410" s="741">
        <f>'[1]PLAN DE DESARROLLO 2024 - 2027'!$K$21</f>
        <v>0.26717664873866304</v>
      </c>
      <c r="G410" s="738" t="s">
        <v>160</v>
      </c>
      <c r="H410" s="738" t="s">
        <v>161</v>
      </c>
      <c r="I410" s="770">
        <f>+'Seguridad Humana'!AK93</f>
        <v>0.57226015554296561</v>
      </c>
      <c r="J410" s="738" t="s">
        <v>162</v>
      </c>
      <c r="K410" s="742" t="s">
        <v>1996</v>
      </c>
      <c r="P410" s="732"/>
    </row>
    <row r="411" spans="1:16" ht="29.4" thickBot="1" x14ac:dyDescent="0.35">
      <c r="A411" s="738" t="s">
        <v>2143</v>
      </c>
      <c r="B411" s="741">
        <f>'[1]PLAN DE DESARROLLO 2024 - 2027'!$K$4</f>
        <v>0.29293663727866731</v>
      </c>
      <c r="C411" s="738" t="s">
        <v>2149</v>
      </c>
      <c r="D411" s="741">
        <f>'[1]PLAN DE DESARROLLO 2024 - 2027'!$K$20</f>
        <v>0.23527151611744229</v>
      </c>
      <c r="E411" s="738" t="s">
        <v>2150</v>
      </c>
      <c r="F411" s="741">
        <f>'[1]PLAN DE DESARROLLO 2024 - 2027'!$K$21</f>
        <v>0.26717664873866304</v>
      </c>
      <c r="G411" s="738" t="s">
        <v>163</v>
      </c>
      <c r="H411" s="738" t="s">
        <v>164</v>
      </c>
      <c r="I411" s="770">
        <f>+'Seguridad Humana'!AK94</f>
        <v>0.65595000000000003</v>
      </c>
      <c r="J411" s="738" t="s">
        <v>162</v>
      </c>
      <c r="K411" s="742" t="s">
        <v>1996</v>
      </c>
      <c r="P411" s="732"/>
    </row>
    <row r="412" spans="1:16" ht="29.4" thickBot="1" x14ac:dyDescent="0.35">
      <c r="A412" s="738" t="s">
        <v>2143</v>
      </c>
      <c r="B412" s="741">
        <f>'[1]PLAN DE DESARROLLO 2024 - 2027'!$K$4</f>
        <v>0.29293663727866731</v>
      </c>
      <c r="C412" s="738" t="s">
        <v>2149</v>
      </c>
      <c r="D412" s="741">
        <f>'[1]PLAN DE DESARROLLO 2024 - 2027'!$K$20</f>
        <v>0.23527151611744229</v>
      </c>
      <c r="E412" s="738" t="s">
        <v>2150</v>
      </c>
      <c r="F412" s="741">
        <f>'[1]PLAN DE DESARROLLO 2024 - 2027'!$K$21</f>
        <v>0.26717664873866304</v>
      </c>
      <c r="G412" s="738" t="s">
        <v>165</v>
      </c>
      <c r="H412" s="738" t="s">
        <v>166</v>
      </c>
      <c r="I412" s="770">
        <f>+'Seguridad Humana'!AK95</f>
        <v>0.56240000000000001</v>
      </c>
      <c r="J412" s="738" t="s">
        <v>162</v>
      </c>
      <c r="K412" s="742" t="s">
        <v>1996</v>
      </c>
      <c r="P412" s="732"/>
    </row>
    <row r="413" spans="1:16" ht="29.4" thickBot="1" x14ac:dyDescent="0.35">
      <c r="A413" s="738" t="s">
        <v>2143</v>
      </c>
      <c r="B413" s="741">
        <f>'[1]PLAN DE DESARROLLO 2024 - 2027'!$K$4</f>
        <v>0.29293663727866731</v>
      </c>
      <c r="C413" s="738" t="s">
        <v>2149</v>
      </c>
      <c r="D413" s="741">
        <f>'[1]PLAN DE DESARROLLO 2024 - 2027'!$K$20</f>
        <v>0.23527151611744229</v>
      </c>
      <c r="E413" s="738" t="s">
        <v>2150</v>
      </c>
      <c r="F413" s="741">
        <f>'[1]PLAN DE DESARROLLO 2024 - 2027'!$K$21</f>
        <v>0.26717664873866304</v>
      </c>
      <c r="G413" s="738" t="s">
        <v>167</v>
      </c>
      <c r="H413" s="738" t="s">
        <v>168</v>
      </c>
      <c r="I413" s="770">
        <f>+'Seguridad Humana'!AK96</f>
        <v>0.68951612903225801</v>
      </c>
      <c r="J413" s="738" t="s">
        <v>162</v>
      </c>
      <c r="K413" s="742" t="s">
        <v>1996</v>
      </c>
      <c r="P413" s="732"/>
    </row>
    <row r="414" spans="1:16" ht="58.2" thickBot="1" x14ac:dyDescent="0.35">
      <c r="A414" s="738" t="s">
        <v>2143</v>
      </c>
      <c r="B414" s="741">
        <f>'[1]PLAN DE DESARROLLO 2024 - 2027'!$K$4</f>
        <v>0.29293663727866731</v>
      </c>
      <c r="C414" s="738" t="s">
        <v>2149</v>
      </c>
      <c r="D414" s="741">
        <f>'[1]PLAN DE DESARROLLO 2024 - 2027'!$K$20</f>
        <v>0.23527151611744229</v>
      </c>
      <c r="E414" s="738" t="s">
        <v>2150</v>
      </c>
      <c r="F414" s="741">
        <f>'[1]PLAN DE DESARROLLO 2024 - 2027'!$K$21</f>
        <v>0.26717664873866304</v>
      </c>
      <c r="G414" s="738" t="s">
        <v>169</v>
      </c>
      <c r="H414" s="738" t="s">
        <v>170</v>
      </c>
      <c r="I414" s="770">
        <f>+'Seguridad Humana'!AK97</f>
        <v>0.51666666666666672</v>
      </c>
      <c r="J414" s="738" t="s">
        <v>162</v>
      </c>
      <c r="K414" s="742" t="s">
        <v>1996</v>
      </c>
      <c r="P414" s="732"/>
    </row>
    <row r="415" spans="1:16" ht="49.2" customHeight="1" thickBot="1" x14ac:dyDescent="0.35">
      <c r="A415" s="738" t="s">
        <v>2143</v>
      </c>
      <c r="B415" s="741">
        <f>'[1]PLAN DE DESARROLLO 2024 - 2027'!$K$4</f>
        <v>0.29293663727866731</v>
      </c>
      <c r="C415" s="738" t="s">
        <v>2149</v>
      </c>
      <c r="D415" s="741">
        <f>'[1]PLAN DE DESARROLLO 2024 - 2027'!$K$20</f>
        <v>0.23527151611744229</v>
      </c>
      <c r="E415" s="738" t="s">
        <v>2150</v>
      </c>
      <c r="F415" s="741">
        <f>'[1]PLAN DE DESARROLLO 2024 - 2027'!$K$21</f>
        <v>0.26717664873866304</v>
      </c>
      <c r="G415" s="738" t="s">
        <v>171</v>
      </c>
      <c r="H415" s="738" t="s">
        <v>172</v>
      </c>
      <c r="I415" s="770">
        <f>+'Seguridad Humana'!AK98</f>
        <v>0.1</v>
      </c>
      <c r="J415" s="738" t="s">
        <v>2151</v>
      </c>
      <c r="K415" s="742" t="s">
        <v>1996</v>
      </c>
      <c r="P415" s="732"/>
    </row>
    <row r="416" spans="1:16" ht="70.2" customHeight="1" thickBot="1" x14ac:dyDescent="0.35">
      <c r="A416" s="738" t="s">
        <v>2143</v>
      </c>
      <c r="B416" s="741">
        <f>'[1]PLAN DE DESARROLLO 2024 - 2027'!$K$4</f>
        <v>0.29293663727866731</v>
      </c>
      <c r="C416" s="738" t="s">
        <v>2149</v>
      </c>
      <c r="D416" s="741">
        <f>'[1]PLAN DE DESARROLLO 2024 - 2027'!$K$20</f>
        <v>0.23527151611744229</v>
      </c>
      <c r="E416" s="738" t="s">
        <v>2152</v>
      </c>
      <c r="F416" s="741">
        <f>'[1]PLAN DE DESARROLLO 2024 - 2027'!$K$22</f>
        <v>0.21388333333333334</v>
      </c>
      <c r="G416" s="738" t="s">
        <v>174</v>
      </c>
      <c r="H416" s="738" t="s">
        <v>175</v>
      </c>
      <c r="I416" s="770">
        <f>+'Seguridad Humana'!AK100</f>
        <v>0.4874</v>
      </c>
      <c r="J416" s="738" t="s">
        <v>162</v>
      </c>
      <c r="K416" s="742" t="s">
        <v>1996</v>
      </c>
      <c r="P416" s="732"/>
    </row>
    <row r="417" spans="1:16" ht="43.8" thickBot="1" x14ac:dyDescent="0.35">
      <c r="A417" s="738" t="s">
        <v>2143</v>
      </c>
      <c r="B417" s="741">
        <f>'[1]PLAN DE DESARROLLO 2024 - 2027'!$K$4</f>
        <v>0.29293663727866731</v>
      </c>
      <c r="C417" s="738" t="s">
        <v>2149</v>
      </c>
      <c r="D417" s="741">
        <f>'[1]PLAN DE DESARROLLO 2024 - 2027'!$K$20</f>
        <v>0.23527151611744229</v>
      </c>
      <c r="E417" s="738" t="s">
        <v>2152</v>
      </c>
      <c r="F417" s="741">
        <f>'[1]PLAN DE DESARROLLO 2024 - 2027'!$K$22</f>
        <v>0.21388333333333334</v>
      </c>
      <c r="G417" s="738" t="s">
        <v>2153</v>
      </c>
      <c r="H417" s="738" t="s">
        <v>177</v>
      </c>
      <c r="I417" s="770">
        <f>+'Seguridad Humana'!AK101</f>
        <v>0.58756666666666668</v>
      </c>
      <c r="J417" s="738" t="s">
        <v>162</v>
      </c>
      <c r="K417" s="742" t="s">
        <v>1996</v>
      </c>
      <c r="P417" s="732"/>
    </row>
    <row r="418" spans="1:16" ht="58.2" thickBot="1" x14ac:dyDescent="0.35">
      <c r="A418" s="738" t="s">
        <v>2143</v>
      </c>
      <c r="B418" s="741">
        <f>'[1]PLAN DE DESARROLLO 2024 - 2027'!$K$4</f>
        <v>0.29293663727866731</v>
      </c>
      <c r="C418" s="738" t="s">
        <v>2149</v>
      </c>
      <c r="D418" s="741">
        <f>'[1]PLAN DE DESARROLLO 2024 - 2027'!$K$20</f>
        <v>0.23527151611744229</v>
      </c>
      <c r="E418" s="738" t="s">
        <v>2154</v>
      </c>
      <c r="F418" s="741">
        <f>'[1]PLAN DE DESARROLLO 2024 - 2027'!$K$23</f>
        <v>0.15948275862068967</v>
      </c>
      <c r="G418" s="738" t="s">
        <v>2155</v>
      </c>
      <c r="H418" s="738" t="s">
        <v>179</v>
      </c>
      <c r="I418" s="770">
        <f>+'Seguridad Humana'!AK103</f>
        <v>0.55172413793103448</v>
      </c>
      <c r="J418" s="738" t="s">
        <v>162</v>
      </c>
      <c r="K418" s="742" t="s">
        <v>1996</v>
      </c>
      <c r="P418" s="732"/>
    </row>
    <row r="419" spans="1:16" ht="29.4" thickBot="1" x14ac:dyDescent="0.35">
      <c r="A419" s="738" t="s">
        <v>2143</v>
      </c>
      <c r="B419" s="741">
        <f>'[1]PLAN DE DESARROLLO 2024 - 2027'!$K$4</f>
        <v>0.29293663727866731</v>
      </c>
      <c r="C419" s="738" t="s">
        <v>2149</v>
      </c>
      <c r="D419" s="741">
        <f>'[1]PLAN DE DESARROLLO 2024 - 2027'!$K$20</f>
        <v>0.23527151611744229</v>
      </c>
      <c r="E419" s="738" t="s">
        <v>2154</v>
      </c>
      <c r="F419" s="741">
        <f>'[1]PLAN DE DESARROLLO 2024 - 2027'!$K$23</f>
        <v>0.15948275862068967</v>
      </c>
      <c r="G419" s="738" t="s">
        <v>180</v>
      </c>
      <c r="H419" s="738" t="s">
        <v>181</v>
      </c>
      <c r="I419" s="770">
        <f>+'Seguridad Humana'!AK104</f>
        <v>0.25</v>
      </c>
      <c r="J419" s="738" t="s">
        <v>162</v>
      </c>
      <c r="K419" s="742" t="s">
        <v>1996</v>
      </c>
      <c r="P419" s="732"/>
    </row>
    <row r="420" spans="1:16" ht="43.8" thickBot="1" x14ac:dyDescent="0.35">
      <c r="A420" s="738" t="s">
        <v>2143</v>
      </c>
      <c r="B420" s="741">
        <f>'[1]PLAN DE DESARROLLO 2024 - 2027'!$K$4</f>
        <v>0.29293663727866731</v>
      </c>
      <c r="C420" s="738" t="s">
        <v>2149</v>
      </c>
      <c r="D420" s="741">
        <f>'[1]PLAN DE DESARROLLO 2024 - 2027'!$K$20</f>
        <v>0.23527151611744229</v>
      </c>
      <c r="E420" s="738" t="s">
        <v>1629</v>
      </c>
      <c r="F420" s="741">
        <f>'[1]PLAN DE DESARROLLO 2024 - 2027'!$K$24</f>
        <v>0.26081483989452564</v>
      </c>
      <c r="G420" s="738" t="s">
        <v>182</v>
      </c>
      <c r="H420" s="738" t="s">
        <v>183</v>
      </c>
      <c r="I420" s="770">
        <f>+'Seguridad Humana'!AK106</f>
        <v>0.54500000000000004</v>
      </c>
      <c r="J420" s="738" t="s">
        <v>162</v>
      </c>
      <c r="K420" s="742" t="s">
        <v>1996</v>
      </c>
      <c r="P420" s="732"/>
    </row>
    <row r="421" spans="1:16" ht="29.4" thickBot="1" x14ac:dyDescent="0.35">
      <c r="A421" s="738" t="s">
        <v>2143</v>
      </c>
      <c r="B421" s="741">
        <f>'[1]PLAN DE DESARROLLO 2024 - 2027'!$K$4</f>
        <v>0.29293663727866731</v>
      </c>
      <c r="C421" s="738" t="s">
        <v>2149</v>
      </c>
      <c r="D421" s="741">
        <f>'[1]PLAN DE DESARROLLO 2024 - 2027'!$K$20</f>
        <v>0.23527151611744229</v>
      </c>
      <c r="E421" s="738" t="s">
        <v>1629</v>
      </c>
      <c r="F421" s="741">
        <f>'[1]PLAN DE DESARROLLO 2024 - 2027'!$K$24</f>
        <v>0.26081483989452564</v>
      </c>
      <c r="G421" s="738" t="s">
        <v>184</v>
      </c>
      <c r="H421" s="738" t="s">
        <v>185</v>
      </c>
      <c r="I421" s="770">
        <f>+'Seguridad Humana'!AK107</f>
        <v>0.53535714285714286</v>
      </c>
      <c r="J421" s="738" t="s">
        <v>162</v>
      </c>
      <c r="K421" s="742" t="s">
        <v>1996</v>
      </c>
      <c r="P421" s="732"/>
    </row>
    <row r="422" spans="1:16" ht="43.8" thickBot="1" x14ac:dyDescent="0.35">
      <c r="A422" s="738" t="s">
        <v>2143</v>
      </c>
      <c r="B422" s="741">
        <f>'[1]PLAN DE DESARROLLO 2024 - 2027'!$K$4</f>
        <v>0.29293663727866731</v>
      </c>
      <c r="C422" s="738" t="s">
        <v>2149</v>
      </c>
      <c r="D422" s="741">
        <f>'[1]PLAN DE DESARROLLO 2024 - 2027'!$K$20</f>
        <v>0.23527151611744229</v>
      </c>
      <c r="E422" s="738" t="s">
        <v>1629</v>
      </c>
      <c r="F422" s="741">
        <f>'[1]PLAN DE DESARROLLO 2024 - 2027'!$K$24</f>
        <v>0.26081483989452564</v>
      </c>
      <c r="G422" s="738" t="s">
        <v>186</v>
      </c>
      <c r="H422" s="738" t="s">
        <v>187</v>
      </c>
      <c r="I422" s="770">
        <f>+'Seguridad Humana'!AK108</f>
        <v>0.54785714285714282</v>
      </c>
      <c r="J422" s="738" t="s">
        <v>162</v>
      </c>
      <c r="K422" s="742" t="s">
        <v>1996</v>
      </c>
      <c r="P422" s="732"/>
    </row>
    <row r="423" spans="1:16" ht="43.8" thickBot="1" x14ac:dyDescent="0.35">
      <c r="A423" s="738" t="s">
        <v>2143</v>
      </c>
      <c r="B423" s="741">
        <f>'[1]PLAN DE DESARROLLO 2024 - 2027'!$K$4</f>
        <v>0.29293663727866731</v>
      </c>
      <c r="C423" s="738" t="s">
        <v>2149</v>
      </c>
      <c r="D423" s="741">
        <f>'[1]PLAN DE DESARROLLO 2024 - 2027'!$K$20</f>
        <v>0.23527151611744229</v>
      </c>
      <c r="E423" s="738" t="s">
        <v>1629</v>
      </c>
      <c r="F423" s="741">
        <f>'[1]PLAN DE DESARROLLO 2024 - 2027'!$K$24</f>
        <v>0.26081483989452564</v>
      </c>
      <c r="G423" s="738" t="s">
        <v>188</v>
      </c>
      <c r="H423" s="738" t="s">
        <v>189</v>
      </c>
      <c r="I423" s="770">
        <f>+'Seguridad Humana'!AK109</f>
        <v>0.79730263157894732</v>
      </c>
      <c r="J423" s="738" t="s">
        <v>162</v>
      </c>
      <c r="K423" s="742" t="s">
        <v>1996</v>
      </c>
      <c r="P423" s="732"/>
    </row>
    <row r="424" spans="1:16" ht="15" thickBot="1" x14ac:dyDescent="0.35">
      <c r="A424" s="738" t="s">
        <v>2143</v>
      </c>
      <c r="B424" s="741">
        <f>'[1]PLAN DE DESARROLLO 2024 - 2027'!$K$4</f>
        <v>0.29293663727866731</v>
      </c>
      <c r="C424" s="738" t="s">
        <v>2149</v>
      </c>
      <c r="D424" s="741">
        <f>'[1]PLAN DE DESARROLLO 2024 - 2027'!$K$20</f>
        <v>0.23527151611744229</v>
      </c>
      <c r="E424" s="738" t="s">
        <v>1629</v>
      </c>
      <c r="F424" s="741">
        <f>'[1]PLAN DE DESARROLLO 2024 - 2027'!$K$24</f>
        <v>0.26081483989452564</v>
      </c>
      <c r="G424" s="738" t="s">
        <v>2156</v>
      </c>
      <c r="H424" s="738" t="s">
        <v>191</v>
      </c>
      <c r="I424" s="770">
        <f>+'Seguridad Humana'!AK110</f>
        <v>0.32070833333333332</v>
      </c>
      <c r="J424" s="738" t="s">
        <v>162</v>
      </c>
      <c r="K424" s="742" t="s">
        <v>1996</v>
      </c>
      <c r="P424" s="732"/>
    </row>
    <row r="425" spans="1:16" ht="43.8" thickBot="1" x14ac:dyDescent="0.35">
      <c r="A425" s="738" t="s">
        <v>2143</v>
      </c>
      <c r="B425" s="741">
        <f>'[1]PLAN DE DESARROLLO 2024 - 2027'!$K$4</f>
        <v>0.29293663727866731</v>
      </c>
      <c r="C425" s="738" t="s">
        <v>2149</v>
      </c>
      <c r="D425" s="741">
        <f>'[1]PLAN DE DESARROLLO 2024 - 2027'!$K$20</f>
        <v>0.23527151611744229</v>
      </c>
      <c r="E425" s="738" t="s">
        <v>1629</v>
      </c>
      <c r="F425" s="741">
        <f>'[1]PLAN DE DESARROLLO 2024 - 2027'!$K$24</f>
        <v>0.26081483989452564</v>
      </c>
      <c r="G425" s="738" t="s">
        <v>192</v>
      </c>
      <c r="H425" s="738" t="s">
        <v>193</v>
      </c>
      <c r="I425" s="770">
        <f>+'Seguridad Humana'!AK111</f>
        <v>0.53308823529411764</v>
      </c>
      <c r="J425" s="738" t="s">
        <v>162</v>
      </c>
      <c r="K425" s="742" t="s">
        <v>1996</v>
      </c>
      <c r="P425" s="732"/>
    </row>
    <row r="426" spans="1:16" ht="58.2" thickBot="1" x14ac:dyDescent="0.35">
      <c r="A426" s="738" t="s">
        <v>2143</v>
      </c>
      <c r="B426" s="741">
        <f>'[1]PLAN DE DESARROLLO 2024 - 2027'!$K$4</f>
        <v>0.29293663727866731</v>
      </c>
      <c r="C426" s="738" t="s">
        <v>2149</v>
      </c>
      <c r="D426" s="741">
        <f>'[1]PLAN DE DESARROLLO 2024 - 2027'!$K$20</f>
        <v>0.23527151611744229</v>
      </c>
      <c r="E426" s="738" t="s">
        <v>1629</v>
      </c>
      <c r="F426" s="741">
        <f>'[1]PLAN DE DESARROLLO 2024 - 2027'!$K$24</f>
        <v>0.26081483989452564</v>
      </c>
      <c r="G426" s="738" t="s">
        <v>194</v>
      </c>
      <c r="H426" s="738" t="s">
        <v>195</v>
      </c>
      <c r="I426" s="770">
        <f>+'Seguridad Humana'!AK112</f>
        <v>0.53</v>
      </c>
      <c r="J426" s="738" t="s">
        <v>162</v>
      </c>
      <c r="K426" s="742" t="s">
        <v>1996</v>
      </c>
      <c r="P426" s="732"/>
    </row>
    <row r="427" spans="1:16" ht="43.8" thickBot="1" x14ac:dyDescent="0.35">
      <c r="A427" s="738" t="s">
        <v>2143</v>
      </c>
      <c r="B427" s="741">
        <f>'[1]PLAN DE DESARROLLO 2024 - 2027'!$K$4</f>
        <v>0.29293663727866731</v>
      </c>
      <c r="C427" s="738" t="s">
        <v>2149</v>
      </c>
      <c r="D427" s="741">
        <f>'[1]PLAN DE DESARROLLO 2024 - 2027'!$K$20</f>
        <v>0.23527151611744229</v>
      </c>
      <c r="E427" s="738" t="s">
        <v>1629</v>
      </c>
      <c r="F427" s="741">
        <f>'[1]PLAN DE DESARROLLO 2024 - 2027'!$K$24</f>
        <v>0.26081483989452564</v>
      </c>
      <c r="G427" s="738" t="s">
        <v>196</v>
      </c>
      <c r="H427" s="738" t="s">
        <v>197</v>
      </c>
      <c r="I427" s="770">
        <f>+'Seguridad Humana'!AK113</f>
        <v>0.41176470588235292</v>
      </c>
      <c r="J427" s="738" t="s">
        <v>162</v>
      </c>
      <c r="K427" s="742" t="s">
        <v>1996</v>
      </c>
      <c r="P427" s="732"/>
    </row>
    <row r="428" spans="1:16" ht="58.2" thickBot="1" x14ac:dyDescent="0.35">
      <c r="A428" s="738" t="s">
        <v>2143</v>
      </c>
      <c r="B428" s="741">
        <f>'[1]PLAN DE DESARROLLO 2024 - 2027'!$K$4</f>
        <v>0.29293663727866731</v>
      </c>
      <c r="C428" s="738" t="s">
        <v>2149</v>
      </c>
      <c r="D428" s="741">
        <f>'[1]PLAN DE DESARROLLO 2024 - 2027'!$K$20</f>
        <v>0.23527151611744229</v>
      </c>
      <c r="E428" s="738" t="s">
        <v>1629</v>
      </c>
      <c r="F428" s="741">
        <f>'[1]PLAN DE DESARROLLO 2024 - 2027'!$K$24</f>
        <v>0.26081483989452564</v>
      </c>
      <c r="G428" s="738" t="s">
        <v>198</v>
      </c>
      <c r="H428" s="738" t="s">
        <v>199</v>
      </c>
      <c r="I428" s="770">
        <f>+'Seguridad Humana'!AK114</f>
        <v>0.57499999999999996</v>
      </c>
      <c r="J428" s="738" t="s">
        <v>162</v>
      </c>
      <c r="K428" s="742" t="s">
        <v>1996</v>
      </c>
      <c r="P428" s="732"/>
    </row>
    <row r="429" spans="1:16" ht="29.4" thickBot="1" x14ac:dyDescent="0.35">
      <c r="A429" s="738" t="s">
        <v>2143</v>
      </c>
      <c r="B429" s="741">
        <f>'[1]PLAN DE DESARROLLO 2024 - 2027'!$K$4</f>
        <v>0.29293663727866731</v>
      </c>
      <c r="C429" s="738" t="s">
        <v>2149</v>
      </c>
      <c r="D429" s="741">
        <f>'[1]PLAN DE DESARROLLO 2024 - 2027'!$K$20</f>
        <v>0.23527151611744229</v>
      </c>
      <c r="E429" s="738" t="s">
        <v>1629</v>
      </c>
      <c r="F429" s="741">
        <f>'[1]PLAN DE DESARROLLO 2024 - 2027'!$K$24</f>
        <v>0.26081483989452564</v>
      </c>
      <c r="G429" s="738" t="s">
        <v>200</v>
      </c>
      <c r="H429" s="738" t="s">
        <v>201</v>
      </c>
      <c r="I429" s="770">
        <f>+'Seguridad Humana'!AK115</f>
        <v>0.54628571428571426</v>
      </c>
      <c r="J429" s="738" t="s">
        <v>162</v>
      </c>
      <c r="K429" s="742" t="s">
        <v>1996</v>
      </c>
      <c r="P429" s="732"/>
    </row>
    <row r="430" spans="1:16" ht="43.8" thickBot="1" x14ac:dyDescent="0.35">
      <c r="A430" s="738" t="s">
        <v>2143</v>
      </c>
      <c r="B430" s="741">
        <f>'[1]PLAN DE DESARROLLO 2024 - 2027'!$K$4</f>
        <v>0.29293663727866731</v>
      </c>
      <c r="C430" s="738" t="s">
        <v>2149</v>
      </c>
      <c r="D430" s="741">
        <f>'[1]PLAN DE DESARROLLO 2024 - 2027'!$K$20</f>
        <v>0.23527151611744229</v>
      </c>
      <c r="E430" s="738" t="s">
        <v>1629</v>
      </c>
      <c r="F430" s="741">
        <f>'[1]PLAN DE DESARROLLO 2024 - 2027'!$K$24</f>
        <v>0.26081483989452564</v>
      </c>
      <c r="G430" s="738" t="s">
        <v>202</v>
      </c>
      <c r="H430" s="738" t="s">
        <v>203</v>
      </c>
      <c r="I430" s="770">
        <f>+'Seguridad Humana'!AK116</f>
        <v>0.52910526315789475</v>
      </c>
      <c r="J430" s="738" t="s">
        <v>162</v>
      </c>
      <c r="K430" s="742" t="s">
        <v>1996</v>
      </c>
      <c r="P430" s="732"/>
    </row>
    <row r="431" spans="1:16" ht="58.2" thickBot="1" x14ac:dyDescent="0.35">
      <c r="A431" s="738" t="s">
        <v>2143</v>
      </c>
      <c r="B431" s="741">
        <f>'[1]PLAN DE DESARROLLO 2024 - 2027'!$K$4</f>
        <v>0.29293663727866731</v>
      </c>
      <c r="C431" s="738" t="s">
        <v>2149</v>
      </c>
      <c r="D431" s="741">
        <f>'[1]PLAN DE DESARROLLO 2024 - 2027'!$K$20</f>
        <v>0.23527151611744229</v>
      </c>
      <c r="E431" s="738" t="s">
        <v>1629</v>
      </c>
      <c r="F431" s="741">
        <f>'[1]PLAN DE DESARROLLO 2024 - 2027'!$K$24</f>
        <v>0.26081483989452564</v>
      </c>
      <c r="G431" s="738" t="s">
        <v>204</v>
      </c>
      <c r="H431" s="738" t="s">
        <v>205</v>
      </c>
      <c r="I431" s="770">
        <f>+'Seguridad Humana'!AK117</f>
        <v>0.54555555555555557</v>
      </c>
      <c r="J431" s="738" t="s">
        <v>162</v>
      </c>
      <c r="K431" s="742" t="s">
        <v>1996</v>
      </c>
      <c r="P431" s="732"/>
    </row>
    <row r="432" spans="1:16" ht="43.8" thickBot="1" x14ac:dyDescent="0.35">
      <c r="A432" s="738" t="s">
        <v>2143</v>
      </c>
      <c r="B432" s="741">
        <f>'[1]PLAN DE DESARROLLO 2024 - 2027'!$K$4</f>
        <v>0.29293663727866731</v>
      </c>
      <c r="C432" s="738" t="s">
        <v>2149</v>
      </c>
      <c r="D432" s="741">
        <f>'[1]PLAN DE DESARROLLO 2024 - 2027'!$K$20</f>
        <v>0.23527151611744229</v>
      </c>
      <c r="E432" s="738" t="s">
        <v>1629</v>
      </c>
      <c r="F432" s="741">
        <f>'[1]PLAN DE DESARROLLO 2024 - 2027'!$K$24</f>
        <v>0.26081483989452564</v>
      </c>
      <c r="G432" s="738" t="s">
        <v>206</v>
      </c>
      <c r="H432" s="738" t="s">
        <v>207</v>
      </c>
      <c r="I432" s="770">
        <f>+'Seguridad Humana'!AK118</f>
        <v>0.42562178967288455</v>
      </c>
      <c r="J432" s="738" t="s">
        <v>162</v>
      </c>
      <c r="K432" s="742" t="s">
        <v>1996</v>
      </c>
      <c r="P432" s="732"/>
    </row>
    <row r="433" spans="1:16" ht="29.4" thickBot="1" x14ac:dyDescent="0.35">
      <c r="A433" s="738" t="s">
        <v>2143</v>
      </c>
      <c r="B433" s="741">
        <f>'[1]PLAN DE DESARROLLO 2024 - 2027'!$K$4</f>
        <v>0.29293663727866731</v>
      </c>
      <c r="C433" s="738" t="s">
        <v>2149</v>
      </c>
      <c r="D433" s="741">
        <f>'[1]PLAN DE DESARROLLO 2024 - 2027'!$K$20</f>
        <v>0.23527151611744229</v>
      </c>
      <c r="E433" s="738" t="s">
        <v>1629</v>
      </c>
      <c r="F433" s="741">
        <f>'[1]PLAN DE DESARROLLO 2024 - 2027'!$K$24</f>
        <v>0.26081483989452564</v>
      </c>
      <c r="G433" s="738" t="s">
        <v>208</v>
      </c>
      <c r="H433" s="738" t="s">
        <v>209</v>
      </c>
      <c r="I433" s="770">
        <f>+'Seguridad Humana'!AK119</f>
        <v>0.5446428571428571</v>
      </c>
      <c r="J433" s="738" t="s">
        <v>162</v>
      </c>
      <c r="K433" s="742" t="s">
        <v>1996</v>
      </c>
      <c r="P433" s="732"/>
    </row>
    <row r="434" spans="1:16" ht="58.2" thickBot="1" x14ac:dyDescent="0.35">
      <c r="A434" s="738" t="s">
        <v>2143</v>
      </c>
      <c r="B434" s="741">
        <f>'[1]PLAN DE DESARROLLO 2024 - 2027'!$K$4</f>
        <v>0.29293663727866731</v>
      </c>
      <c r="C434" s="738" t="s">
        <v>2149</v>
      </c>
      <c r="D434" s="741">
        <f>'[1]PLAN DE DESARROLLO 2024 - 2027'!$K$20</f>
        <v>0.23527151611744229</v>
      </c>
      <c r="E434" s="738" t="s">
        <v>1629</v>
      </c>
      <c r="F434" s="741">
        <f>'[1]PLAN DE DESARROLLO 2024 - 2027'!$K$24</f>
        <v>0.26081483989452564</v>
      </c>
      <c r="G434" s="738" t="s">
        <v>210</v>
      </c>
      <c r="H434" s="738" t="s">
        <v>211</v>
      </c>
      <c r="I434" s="770">
        <f>+'Seguridad Humana'!AK120</f>
        <v>1</v>
      </c>
      <c r="J434" s="738" t="s">
        <v>162</v>
      </c>
      <c r="K434" s="742" t="s">
        <v>1996</v>
      </c>
      <c r="P434" s="732"/>
    </row>
    <row r="435" spans="1:16" ht="58.2" thickBot="1" x14ac:dyDescent="0.35">
      <c r="A435" s="738" t="s">
        <v>2143</v>
      </c>
      <c r="B435" s="741">
        <f>'[1]PLAN DE DESARROLLO 2024 - 2027'!$K$4</f>
        <v>0.29293663727866731</v>
      </c>
      <c r="C435" s="738" t="s">
        <v>2149</v>
      </c>
      <c r="D435" s="741">
        <f>'[1]PLAN DE DESARROLLO 2024 - 2027'!$K$20</f>
        <v>0.23527151611744229</v>
      </c>
      <c r="E435" s="738" t="s">
        <v>1629</v>
      </c>
      <c r="F435" s="741">
        <f>'[1]PLAN DE DESARROLLO 2024 - 2027'!$K$24</f>
        <v>0.26081483989452564</v>
      </c>
      <c r="G435" s="738" t="s">
        <v>212</v>
      </c>
      <c r="H435" s="738" t="s">
        <v>213</v>
      </c>
      <c r="I435" s="770">
        <f>+'Seguridad Humana'!AK121</f>
        <v>0.625</v>
      </c>
      <c r="J435" s="738" t="s">
        <v>162</v>
      </c>
      <c r="K435" s="742" t="s">
        <v>1996</v>
      </c>
      <c r="P435" s="732"/>
    </row>
    <row r="436" spans="1:16" ht="43.8" thickBot="1" x14ac:dyDescent="0.35">
      <c r="A436" s="738" t="s">
        <v>2143</v>
      </c>
      <c r="B436" s="741">
        <f>'[1]PLAN DE DESARROLLO 2024 - 2027'!$K$4</f>
        <v>0.29293663727866731</v>
      </c>
      <c r="C436" s="738" t="s">
        <v>2149</v>
      </c>
      <c r="D436" s="741">
        <f>'[1]PLAN DE DESARROLLO 2024 - 2027'!$K$20</f>
        <v>0.23527151611744229</v>
      </c>
      <c r="E436" s="738" t="s">
        <v>1629</v>
      </c>
      <c r="F436" s="741">
        <f>'[1]PLAN DE DESARROLLO 2024 - 2027'!$K$24</f>
        <v>0.26081483989452564</v>
      </c>
      <c r="G436" s="738" t="s">
        <v>2157</v>
      </c>
      <c r="H436" s="738" t="s">
        <v>2158</v>
      </c>
      <c r="I436" s="770">
        <f>+'Seguridad Humana'!AK122</f>
        <v>0.58666666666666667</v>
      </c>
      <c r="J436" s="738" t="s">
        <v>162</v>
      </c>
      <c r="K436" s="742" t="s">
        <v>1996</v>
      </c>
      <c r="P436" s="732"/>
    </row>
    <row r="437" spans="1:16" ht="43.8" thickBot="1" x14ac:dyDescent="0.35">
      <c r="A437" s="738" t="s">
        <v>2143</v>
      </c>
      <c r="B437" s="741">
        <f>'[1]PLAN DE DESARROLLO 2024 - 2027'!$K$4</f>
        <v>0.29293663727866731</v>
      </c>
      <c r="C437" s="738" t="s">
        <v>2149</v>
      </c>
      <c r="D437" s="741">
        <f>'[1]PLAN DE DESARROLLO 2024 - 2027'!$K$20</f>
        <v>0.23527151611744229</v>
      </c>
      <c r="E437" s="738" t="s">
        <v>1629</v>
      </c>
      <c r="F437" s="741">
        <f>'[1]PLAN DE DESARROLLO 2024 - 2027'!$K$24</f>
        <v>0.26081483989452564</v>
      </c>
      <c r="G437" s="738" t="s">
        <v>216</v>
      </c>
      <c r="H437" s="738" t="s">
        <v>217</v>
      </c>
      <c r="I437" s="770">
        <f>+'Seguridad Humana'!AK123</f>
        <v>0.62</v>
      </c>
      <c r="J437" s="738" t="s">
        <v>162</v>
      </c>
      <c r="K437" s="742" t="s">
        <v>1996</v>
      </c>
      <c r="P437" s="732"/>
    </row>
    <row r="438" spans="1:16" ht="43.8" thickBot="1" x14ac:dyDescent="0.35">
      <c r="A438" s="738" t="s">
        <v>2143</v>
      </c>
      <c r="B438" s="741">
        <f>'[1]PLAN DE DESARROLLO 2024 - 2027'!$K$4</f>
        <v>0.29293663727866731</v>
      </c>
      <c r="C438" s="738" t="s">
        <v>2149</v>
      </c>
      <c r="D438" s="741">
        <f>'[1]PLAN DE DESARROLLO 2024 - 2027'!$K$20</f>
        <v>0.23527151611744229</v>
      </c>
      <c r="E438" s="738" t="s">
        <v>1629</v>
      </c>
      <c r="F438" s="741">
        <f>'[1]PLAN DE DESARROLLO 2024 - 2027'!$K$24</f>
        <v>0.26081483989452564</v>
      </c>
      <c r="G438" s="738" t="s">
        <v>218</v>
      </c>
      <c r="H438" s="738" t="s">
        <v>219</v>
      </c>
      <c r="I438" s="770">
        <f>+'Seguridad Humana'!AK124</f>
        <v>0.58750000000000002</v>
      </c>
      <c r="J438" s="738" t="s">
        <v>162</v>
      </c>
      <c r="K438" s="742" t="s">
        <v>1996</v>
      </c>
      <c r="P438" s="732"/>
    </row>
    <row r="439" spans="1:16" ht="43.8" thickBot="1" x14ac:dyDescent="0.35">
      <c r="A439" s="738" t="s">
        <v>2143</v>
      </c>
      <c r="B439" s="741">
        <f>'[1]PLAN DE DESARROLLO 2024 - 2027'!$K$4</f>
        <v>0.29293663727866731</v>
      </c>
      <c r="C439" s="738" t="s">
        <v>2149</v>
      </c>
      <c r="D439" s="741">
        <f>'[1]PLAN DE DESARROLLO 2024 - 2027'!$K$20</f>
        <v>0.23527151611744229</v>
      </c>
      <c r="E439" s="738" t="s">
        <v>1630</v>
      </c>
      <c r="F439" s="741">
        <f>'[1]PLAN DE DESARROLLO 2024 - 2027'!$K$25</f>
        <v>0.27500000000000002</v>
      </c>
      <c r="G439" s="738" t="s">
        <v>220</v>
      </c>
      <c r="H439" s="738" t="s">
        <v>221</v>
      </c>
      <c r="I439" s="771">
        <f>+'Seguridad Humana'!AK126</f>
        <v>0</v>
      </c>
      <c r="J439" s="738" t="s">
        <v>516</v>
      </c>
      <c r="K439" s="742" t="s">
        <v>1996</v>
      </c>
      <c r="P439" s="732"/>
    </row>
    <row r="440" spans="1:16" ht="43.8" thickBot="1" x14ac:dyDescent="0.35">
      <c r="A440" s="738" t="s">
        <v>2143</v>
      </c>
      <c r="B440" s="741">
        <f>'[1]PLAN DE DESARROLLO 2024 - 2027'!$K$4</f>
        <v>0.29293663727866731</v>
      </c>
      <c r="C440" s="738" t="s">
        <v>2149</v>
      </c>
      <c r="D440" s="741">
        <f>'[1]PLAN DE DESARROLLO 2024 - 2027'!$K$20</f>
        <v>0.23527151611744229</v>
      </c>
      <c r="E440" s="738" t="s">
        <v>1630</v>
      </c>
      <c r="F440" s="741">
        <f>'[1]PLAN DE DESARROLLO 2024 - 2027'!$K$25</f>
        <v>0.27500000000000002</v>
      </c>
      <c r="G440" s="738" t="s">
        <v>223</v>
      </c>
      <c r="H440" s="738" t="s">
        <v>224</v>
      </c>
      <c r="I440" s="770">
        <f>+'Seguridad Humana'!AK127</f>
        <v>0.57499999999999996</v>
      </c>
      <c r="J440" s="738" t="s">
        <v>516</v>
      </c>
      <c r="K440" s="742" t="s">
        <v>1996</v>
      </c>
      <c r="P440" s="732"/>
    </row>
    <row r="441" spans="1:16" ht="29.4" thickBot="1" x14ac:dyDescent="0.35">
      <c r="A441" s="738" t="s">
        <v>2143</v>
      </c>
      <c r="B441" s="741">
        <f>'[1]PLAN DE DESARROLLO 2024 - 2027'!$K$4</f>
        <v>0.29293663727866731</v>
      </c>
      <c r="C441" s="738" t="s">
        <v>2149</v>
      </c>
      <c r="D441" s="741">
        <f>'[1]PLAN DE DESARROLLO 2024 - 2027'!$K$20</f>
        <v>0.23527151611744229</v>
      </c>
      <c r="E441" s="738" t="s">
        <v>1630</v>
      </c>
      <c r="F441" s="741">
        <f>'[1]PLAN DE DESARROLLO 2024 - 2027'!$K$25</f>
        <v>0.27500000000000002</v>
      </c>
      <c r="G441" s="738" t="s">
        <v>225</v>
      </c>
      <c r="H441" s="738" t="s">
        <v>226</v>
      </c>
      <c r="I441" s="771">
        <f>+'Seguridad Humana'!AK128</f>
        <v>0</v>
      </c>
      <c r="J441" s="738" t="s">
        <v>516</v>
      </c>
      <c r="K441" s="742" t="s">
        <v>1996</v>
      </c>
      <c r="P441" s="732"/>
    </row>
    <row r="442" spans="1:16" ht="29.4" thickBot="1" x14ac:dyDescent="0.35">
      <c r="A442" s="738" t="s">
        <v>2143</v>
      </c>
      <c r="B442" s="741">
        <f>'[1]PLAN DE DESARROLLO 2024 - 2027'!$K$4</f>
        <v>0.29293663727866731</v>
      </c>
      <c r="C442" s="738" t="s">
        <v>2149</v>
      </c>
      <c r="D442" s="741">
        <f>'[1]PLAN DE DESARROLLO 2024 - 2027'!$K$20</f>
        <v>0.23527151611744229</v>
      </c>
      <c r="E442" s="738" t="s">
        <v>1630</v>
      </c>
      <c r="F442" s="741">
        <f>'[1]PLAN DE DESARROLLO 2024 - 2027'!$K$25</f>
        <v>0.27500000000000002</v>
      </c>
      <c r="G442" s="738" t="s">
        <v>227</v>
      </c>
      <c r="H442" s="738" t="s">
        <v>228</v>
      </c>
      <c r="I442" s="770">
        <f>+'Seguridad Humana'!AK129</f>
        <v>0</v>
      </c>
      <c r="J442" s="738" t="s">
        <v>516</v>
      </c>
      <c r="K442" s="742" t="s">
        <v>1996</v>
      </c>
      <c r="P442" s="732"/>
    </row>
    <row r="443" spans="1:16" ht="29.4" thickBot="1" x14ac:dyDescent="0.35">
      <c r="A443" s="738" t="s">
        <v>2143</v>
      </c>
      <c r="B443" s="741">
        <f>'[1]PLAN DE DESARROLLO 2024 - 2027'!$K$4</f>
        <v>0.29293663727866731</v>
      </c>
      <c r="C443" s="738" t="s">
        <v>2144</v>
      </c>
      <c r="D443" s="741">
        <f>'[1]PLAN DE DESARROLLO 2024 - 2027'!$K$26</f>
        <v>0.26520247826018756</v>
      </c>
      <c r="E443" s="738" t="s">
        <v>2159</v>
      </c>
      <c r="F443" s="741">
        <f>'[1]PLAN DE DESARROLLO 2024 - 2027'!$K$27</f>
        <v>0.30297379192497215</v>
      </c>
      <c r="G443" s="738" t="s">
        <v>230</v>
      </c>
      <c r="H443" s="738" t="s">
        <v>231</v>
      </c>
      <c r="I443" s="770">
        <f>+'Seguridad Humana'!AK132</f>
        <v>0.56568907963757753</v>
      </c>
      <c r="J443" s="738" t="s">
        <v>58</v>
      </c>
      <c r="K443" s="742" t="s">
        <v>1996</v>
      </c>
      <c r="P443" s="732"/>
    </row>
    <row r="444" spans="1:16" ht="29.4" thickBot="1" x14ac:dyDescent="0.35">
      <c r="A444" s="738" t="s">
        <v>2143</v>
      </c>
      <c r="B444" s="741">
        <f>'[1]PLAN DE DESARROLLO 2024 - 2027'!$K$4</f>
        <v>0.29293663727866731</v>
      </c>
      <c r="C444" s="738" t="s">
        <v>2144</v>
      </c>
      <c r="D444" s="741">
        <f>'[1]PLAN DE DESARROLLO 2024 - 2027'!$K$26</f>
        <v>0.26520247826018756</v>
      </c>
      <c r="E444" s="738" t="s">
        <v>2159</v>
      </c>
      <c r="F444" s="741">
        <f>'[1]PLAN DE DESARROLLO 2024 - 2027'!$K$27</f>
        <v>0.30297379192497215</v>
      </c>
      <c r="G444" s="738" t="s">
        <v>232</v>
      </c>
      <c r="H444" s="738" t="s">
        <v>233</v>
      </c>
      <c r="I444" s="770">
        <f>+'Seguridad Humana'!AK133</f>
        <v>0.69437599014258056</v>
      </c>
      <c r="J444" s="738" t="s">
        <v>58</v>
      </c>
      <c r="K444" s="742" t="s">
        <v>1996</v>
      </c>
      <c r="P444" s="732"/>
    </row>
    <row r="445" spans="1:16" ht="29.4" thickBot="1" x14ac:dyDescent="0.35">
      <c r="A445" s="738" t="s">
        <v>2143</v>
      </c>
      <c r="B445" s="741">
        <f>'[1]PLAN DE DESARROLLO 2024 - 2027'!$K$4</f>
        <v>0.29293663727866731</v>
      </c>
      <c r="C445" s="738" t="s">
        <v>2144</v>
      </c>
      <c r="D445" s="741">
        <f>'[1]PLAN DE DESARROLLO 2024 - 2027'!$K$26</f>
        <v>0.26520247826018756</v>
      </c>
      <c r="E445" s="738" t="s">
        <v>2159</v>
      </c>
      <c r="F445" s="741">
        <f>'[1]PLAN DE DESARROLLO 2024 - 2027'!$K$27</f>
        <v>0.30297379192497215</v>
      </c>
      <c r="G445" s="738" t="s">
        <v>234</v>
      </c>
      <c r="H445" s="738" t="s">
        <v>235</v>
      </c>
      <c r="I445" s="770">
        <f>+'Seguridad Humana'!AK134</f>
        <v>0.69166666666666665</v>
      </c>
      <c r="J445" s="738" t="s">
        <v>58</v>
      </c>
      <c r="K445" s="742" t="s">
        <v>1996</v>
      </c>
      <c r="P445" s="732"/>
    </row>
    <row r="446" spans="1:16" ht="29.4" thickBot="1" x14ac:dyDescent="0.35">
      <c r="A446" s="738" t="s">
        <v>2143</v>
      </c>
      <c r="B446" s="741">
        <f>'[1]PLAN DE DESARROLLO 2024 - 2027'!$K$4</f>
        <v>0.29293663727866731</v>
      </c>
      <c r="C446" s="738" t="s">
        <v>2144</v>
      </c>
      <c r="D446" s="741">
        <f>'[1]PLAN DE DESARROLLO 2024 - 2027'!$K$26</f>
        <v>0.26520247826018756</v>
      </c>
      <c r="E446" s="738" t="s">
        <v>2159</v>
      </c>
      <c r="F446" s="741">
        <f>'[1]PLAN DE DESARROLLO 2024 - 2027'!$K$27</f>
        <v>0.30297379192497215</v>
      </c>
      <c r="G446" s="738" t="s">
        <v>236</v>
      </c>
      <c r="H446" s="738" t="s">
        <v>237</v>
      </c>
      <c r="I446" s="770">
        <f>+'Seguridad Humana'!AK135</f>
        <v>0.5</v>
      </c>
      <c r="J446" s="738" t="s">
        <v>58</v>
      </c>
      <c r="K446" s="742" t="s">
        <v>1996</v>
      </c>
      <c r="P446" s="732"/>
    </row>
    <row r="447" spans="1:16" ht="29.4" thickBot="1" x14ac:dyDescent="0.35">
      <c r="A447" s="738" t="s">
        <v>2143</v>
      </c>
      <c r="B447" s="741">
        <f>'[1]PLAN DE DESARROLLO 2024 - 2027'!$K$4</f>
        <v>0.29293663727866731</v>
      </c>
      <c r="C447" s="738" t="s">
        <v>2144</v>
      </c>
      <c r="D447" s="741">
        <f>'[1]PLAN DE DESARROLLO 2024 - 2027'!$K$26</f>
        <v>0.26520247826018756</v>
      </c>
      <c r="E447" s="738" t="s">
        <v>2159</v>
      </c>
      <c r="F447" s="741">
        <f>'[1]PLAN DE DESARROLLO 2024 - 2027'!$K$27</f>
        <v>0.30297379192497215</v>
      </c>
      <c r="G447" s="738" t="s">
        <v>238</v>
      </c>
      <c r="H447" s="738" t="s">
        <v>239</v>
      </c>
      <c r="I447" s="771">
        <f>+'Seguridad Humana'!AK136</f>
        <v>0</v>
      </c>
      <c r="J447" s="738" t="s">
        <v>58</v>
      </c>
      <c r="K447" s="742" t="s">
        <v>1996</v>
      </c>
      <c r="P447" s="732"/>
    </row>
    <row r="448" spans="1:16" ht="29.4" thickBot="1" x14ac:dyDescent="0.35">
      <c r="A448" s="738" t="s">
        <v>2143</v>
      </c>
      <c r="B448" s="741">
        <f>'[1]PLAN DE DESARROLLO 2024 - 2027'!$K$4</f>
        <v>0.29293663727866731</v>
      </c>
      <c r="C448" s="738" t="s">
        <v>2144</v>
      </c>
      <c r="D448" s="741">
        <f>'[1]PLAN DE DESARROLLO 2024 - 2027'!$K$26</f>
        <v>0.26520247826018756</v>
      </c>
      <c r="E448" s="738" t="s">
        <v>2159</v>
      </c>
      <c r="F448" s="741">
        <f>'[1]PLAN DE DESARROLLO 2024 - 2027'!$K$27</f>
        <v>0.30297379192497215</v>
      </c>
      <c r="G448" s="738" t="s">
        <v>240</v>
      </c>
      <c r="H448" s="738" t="s">
        <v>241</v>
      </c>
      <c r="I448" s="770">
        <f>+'Seguridad Humana'!AK137</f>
        <v>0.7</v>
      </c>
      <c r="J448" s="738" t="s">
        <v>58</v>
      </c>
      <c r="K448" s="742" t="s">
        <v>1996</v>
      </c>
      <c r="P448" s="732"/>
    </row>
    <row r="449" spans="1:16" ht="29.4" thickBot="1" x14ac:dyDescent="0.35">
      <c r="A449" s="738" t="s">
        <v>2143</v>
      </c>
      <c r="B449" s="741">
        <f>'[1]PLAN DE DESARROLLO 2024 - 2027'!$K$4</f>
        <v>0.29293663727866731</v>
      </c>
      <c r="C449" s="738" t="s">
        <v>2144</v>
      </c>
      <c r="D449" s="741">
        <f>'[1]PLAN DE DESARROLLO 2024 - 2027'!$K$26</f>
        <v>0.26520247826018756</v>
      </c>
      <c r="E449" s="738" t="s">
        <v>2159</v>
      </c>
      <c r="F449" s="741">
        <f>'[1]PLAN DE DESARROLLO 2024 - 2027'!$K$27</f>
        <v>0.30297379192497215</v>
      </c>
      <c r="G449" s="738" t="s">
        <v>2160</v>
      </c>
      <c r="H449" s="738" t="s">
        <v>2161</v>
      </c>
      <c r="I449" s="771">
        <f>+'Seguridad Humana'!AK138</f>
        <v>1</v>
      </c>
      <c r="J449" s="738" t="s">
        <v>58</v>
      </c>
      <c r="K449" s="742" t="s">
        <v>1996</v>
      </c>
      <c r="P449" s="732"/>
    </row>
    <row r="450" spans="1:16" ht="29.4" thickBot="1" x14ac:dyDescent="0.35">
      <c r="A450" s="738" t="s">
        <v>2143</v>
      </c>
      <c r="B450" s="741">
        <f>'[1]PLAN DE DESARROLLO 2024 - 2027'!$K$4</f>
        <v>0.29293663727866731</v>
      </c>
      <c r="C450" s="738" t="s">
        <v>2144</v>
      </c>
      <c r="D450" s="741">
        <f>'[1]PLAN DE DESARROLLO 2024 - 2027'!$K$26</f>
        <v>0.26520247826018756</v>
      </c>
      <c r="E450" s="738" t="s">
        <v>2159</v>
      </c>
      <c r="F450" s="741">
        <f>'[1]PLAN DE DESARROLLO 2024 - 2027'!$K$27</f>
        <v>0.30297379192497215</v>
      </c>
      <c r="G450" s="738" t="s">
        <v>244</v>
      </c>
      <c r="H450" s="738" t="s">
        <v>245</v>
      </c>
      <c r="I450" s="770">
        <f>+'Seguridad Humana'!AK139</f>
        <v>1</v>
      </c>
      <c r="J450" s="738" t="s">
        <v>58</v>
      </c>
      <c r="K450" s="742" t="s">
        <v>1996</v>
      </c>
      <c r="P450" s="732"/>
    </row>
    <row r="451" spans="1:16" ht="43.8" thickBot="1" x14ac:dyDescent="0.35">
      <c r="A451" s="738" t="s">
        <v>2143</v>
      </c>
      <c r="B451" s="741">
        <f>'[1]PLAN DE DESARROLLO 2024 - 2027'!$K$4</f>
        <v>0.29293663727866731</v>
      </c>
      <c r="C451" s="738" t="s">
        <v>2144</v>
      </c>
      <c r="D451" s="741">
        <f>'[1]PLAN DE DESARROLLO 2024 - 2027'!$K$26</f>
        <v>0.26520247826018756</v>
      </c>
      <c r="E451" s="738" t="s">
        <v>2162</v>
      </c>
      <c r="F451" s="741">
        <f>'[1]PLAN DE DESARROLLO 2024 - 2027'!$K$28</f>
        <v>0.13789107763615296</v>
      </c>
      <c r="G451" s="738" t="s">
        <v>246</v>
      </c>
      <c r="H451" s="738" t="s">
        <v>247</v>
      </c>
      <c r="I451" s="770">
        <f>+'Seguridad Humana'!AK141</f>
        <v>0.61558516801854002</v>
      </c>
      <c r="J451" s="738" t="s">
        <v>58</v>
      </c>
      <c r="K451" s="742" t="s">
        <v>1996</v>
      </c>
      <c r="P451" s="732"/>
    </row>
    <row r="452" spans="1:16" ht="43.8" thickBot="1" x14ac:dyDescent="0.35">
      <c r="A452" s="738" t="s">
        <v>2143</v>
      </c>
      <c r="B452" s="741">
        <f>'[1]PLAN DE DESARROLLO 2024 - 2027'!$K$4</f>
        <v>0.29293663727866731</v>
      </c>
      <c r="C452" s="738" t="s">
        <v>2144</v>
      </c>
      <c r="D452" s="741">
        <f>'[1]PLAN DE DESARROLLO 2024 - 2027'!$K$26</f>
        <v>0.26520247826018756</v>
      </c>
      <c r="E452" s="738" t="s">
        <v>2162</v>
      </c>
      <c r="F452" s="741">
        <f>'[1]PLAN DE DESARROLLO 2024 - 2027'!$K$28</f>
        <v>0.13789107763615296</v>
      </c>
      <c r="G452" s="738" t="s">
        <v>248</v>
      </c>
      <c r="H452" s="738" t="s">
        <v>2163</v>
      </c>
      <c r="I452" s="770">
        <f>+'Seguridad Humana'!AK142</f>
        <v>0.5</v>
      </c>
      <c r="J452" s="738" t="s">
        <v>58</v>
      </c>
      <c r="K452" s="742" t="s">
        <v>1996</v>
      </c>
      <c r="P452" s="732"/>
    </row>
    <row r="453" spans="1:16" ht="29.4" thickBot="1" x14ac:dyDescent="0.35">
      <c r="A453" s="738" t="s">
        <v>2143</v>
      </c>
      <c r="B453" s="741">
        <f>'[1]PLAN DE DESARROLLO 2024 - 2027'!$K$4</f>
        <v>0.29293663727866731</v>
      </c>
      <c r="C453" s="738" t="s">
        <v>2144</v>
      </c>
      <c r="D453" s="741">
        <f>'[1]PLAN DE DESARROLLO 2024 - 2027'!$K$26</f>
        <v>0.26520247826018756</v>
      </c>
      <c r="E453" s="738" t="s">
        <v>2164</v>
      </c>
      <c r="F453" s="741">
        <f>'[1]PLAN DE DESARROLLO 2024 - 2027'!$K$29</f>
        <v>0.20291666666666666</v>
      </c>
      <c r="G453" s="738" t="s">
        <v>250</v>
      </c>
      <c r="H453" s="738" t="s">
        <v>251</v>
      </c>
      <c r="I453" s="770">
        <f>+'Seguridad Humana'!AK144</f>
        <v>0.495</v>
      </c>
      <c r="J453" s="738" t="s">
        <v>58</v>
      </c>
      <c r="K453" s="742" t="s">
        <v>1996</v>
      </c>
      <c r="P453" s="732"/>
    </row>
    <row r="454" spans="1:16" ht="29.4" thickBot="1" x14ac:dyDescent="0.35">
      <c r="A454" s="738" t="s">
        <v>2143</v>
      </c>
      <c r="B454" s="741">
        <f>'[1]PLAN DE DESARROLLO 2024 - 2027'!$K$4</f>
        <v>0.29293663727866731</v>
      </c>
      <c r="C454" s="738" t="s">
        <v>2144</v>
      </c>
      <c r="D454" s="741">
        <f>'[1]PLAN DE DESARROLLO 2024 - 2027'!$K$26</f>
        <v>0.26520247826018756</v>
      </c>
      <c r="E454" s="738" t="s">
        <v>2164</v>
      </c>
      <c r="F454" s="741">
        <f>'[1]PLAN DE DESARROLLO 2024 - 2027'!$K$29</f>
        <v>0.20291666666666666</v>
      </c>
      <c r="G454" s="738" t="s">
        <v>252</v>
      </c>
      <c r="H454" s="738" t="s">
        <v>253</v>
      </c>
      <c r="I454" s="770">
        <f>+'Seguridad Humana'!AK145</f>
        <v>0.5</v>
      </c>
      <c r="J454" s="738" t="s">
        <v>58</v>
      </c>
      <c r="K454" s="742" t="s">
        <v>1996</v>
      </c>
      <c r="P454" s="732"/>
    </row>
    <row r="455" spans="1:16" ht="29.4" thickBot="1" x14ac:dyDescent="0.35">
      <c r="A455" s="738" t="s">
        <v>2143</v>
      </c>
      <c r="B455" s="741">
        <f>'[1]PLAN DE DESARROLLO 2024 - 2027'!$K$4</f>
        <v>0.29293663727866731</v>
      </c>
      <c r="C455" s="738" t="s">
        <v>2144</v>
      </c>
      <c r="D455" s="741">
        <f>'[1]PLAN DE DESARROLLO 2024 - 2027'!$K$26</f>
        <v>0.26520247826018756</v>
      </c>
      <c r="E455" s="738" t="s">
        <v>2164</v>
      </c>
      <c r="F455" s="741">
        <f>'[1]PLAN DE DESARROLLO 2024 - 2027'!$K$29</f>
        <v>0.20291666666666666</v>
      </c>
      <c r="G455" s="738" t="s">
        <v>254</v>
      </c>
      <c r="H455" s="738" t="s">
        <v>255</v>
      </c>
      <c r="I455" s="770">
        <f>+'Seguridad Humana'!AK146</f>
        <v>0.55000000000000004</v>
      </c>
      <c r="J455" s="738" t="s">
        <v>58</v>
      </c>
      <c r="K455" s="742" t="s">
        <v>1996</v>
      </c>
      <c r="P455" s="732"/>
    </row>
    <row r="456" spans="1:16" ht="29.4" thickBot="1" x14ac:dyDescent="0.35">
      <c r="A456" s="738" t="s">
        <v>2143</v>
      </c>
      <c r="B456" s="741">
        <f>'[1]PLAN DE DESARROLLO 2024 - 2027'!$K$4</f>
        <v>0.29293663727866731</v>
      </c>
      <c r="C456" s="738" t="s">
        <v>2144</v>
      </c>
      <c r="D456" s="741">
        <f>'[1]PLAN DE DESARROLLO 2024 - 2027'!$K$26</f>
        <v>0.26520247826018756</v>
      </c>
      <c r="E456" s="738" t="s">
        <v>2164</v>
      </c>
      <c r="F456" s="741">
        <f>'[1]PLAN DE DESARROLLO 2024 - 2027'!$K$29</f>
        <v>0.20291666666666666</v>
      </c>
      <c r="G456" s="738" t="s">
        <v>1561</v>
      </c>
      <c r="H456" s="738" t="s">
        <v>1562</v>
      </c>
      <c r="I456" s="770">
        <f>+'Seguridad Humana'!AK147</f>
        <v>0.48333333333333334</v>
      </c>
      <c r="J456" s="738" t="s">
        <v>58</v>
      </c>
      <c r="K456" s="742" t="s">
        <v>1996</v>
      </c>
      <c r="P456" s="732"/>
    </row>
    <row r="457" spans="1:16" ht="29.4" thickBot="1" x14ac:dyDescent="0.35">
      <c r="A457" s="738" t="s">
        <v>2143</v>
      </c>
      <c r="B457" s="741">
        <f>'[1]PLAN DE DESARROLLO 2024 - 2027'!$K$4</f>
        <v>0.29293663727866731</v>
      </c>
      <c r="C457" s="738" t="s">
        <v>2144</v>
      </c>
      <c r="D457" s="741">
        <f>'[1]PLAN DE DESARROLLO 2024 - 2027'!$K$26</f>
        <v>0.26520247826018756</v>
      </c>
      <c r="E457" s="738" t="s">
        <v>2165</v>
      </c>
      <c r="F457" s="741">
        <f>'[1]PLAN DE DESARROLLO 2024 - 2027'!$K$30</f>
        <v>0.44583333333333341</v>
      </c>
      <c r="G457" s="738" t="s">
        <v>256</v>
      </c>
      <c r="H457" s="738" t="s">
        <v>257</v>
      </c>
      <c r="I457" s="770">
        <f>+'Seguridad Humana'!AK149</f>
        <v>0.75</v>
      </c>
      <c r="J457" s="738" t="s">
        <v>58</v>
      </c>
      <c r="K457" s="742" t="s">
        <v>1996</v>
      </c>
      <c r="P457" s="732"/>
    </row>
    <row r="458" spans="1:16" ht="29.4" thickBot="1" x14ac:dyDescent="0.35">
      <c r="A458" s="738" t="s">
        <v>2143</v>
      </c>
      <c r="B458" s="741">
        <f>'[1]PLAN DE DESARROLLO 2024 - 2027'!$K$4</f>
        <v>0.29293663727866731</v>
      </c>
      <c r="C458" s="738" t="s">
        <v>2144</v>
      </c>
      <c r="D458" s="741">
        <f>'[1]PLAN DE DESARROLLO 2024 - 2027'!$K$26</f>
        <v>0.26520247826018756</v>
      </c>
      <c r="E458" s="738" t="s">
        <v>2165</v>
      </c>
      <c r="F458" s="741">
        <f>'[1]PLAN DE DESARROLLO 2024 - 2027'!$K$30</f>
        <v>0.44583333333333341</v>
      </c>
      <c r="G458" s="738" t="s">
        <v>258</v>
      </c>
      <c r="H458" s="738" t="s">
        <v>259</v>
      </c>
      <c r="I458" s="770">
        <f>+'Seguridad Humana'!AK150</f>
        <v>1</v>
      </c>
      <c r="J458" s="738" t="s">
        <v>58</v>
      </c>
      <c r="K458" s="742" t="s">
        <v>1996</v>
      </c>
      <c r="P458" s="732"/>
    </row>
    <row r="459" spans="1:16" ht="29.4" thickBot="1" x14ac:dyDescent="0.35">
      <c r="A459" s="738" t="s">
        <v>2143</v>
      </c>
      <c r="B459" s="741">
        <f>'[1]PLAN DE DESARROLLO 2024 - 2027'!$K$4</f>
        <v>0.29293663727866731</v>
      </c>
      <c r="C459" s="738" t="s">
        <v>2144</v>
      </c>
      <c r="D459" s="741">
        <f>'[1]PLAN DE DESARROLLO 2024 - 2027'!$K$26</f>
        <v>0.26520247826018756</v>
      </c>
      <c r="E459" s="738" t="s">
        <v>2165</v>
      </c>
      <c r="F459" s="741">
        <f>'[1]PLAN DE DESARROLLO 2024 - 2027'!$K$30</f>
        <v>0.44583333333333341</v>
      </c>
      <c r="G459" s="738" t="s">
        <v>260</v>
      </c>
      <c r="H459" s="738" t="s">
        <v>261</v>
      </c>
      <c r="I459" s="770">
        <f>+'Seguridad Humana'!AK151</f>
        <v>0.5625</v>
      </c>
      <c r="J459" s="738" t="s">
        <v>58</v>
      </c>
      <c r="K459" s="742" t="s">
        <v>1996</v>
      </c>
      <c r="P459" s="732"/>
    </row>
    <row r="460" spans="1:16" ht="29.4" thickBot="1" x14ac:dyDescent="0.35">
      <c r="A460" s="738" t="s">
        <v>2143</v>
      </c>
      <c r="B460" s="741">
        <f>'[1]PLAN DE DESARROLLO 2024 - 2027'!$K$4</f>
        <v>0.29293663727866731</v>
      </c>
      <c r="C460" s="738" t="s">
        <v>2144</v>
      </c>
      <c r="D460" s="741">
        <f>'[1]PLAN DE DESARROLLO 2024 - 2027'!$K$26</f>
        <v>0.26520247826018756</v>
      </c>
      <c r="E460" s="738" t="s">
        <v>2165</v>
      </c>
      <c r="F460" s="741">
        <f>'[1]PLAN DE DESARROLLO 2024 - 2027'!$K$30</f>
        <v>0.44583333333333341</v>
      </c>
      <c r="G460" s="738" t="s">
        <v>262</v>
      </c>
      <c r="H460" s="738" t="s">
        <v>263</v>
      </c>
      <c r="I460" s="770">
        <f>+'Seguridad Humana'!AK152</f>
        <v>0.2</v>
      </c>
      <c r="J460" s="738" t="s">
        <v>58</v>
      </c>
      <c r="K460" s="742" t="s">
        <v>1996</v>
      </c>
      <c r="P460" s="732"/>
    </row>
    <row r="461" spans="1:16" ht="39.6" customHeight="1" thickBot="1" x14ac:dyDescent="0.35">
      <c r="A461" s="738" t="s">
        <v>2143</v>
      </c>
      <c r="B461" s="741">
        <f>'[1]PLAN DE DESARROLLO 2024 - 2027'!$K$4</f>
        <v>0.29293663727866731</v>
      </c>
      <c r="C461" s="738" t="s">
        <v>2144</v>
      </c>
      <c r="D461" s="741">
        <f>'[1]PLAN DE DESARROLLO 2024 - 2027'!$K$26</f>
        <v>0.26520247826018756</v>
      </c>
      <c r="E461" s="738" t="s">
        <v>1615</v>
      </c>
      <c r="F461" s="741">
        <f>'[1]PLAN DE DESARROLLO 2024 - 2027'!$K$31</f>
        <v>0.25</v>
      </c>
      <c r="G461" s="738" t="s">
        <v>264</v>
      </c>
      <c r="H461" s="738" t="s">
        <v>265</v>
      </c>
      <c r="I461" s="770">
        <f>+'Seguridad Humana'!AK154</f>
        <v>0.75</v>
      </c>
      <c r="J461" s="738" t="s">
        <v>12</v>
      </c>
      <c r="K461" s="742" t="s">
        <v>1996</v>
      </c>
      <c r="P461" s="732"/>
    </row>
    <row r="462" spans="1:16" ht="29.4" thickBot="1" x14ac:dyDescent="0.35">
      <c r="A462" s="738" t="s">
        <v>2143</v>
      </c>
      <c r="B462" s="741">
        <f>'[1]PLAN DE DESARROLLO 2024 - 2027'!$K$4</f>
        <v>0.29293663727866731</v>
      </c>
      <c r="C462" s="738" t="s">
        <v>2144</v>
      </c>
      <c r="D462" s="741">
        <f>'[1]PLAN DE DESARROLLO 2024 - 2027'!$K$26</f>
        <v>0.26520247826018756</v>
      </c>
      <c r="E462" s="738" t="s">
        <v>1615</v>
      </c>
      <c r="F462" s="741">
        <f>'[1]PLAN DE DESARROLLO 2024 - 2027'!$K$31</f>
        <v>0.25</v>
      </c>
      <c r="G462" s="738" t="s">
        <v>266</v>
      </c>
      <c r="H462" s="738" t="s">
        <v>267</v>
      </c>
      <c r="I462" s="770">
        <f>+'Seguridad Humana'!AK155</f>
        <v>1</v>
      </c>
      <c r="J462" s="738" t="s">
        <v>12</v>
      </c>
      <c r="K462" s="742" t="s">
        <v>1996</v>
      </c>
      <c r="P462" s="732"/>
    </row>
    <row r="463" spans="1:16" ht="15" customHeight="1" thickBot="1" x14ac:dyDescent="0.35">
      <c r="A463" s="738" t="s">
        <v>2143</v>
      </c>
      <c r="B463" s="741">
        <f>'[1]PLAN DE DESARROLLO 2024 - 2027'!$K$4</f>
        <v>0.29293663727866731</v>
      </c>
      <c r="C463" s="738" t="s">
        <v>2144</v>
      </c>
      <c r="D463" s="741">
        <f>'[1]PLAN DE DESARROLLO 2024 - 2027'!$K$26</f>
        <v>0.26520247826018756</v>
      </c>
      <c r="E463" s="738" t="s">
        <v>1615</v>
      </c>
      <c r="F463" s="741">
        <f>'[1]PLAN DE DESARROLLO 2024 - 2027'!$K$31</f>
        <v>0.25</v>
      </c>
      <c r="G463" s="738" t="s">
        <v>268</v>
      </c>
      <c r="H463" s="738" t="s">
        <v>269</v>
      </c>
      <c r="I463" s="770">
        <f>+'Seguridad Humana'!AK156</f>
        <v>0.4250141482739106</v>
      </c>
      <c r="J463" s="738" t="s">
        <v>2166</v>
      </c>
      <c r="K463" s="742" t="s">
        <v>1996</v>
      </c>
      <c r="P463" s="732"/>
    </row>
    <row r="464" spans="1:16" ht="29.4" thickBot="1" x14ac:dyDescent="0.35">
      <c r="A464" s="738" t="s">
        <v>2143</v>
      </c>
      <c r="B464" s="741">
        <f>'[1]PLAN DE DESARROLLO 2024 - 2027'!$K$4</f>
        <v>0.29293663727866731</v>
      </c>
      <c r="C464" s="738" t="s">
        <v>2144</v>
      </c>
      <c r="D464" s="741">
        <f>'[1]PLAN DE DESARROLLO 2024 - 2027'!$K$26</f>
        <v>0.26520247826018756</v>
      </c>
      <c r="E464" s="738" t="s">
        <v>1615</v>
      </c>
      <c r="F464" s="741">
        <f>'[1]PLAN DE DESARROLLO 2024 - 2027'!$K$31</f>
        <v>0.25</v>
      </c>
      <c r="G464" s="738" t="s">
        <v>270</v>
      </c>
      <c r="H464" s="738" t="s">
        <v>271</v>
      </c>
      <c r="I464" s="770">
        <f>+'Seguridad Humana'!AK157</f>
        <v>0.74545454545454548</v>
      </c>
      <c r="J464" s="738" t="s">
        <v>12</v>
      </c>
      <c r="K464" s="742" t="s">
        <v>1996</v>
      </c>
      <c r="P464" s="732"/>
    </row>
    <row r="465" spans="1:16" ht="29.4" thickBot="1" x14ac:dyDescent="0.35">
      <c r="A465" s="738" t="s">
        <v>2143</v>
      </c>
      <c r="B465" s="741">
        <f>'[1]PLAN DE DESARROLLO 2024 - 2027'!$K$4</f>
        <v>0.29293663727866731</v>
      </c>
      <c r="C465" s="738" t="s">
        <v>2144</v>
      </c>
      <c r="D465" s="741">
        <f>'[1]PLAN DE DESARROLLO 2024 - 2027'!$K$26</f>
        <v>0.26520247826018756</v>
      </c>
      <c r="E465" s="738" t="s">
        <v>1615</v>
      </c>
      <c r="F465" s="741">
        <f>'[1]PLAN DE DESARROLLO 2024 - 2027'!$K$31</f>
        <v>0.25</v>
      </c>
      <c r="G465" s="738" t="s">
        <v>272</v>
      </c>
      <c r="H465" s="738" t="s">
        <v>273</v>
      </c>
      <c r="I465" s="770">
        <f>+'Seguridad Humana'!AK158</f>
        <v>0</v>
      </c>
      <c r="J465" s="738" t="s">
        <v>162</v>
      </c>
      <c r="K465" s="742" t="s">
        <v>1996</v>
      </c>
      <c r="P465" s="732"/>
    </row>
    <row r="466" spans="1:16" ht="29.4" thickBot="1" x14ac:dyDescent="0.35">
      <c r="A466" s="738" t="s">
        <v>2143</v>
      </c>
      <c r="B466" s="741">
        <f>'[1]PLAN DE DESARROLLO 2024 - 2027'!$K$4</f>
        <v>0.29293663727866731</v>
      </c>
      <c r="C466" s="738" t="s">
        <v>2144</v>
      </c>
      <c r="D466" s="741">
        <f>'[1]PLAN DE DESARROLLO 2024 - 2027'!$K$26</f>
        <v>0.26520247826018756</v>
      </c>
      <c r="E466" s="738" t="s">
        <v>1615</v>
      </c>
      <c r="F466" s="741">
        <f>'[1]PLAN DE DESARROLLO 2024 - 2027'!$K$31</f>
        <v>0.25</v>
      </c>
      <c r="G466" s="738" t="s">
        <v>274</v>
      </c>
      <c r="H466" s="738" t="s">
        <v>275</v>
      </c>
      <c r="I466" s="770">
        <f>+'Seguridad Humana'!AK159</f>
        <v>1</v>
      </c>
      <c r="J466" s="738" t="s">
        <v>516</v>
      </c>
      <c r="K466" s="742" t="s">
        <v>1996</v>
      </c>
      <c r="P466" s="732"/>
    </row>
    <row r="467" spans="1:16" ht="43.8" thickBot="1" x14ac:dyDescent="0.35">
      <c r="A467" s="738" t="s">
        <v>2143</v>
      </c>
      <c r="B467" s="741">
        <f>'[1]PLAN DE DESARROLLO 2024 - 2027'!$K$4</f>
        <v>0.29293663727866731</v>
      </c>
      <c r="C467" s="738" t="s">
        <v>2144</v>
      </c>
      <c r="D467" s="741">
        <f>'[1]PLAN DE DESARROLLO 2024 - 2027'!$K$26</f>
        <v>0.26520247826018756</v>
      </c>
      <c r="E467" s="738" t="s">
        <v>1616</v>
      </c>
      <c r="F467" s="741">
        <f>'[1]PLAN DE DESARROLLO 2024 - 2027'!$K$32</f>
        <v>0.25159999999999999</v>
      </c>
      <c r="G467" s="738" t="s">
        <v>276</v>
      </c>
      <c r="H467" s="738" t="s">
        <v>277</v>
      </c>
      <c r="I467" s="770">
        <f>+'Seguridad Humana'!AK161</f>
        <v>0.28399999999999997</v>
      </c>
      <c r="J467" s="738" t="s">
        <v>58</v>
      </c>
      <c r="K467" s="742" t="s">
        <v>1996</v>
      </c>
      <c r="P467" s="732"/>
    </row>
    <row r="468" spans="1:16" ht="43.8" thickBot="1" x14ac:dyDescent="0.35">
      <c r="A468" s="738" t="s">
        <v>2143</v>
      </c>
      <c r="B468" s="741">
        <f>'[1]PLAN DE DESARROLLO 2024 - 2027'!$K$4</f>
        <v>0.29293663727866731</v>
      </c>
      <c r="C468" s="738" t="s">
        <v>2144</v>
      </c>
      <c r="D468" s="741">
        <f>'[1]PLAN DE DESARROLLO 2024 - 2027'!$K$26</f>
        <v>0.26520247826018756</v>
      </c>
      <c r="E468" s="738" t="s">
        <v>1616</v>
      </c>
      <c r="F468" s="741">
        <f>'[1]PLAN DE DESARROLLO 2024 - 2027'!$K$32</f>
        <v>0.25159999999999999</v>
      </c>
      <c r="G468" s="738" t="s">
        <v>278</v>
      </c>
      <c r="H468" s="738" t="s">
        <v>279</v>
      </c>
      <c r="I468" s="770">
        <f>+'Seguridad Humana'!AK162</f>
        <v>0.4</v>
      </c>
      <c r="J468" s="738" t="s">
        <v>58</v>
      </c>
      <c r="K468" s="742" t="s">
        <v>1996</v>
      </c>
      <c r="P468" s="732"/>
    </row>
    <row r="469" spans="1:16" ht="29.4" thickBot="1" x14ac:dyDescent="0.35">
      <c r="A469" s="738" t="s">
        <v>2143</v>
      </c>
      <c r="B469" s="741">
        <f>'[1]PLAN DE DESARROLLO 2024 - 2027'!$K$4</f>
        <v>0.29293663727866731</v>
      </c>
      <c r="C469" s="738" t="s">
        <v>2144</v>
      </c>
      <c r="D469" s="741">
        <f>'[1]PLAN DE DESARROLLO 2024 - 2027'!$K$26</f>
        <v>0.26520247826018756</v>
      </c>
      <c r="E469" s="738" t="s">
        <v>1616</v>
      </c>
      <c r="F469" s="741">
        <f>'[1]PLAN DE DESARROLLO 2024 - 2027'!$K$32</f>
        <v>0.25159999999999999</v>
      </c>
      <c r="G469" s="738" t="s">
        <v>280</v>
      </c>
      <c r="H469" s="738" t="s">
        <v>281</v>
      </c>
      <c r="I469" s="770">
        <f>+'Seguridad Humana'!AK163</f>
        <v>1</v>
      </c>
      <c r="J469" s="738" t="s">
        <v>58</v>
      </c>
      <c r="K469" s="742" t="s">
        <v>1996</v>
      </c>
      <c r="P469" s="732"/>
    </row>
    <row r="470" spans="1:16" ht="58.2" thickBot="1" x14ac:dyDescent="0.35">
      <c r="A470" s="738" t="s">
        <v>2143</v>
      </c>
      <c r="B470" s="741">
        <f>'[1]PLAN DE DESARROLLO 2024 - 2027'!$K$4</f>
        <v>0.29293663727866731</v>
      </c>
      <c r="C470" s="738" t="s">
        <v>2144</v>
      </c>
      <c r="D470" s="741">
        <f>'[1]PLAN DE DESARROLLO 2024 - 2027'!$K$26</f>
        <v>0.26520247826018756</v>
      </c>
      <c r="E470" s="738" t="s">
        <v>1616</v>
      </c>
      <c r="F470" s="741">
        <f>'[1]PLAN DE DESARROLLO 2024 - 2027'!$K$32</f>
        <v>0.25159999999999999</v>
      </c>
      <c r="G470" s="738" t="s">
        <v>2167</v>
      </c>
      <c r="H470" s="738" t="s">
        <v>283</v>
      </c>
      <c r="I470" s="770">
        <f>+'Seguridad Humana'!AK164</f>
        <v>0.875</v>
      </c>
      <c r="J470" s="738" t="s">
        <v>58</v>
      </c>
      <c r="K470" s="742" t="s">
        <v>1996</v>
      </c>
      <c r="P470" s="732"/>
    </row>
    <row r="471" spans="1:16" ht="58.2" thickBot="1" x14ac:dyDescent="0.35">
      <c r="A471" s="738" t="s">
        <v>2143</v>
      </c>
      <c r="B471" s="741">
        <f>'[1]PLAN DE DESARROLLO 2024 - 2027'!$K$4</f>
        <v>0.29293663727866731</v>
      </c>
      <c r="C471" s="738" t="s">
        <v>2144</v>
      </c>
      <c r="D471" s="741">
        <f>'[1]PLAN DE DESARROLLO 2024 - 2027'!$K$26</f>
        <v>0.26520247826018756</v>
      </c>
      <c r="E471" s="738" t="s">
        <v>1616</v>
      </c>
      <c r="F471" s="741">
        <f>'[1]PLAN DE DESARROLLO 2024 - 2027'!$K$32</f>
        <v>0.25159999999999999</v>
      </c>
      <c r="G471" s="738" t="s">
        <v>284</v>
      </c>
      <c r="H471" s="738" t="s">
        <v>285</v>
      </c>
      <c r="I471" s="770">
        <f>+'Seguridad Humana'!AK165</f>
        <v>0.625</v>
      </c>
      <c r="J471" s="738" t="s">
        <v>58</v>
      </c>
      <c r="K471" s="742" t="s">
        <v>1996</v>
      </c>
      <c r="P471" s="732"/>
    </row>
    <row r="472" spans="1:16" ht="29.4" thickBot="1" x14ac:dyDescent="0.35">
      <c r="A472" s="738" t="s">
        <v>2143</v>
      </c>
      <c r="B472" s="741">
        <f>'[1]PLAN DE DESARROLLO 2024 - 2027'!$K$4</f>
        <v>0.29293663727866731</v>
      </c>
      <c r="C472" s="738" t="s">
        <v>2145</v>
      </c>
      <c r="D472" s="741">
        <f>'[1]PLAN DE DESARROLLO 2024 - 2027'!$K$34</f>
        <v>0.2143569997651622</v>
      </c>
      <c r="E472" s="738" t="s">
        <v>2168</v>
      </c>
      <c r="F472" s="741">
        <f>'[1]PLAN DE DESARROLLO 2024 - 2027'!$K$35</f>
        <v>0.21968750000000001</v>
      </c>
      <c r="G472" s="738" t="s">
        <v>295</v>
      </c>
      <c r="H472" s="738" t="s">
        <v>296</v>
      </c>
      <c r="I472" s="770">
        <f>+'Seguridad Humana'!AK173</f>
        <v>0.353875</v>
      </c>
      <c r="J472" s="738" t="s">
        <v>297</v>
      </c>
      <c r="K472" s="742" t="s">
        <v>1996</v>
      </c>
      <c r="P472" s="732"/>
    </row>
    <row r="473" spans="1:16" ht="29.4" thickBot="1" x14ac:dyDescent="0.35">
      <c r="A473" s="738" t="s">
        <v>2143</v>
      </c>
      <c r="B473" s="741">
        <f>'[1]PLAN DE DESARROLLO 2024 - 2027'!$K$4</f>
        <v>0.29293663727866731</v>
      </c>
      <c r="C473" s="738" t="s">
        <v>2145</v>
      </c>
      <c r="D473" s="741">
        <f>'[1]PLAN DE DESARROLLO 2024 - 2027'!$K$34</f>
        <v>0.2143569997651622</v>
      </c>
      <c r="E473" s="738" t="s">
        <v>2168</v>
      </c>
      <c r="F473" s="741">
        <f>'[1]PLAN DE DESARROLLO 2024 - 2027'!$K$35</f>
        <v>0.21968750000000001</v>
      </c>
      <c r="G473" s="738" t="s">
        <v>298</v>
      </c>
      <c r="H473" s="738" t="s">
        <v>299</v>
      </c>
      <c r="I473" s="771">
        <f>+'Seguridad Humana'!AK174</f>
        <v>0.375</v>
      </c>
      <c r="J473" s="738" t="s">
        <v>297</v>
      </c>
      <c r="K473" s="742" t="s">
        <v>1996</v>
      </c>
      <c r="P473" s="732"/>
    </row>
    <row r="474" spans="1:16" ht="43.8" thickBot="1" x14ac:dyDescent="0.35">
      <c r="A474" s="738" t="s">
        <v>2143</v>
      </c>
      <c r="B474" s="741">
        <f>'[1]PLAN DE DESARROLLO 2024 - 2027'!$K$4</f>
        <v>0.29293663727866731</v>
      </c>
      <c r="C474" s="738" t="s">
        <v>2145</v>
      </c>
      <c r="D474" s="741">
        <f>'[1]PLAN DE DESARROLLO 2024 - 2027'!$K$34</f>
        <v>0.2143569997651622</v>
      </c>
      <c r="E474" s="738" t="s">
        <v>2169</v>
      </c>
      <c r="F474" s="741">
        <f>'[1]PLAN DE DESARROLLO 2024 - 2027'!$K$36</f>
        <v>0.47095833333333337</v>
      </c>
      <c r="G474" s="738" t="s">
        <v>300</v>
      </c>
      <c r="H474" s="738" t="s">
        <v>301</v>
      </c>
      <c r="I474" s="770">
        <f>+'Seguridad Humana'!AK176</f>
        <v>0.76539999999999997</v>
      </c>
      <c r="J474" s="738" t="s">
        <v>297</v>
      </c>
      <c r="K474" s="742" t="s">
        <v>1996</v>
      </c>
      <c r="P474" s="732"/>
    </row>
    <row r="475" spans="1:16" ht="29.4" thickBot="1" x14ac:dyDescent="0.35">
      <c r="A475" s="738" t="s">
        <v>2143</v>
      </c>
      <c r="B475" s="741">
        <f>'[1]PLAN DE DESARROLLO 2024 - 2027'!$K$4</f>
        <v>0.29293663727866731</v>
      </c>
      <c r="C475" s="738" t="s">
        <v>2145</v>
      </c>
      <c r="D475" s="741">
        <f>'[1]PLAN DE DESARROLLO 2024 - 2027'!$K$34</f>
        <v>0.2143569997651622</v>
      </c>
      <c r="E475" s="738" t="s">
        <v>2169</v>
      </c>
      <c r="F475" s="741">
        <f>'[1]PLAN DE DESARROLLO 2024 - 2027'!$K$36</f>
        <v>0.47095833333333337</v>
      </c>
      <c r="G475" s="738" t="s">
        <v>302</v>
      </c>
      <c r="H475" s="738" t="s">
        <v>303</v>
      </c>
      <c r="I475" s="770">
        <f>+'Seguridad Humana'!AK177</f>
        <v>0.70983333333333332</v>
      </c>
      <c r="J475" s="738" t="s">
        <v>297</v>
      </c>
      <c r="K475" s="742" t="s">
        <v>1996</v>
      </c>
      <c r="P475" s="732"/>
    </row>
    <row r="476" spans="1:16" ht="29.4" thickBot="1" x14ac:dyDescent="0.35">
      <c r="A476" s="738" t="s">
        <v>2143</v>
      </c>
      <c r="B476" s="741">
        <f>'[1]PLAN DE DESARROLLO 2024 - 2027'!$K$4</f>
        <v>0.29293663727866731</v>
      </c>
      <c r="C476" s="738" t="s">
        <v>2145</v>
      </c>
      <c r="D476" s="741">
        <f>'[1]PLAN DE DESARROLLO 2024 - 2027'!$K$34</f>
        <v>0.2143569997651622</v>
      </c>
      <c r="E476" s="738" t="s">
        <v>2169</v>
      </c>
      <c r="F476" s="741">
        <f>'[1]PLAN DE DESARROLLO 2024 - 2027'!$K$36</f>
        <v>0.47095833333333337</v>
      </c>
      <c r="G476" s="738" t="s">
        <v>304</v>
      </c>
      <c r="H476" s="738" t="s">
        <v>305</v>
      </c>
      <c r="I476" s="771">
        <f>+'Seguridad Humana'!AK178</f>
        <v>1</v>
      </c>
      <c r="J476" s="738" t="s">
        <v>297</v>
      </c>
      <c r="K476" s="742" t="s">
        <v>1996</v>
      </c>
      <c r="P476" s="732"/>
    </row>
    <row r="477" spans="1:16" ht="29.4" thickBot="1" x14ac:dyDescent="0.35">
      <c r="A477" s="738" t="s">
        <v>2143</v>
      </c>
      <c r="B477" s="741">
        <f>'[1]PLAN DE DESARROLLO 2024 - 2027'!$K$4</f>
        <v>0.29293663727866731</v>
      </c>
      <c r="C477" s="738" t="s">
        <v>2145</v>
      </c>
      <c r="D477" s="741">
        <f>'[1]PLAN DE DESARROLLO 2024 - 2027'!$K$34</f>
        <v>0.2143569997651622</v>
      </c>
      <c r="E477" s="738" t="s">
        <v>1620</v>
      </c>
      <c r="F477" s="741">
        <f>'[1]PLAN DE DESARROLLO 2024 - 2027'!$K$37</f>
        <v>0.13305328807981076</v>
      </c>
      <c r="G477" s="738" t="s">
        <v>306</v>
      </c>
      <c r="H477" s="738" t="s">
        <v>307</v>
      </c>
      <c r="I477" s="770">
        <f>+'Seguridad Humana'!AK180</f>
        <v>0.41954643628509719</v>
      </c>
      <c r="J477" s="738" t="s">
        <v>297</v>
      </c>
      <c r="K477" s="742" t="s">
        <v>1996</v>
      </c>
      <c r="P477" s="732"/>
    </row>
    <row r="478" spans="1:16" ht="29.4" thickBot="1" x14ac:dyDescent="0.35">
      <c r="A478" s="738" t="s">
        <v>2143</v>
      </c>
      <c r="B478" s="741">
        <f>'[1]PLAN DE DESARROLLO 2024 - 2027'!$K$4</f>
        <v>0.29293663727866731</v>
      </c>
      <c r="C478" s="738" t="s">
        <v>2145</v>
      </c>
      <c r="D478" s="741">
        <f>'[1]PLAN DE DESARROLLO 2024 - 2027'!$K$34</f>
        <v>0.2143569997651622</v>
      </c>
      <c r="E478" s="738" t="s">
        <v>1620</v>
      </c>
      <c r="F478" s="741">
        <f>'[1]PLAN DE DESARROLLO 2024 - 2027'!$K$37</f>
        <v>0.13305328807981076</v>
      </c>
      <c r="G478" s="738" t="s">
        <v>308</v>
      </c>
      <c r="H478" s="738" t="s">
        <v>309</v>
      </c>
      <c r="I478" s="770">
        <f>+'Seguridad Humana'!AK181</f>
        <v>0.56621428571428567</v>
      </c>
      <c r="J478" s="738" t="s">
        <v>297</v>
      </c>
      <c r="K478" s="742" t="s">
        <v>1996</v>
      </c>
      <c r="P478" s="732"/>
    </row>
    <row r="479" spans="1:16" ht="29.4" thickBot="1" x14ac:dyDescent="0.35">
      <c r="A479" s="738" t="s">
        <v>2143</v>
      </c>
      <c r="B479" s="741">
        <f>'[1]PLAN DE DESARROLLO 2024 - 2027'!$K$4</f>
        <v>0.29293663727866731</v>
      </c>
      <c r="C479" s="738" t="s">
        <v>2145</v>
      </c>
      <c r="D479" s="741">
        <f>'[1]PLAN DE DESARROLLO 2024 - 2027'!$K$34</f>
        <v>0.2143569997651622</v>
      </c>
      <c r="E479" s="738" t="s">
        <v>1620</v>
      </c>
      <c r="F479" s="741">
        <f>'[1]PLAN DE DESARROLLO 2024 - 2027'!$K$37</f>
        <v>0.13305328807981076</v>
      </c>
      <c r="G479" s="738" t="s">
        <v>310</v>
      </c>
      <c r="H479" s="738" t="s">
        <v>2170</v>
      </c>
      <c r="I479" s="770">
        <f>+'Seguridad Humana'!AK182</f>
        <v>0.38607999999999998</v>
      </c>
      <c r="J479" s="738" t="s">
        <v>297</v>
      </c>
      <c r="K479" s="742" t="s">
        <v>1996</v>
      </c>
      <c r="P479" s="732"/>
    </row>
    <row r="480" spans="1:16" ht="29.4" thickBot="1" x14ac:dyDescent="0.35">
      <c r="A480" s="738" t="s">
        <v>2143</v>
      </c>
      <c r="B480" s="741">
        <f>'[1]PLAN DE DESARROLLO 2024 - 2027'!$K$4</f>
        <v>0.29293663727866731</v>
      </c>
      <c r="C480" s="738" t="s">
        <v>2145</v>
      </c>
      <c r="D480" s="741">
        <f>'[1]PLAN DE DESARROLLO 2024 - 2027'!$K$34</f>
        <v>0.2143569997651622</v>
      </c>
      <c r="E480" s="738" t="s">
        <v>1620</v>
      </c>
      <c r="F480" s="741">
        <f>'[1]PLAN DE DESARROLLO 2024 - 2027'!$K$37</f>
        <v>0.13305328807981076</v>
      </c>
      <c r="G480" s="738" t="s">
        <v>312</v>
      </c>
      <c r="H480" s="738" t="s">
        <v>313</v>
      </c>
      <c r="I480" s="770">
        <f>+'Seguridad Humana'!AK183</f>
        <v>0.76</v>
      </c>
      <c r="J480" s="738" t="s">
        <v>297</v>
      </c>
      <c r="K480" s="742" t="s">
        <v>1996</v>
      </c>
      <c r="P480" s="732"/>
    </row>
    <row r="481" spans="1:16" ht="29.4" thickBot="1" x14ac:dyDescent="0.35">
      <c r="A481" s="738" t="s">
        <v>2143</v>
      </c>
      <c r="B481" s="741">
        <f>'[1]PLAN DE DESARROLLO 2024 - 2027'!$K$4</f>
        <v>0.29293663727866731</v>
      </c>
      <c r="C481" s="738" t="s">
        <v>2145</v>
      </c>
      <c r="D481" s="741">
        <f>'[1]PLAN DE DESARROLLO 2024 - 2027'!$K$34</f>
        <v>0.2143569997651622</v>
      </c>
      <c r="E481" s="738" t="s">
        <v>1622</v>
      </c>
      <c r="F481" s="741">
        <f>'[1]PLAN DE DESARROLLO 2024 - 2027'!$K$39</f>
        <v>0.20016200657894737</v>
      </c>
      <c r="G481" s="738" t="s">
        <v>316</v>
      </c>
      <c r="H481" s="738" t="s">
        <v>317</v>
      </c>
      <c r="I481" s="770">
        <f>+'Seguridad Humana'!AK187</f>
        <v>0.39812500000000001</v>
      </c>
      <c r="J481" s="738" t="s">
        <v>297</v>
      </c>
      <c r="K481" s="742" t="s">
        <v>1996</v>
      </c>
      <c r="P481" s="732"/>
    </row>
    <row r="482" spans="1:16" ht="29.4" thickBot="1" x14ac:dyDescent="0.35">
      <c r="A482" s="738" t="s">
        <v>2143</v>
      </c>
      <c r="B482" s="741">
        <f>'[1]PLAN DE DESARROLLO 2024 - 2027'!$K$4</f>
        <v>0.29293663727866731</v>
      </c>
      <c r="C482" s="738" t="s">
        <v>2145</v>
      </c>
      <c r="D482" s="741">
        <f>'[1]PLAN DE DESARROLLO 2024 - 2027'!$K$34</f>
        <v>0.2143569997651622</v>
      </c>
      <c r="E482" s="738" t="s">
        <v>1622</v>
      </c>
      <c r="F482" s="741">
        <f>'[1]PLAN DE DESARROLLO 2024 - 2027'!$K$39</f>
        <v>0.20016200657894737</v>
      </c>
      <c r="G482" s="738" t="s">
        <v>318</v>
      </c>
      <c r="H482" s="738" t="s">
        <v>319</v>
      </c>
      <c r="I482" s="771">
        <f>+'Seguridad Humana'!AK188</f>
        <v>1</v>
      </c>
      <c r="J482" s="738" t="s">
        <v>297</v>
      </c>
      <c r="K482" s="742" t="s">
        <v>1996</v>
      </c>
      <c r="P482" s="732"/>
    </row>
    <row r="483" spans="1:16" ht="29.4" thickBot="1" x14ac:dyDescent="0.35">
      <c r="A483" s="738" t="s">
        <v>2143</v>
      </c>
      <c r="B483" s="741">
        <f>'[1]PLAN DE DESARROLLO 2024 - 2027'!$K$4</f>
        <v>0.29293663727866731</v>
      </c>
      <c r="C483" s="738" t="s">
        <v>2145</v>
      </c>
      <c r="D483" s="741">
        <f>'[1]PLAN DE DESARROLLO 2024 - 2027'!$K$34</f>
        <v>0.2143569997651622</v>
      </c>
      <c r="E483" s="738" t="s">
        <v>1622</v>
      </c>
      <c r="F483" s="741">
        <f>'[1]PLAN DE DESARROLLO 2024 - 2027'!$K$39</f>
        <v>0.20016200657894737</v>
      </c>
      <c r="G483" s="738" t="s">
        <v>320</v>
      </c>
      <c r="H483" s="738" t="s">
        <v>321</v>
      </c>
      <c r="I483" s="770">
        <f>+'Seguridad Humana'!AK189</f>
        <v>0.47105263157894739</v>
      </c>
      <c r="J483" s="738" t="s">
        <v>297</v>
      </c>
      <c r="K483" s="742" t="s">
        <v>1996</v>
      </c>
      <c r="P483" s="732"/>
    </row>
    <row r="484" spans="1:16" ht="29.4" thickBot="1" x14ac:dyDescent="0.35">
      <c r="A484" s="738" t="s">
        <v>2143</v>
      </c>
      <c r="B484" s="741">
        <f>'[1]PLAN DE DESARROLLO 2024 - 2027'!$K$4</f>
        <v>0.29293663727866731</v>
      </c>
      <c r="C484" s="738" t="s">
        <v>2145</v>
      </c>
      <c r="D484" s="741">
        <f>'[1]PLAN DE DESARROLLO 2024 - 2027'!$K$34</f>
        <v>0.2143569997651622</v>
      </c>
      <c r="E484" s="738" t="s">
        <v>1622</v>
      </c>
      <c r="F484" s="741">
        <f>'[1]PLAN DE DESARROLLO 2024 - 2027'!$K$39</f>
        <v>0.20016200657894737</v>
      </c>
      <c r="G484" s="738" t="s">
        <v>322</v>
      </c>
      <c r="H484" s="738" t="s">
        <v>323</v>
      </c>
      <c r="I484" s="770">
        <f>+'Seguridad Humana'!AK190</f>
        <v>0.65</v>
      </c>
      <c r="J484" s="738" t="s">
        <v>297</v>
      </c>
      <c r="K484" s="742" t="s">
        <v>1996</v>
      </c>
      <c r="P484" s="732"/>
    </row>
    <row r="485" spans="1:16" ht="29.4" thickBot="1" x14ac:dyDescent="0.35">
      <c r="A485" s="738" t="s">
        <v>2143</v>
      </c>
      <c r="B485" s="741">
        <f>'[1]PLAN DE DESARROLLO 2024 - 2027'!$K$4</f>
        <v>0.29293663727866731</v>
      </c>
      <c r="C485" s="738" t="s">
        <v>2145</v>
      </c>
      <c r="D485" s="741">
        <f>'[1]PLAN DE DESARROLLO 2024 - 2027'!$K$34</f>
        <v>0.2143569997651622</v>
      </c>
      <c r="E485" s="738" t="s">
        <v>1622</v>
      </c>
      <c r="F485" s="741">
        <f>'[1]PLAN DE DESARROLLO 2024 - 2027'!$K$39</f>
        <v>0.20016200657894737</v>
      </c>
      <c r="G485" s="738" t="s">
        <v>324</v>
      </c>
      <c r="H485" s="738" t="s">
        <v>325</v>
      </c>
      <c r="I485" s="770">
        <f>+'Seguridad Humana'!AK191</f>
        <v>0.48093750000000002</v>
      </c>
      <c r="J485" s="738" t="s">
        <v>297</v>
      </c>
      <c r="K485" s="742" t="s">
        <v>1996</v>
      </c>
      <c r="P485" s="732"/>
    </row>
    <row r="486" spans="1:16" ht="29.4" thickBot="1" x14ac:dyDescent="0.35">
      <c r="A486" s="738" t="s">
        <v>2143</v>
      </c>
      <c r="B486" s="741">
        <f>'[1]PLAN DE DESARROLLO 2024 - 2027'!$K$4</f>
        <v>0.29293663727866731</v>
      </c>
      <c r="C486" s="738" t="s">
        <v>2145</v>
      </c>
      <c r="D486" s="741">
        <f>'[1]PLAN DE DESARROLLO 2024 - 2027'!$K$34</f>
        <v>0.2143569997651622</v>
      </c>
      <c r="E486" s="738" t="s">
        <v>2171</v>
      </c>
      <c r="F486" s="741">
        <f>'[1]PLAN DE DESARROLLO 2024 - 2027'!$K$40</f>
        <v>2.3449999999999999E-2</v>
      </c>
      <c r="G486" s="738" t="s">
        <v>326</v>
      </c>
      <c r="H486" s="738" t="s">
        <v>327</v>
      </c>
      <c r="I486" s="770">
        <f>+'Seguridad Humana'!AK193</f>
        <v>8.3699999999999997E-2</v>
      </c>
      <c r="J486" s="738" t="s">
        <v>297</v>
      </c>
      <c r="K486" s="742" t="s">
        <v>1996</v>
      </c>
      <c r="P486" s="732"/>
    </row>
    <row r="487" spans="1:16" ht="29.4" thickBot="1" x14ac:dyDescent="0.35">
      <c r="A487" s="738" t="s">
        <v>2143</v>
      </c>
      <c r="B487" s="741">
        <f>'[1]PLAN DE DESARROLLO 2024 - 2027'!$K$4</f>
        <v>0.29293663727866731</v>
      </c>
      <c r="C487" s="738" t="s">
        <v>2145</v>
      </c>
      <c r="D487" s="741">
        <f>'[1]PLAN DE DESARROLLO 2024 - 2027'!$K$34</f>
        <v>0.2143569997651622</v>
      </c>
      <c r="E487" s="738" t="s">
        <v>2171</v>
      </c>
      <c r="F487" s="741">
        <f>'[1]PLAN DE DESARROLLO 2024 - 2027'!$K$40</f>
        <v>2.3449999999999999E-2</v>
      </c>
      <c r="G487" s="738" t="s">
        <v>328</v>
      </c>
      <c r="H487" s="738" t="s">
        <v>329</v>
      </c>
      <c r="I487" s="771">
        <f>+'Seguridad Humana'!AK194</f>
        <v>0.15766666666666668</v>
      </c>
      <c r="J487" s="738" t="s">
        <v>297</v>
      </c>
      <c r="K487" s="742" t="s">
        <v>1996</v>
      </c>
      <c r="P487" s="732"/>
    </row>
    <row r="488" spans="1:16" ht="29.4" thickBot="1" x14ac:dyDescent="0.35">
      <c r="A488" s="738" t="s">
        <v>2143</v>
      </c>
      <c r="B488" s="741">
        <f>'[1]PLAN DE DESARROLLO 2024 - 2027'!$K$4</f>
        <v>0.29293663727866731</v>
      </c>
      <c r="C488" s="738" t="s">
        <v>2145</v>
      </c>
      <c r="D488" s="741">
        <f>'[1]PLAN DE DESARROLLO 2024 - 2027'!$K$34</f>
        <v>0.2143569997651622</v>
      </c>
      <c r="E488" s="738" t="s">
        <v>2172</v>
      </c>
      <c r="F488" s="741">
        <f>'[1]PLAN DE DESARROLLO 2024 - 2027'!$K$41</f>
        <v>0.32221001221001222</v>
      </c>
      <c r="G488" s="738" t="s">
        <v>330</v>
      </c>
      <c r="H488" s="738" t="s">
        <v>331</v>
      </c>
      <c r="I488" s="770">
        <f>+'Seguridad Humana'!AK196</f>
        <v>0.83241758241758246</v>
      </c>
      <c r="J488" s="738" t="s">
        <v>297</v>
      </c>
      <c r="K488" s="742" t="s">
        <v>1996</v>
      </c>
      <c r="P488" s="732"/>
    </row>
    <row r="489" spans="1:16" ht="29.4" thickBot="1" x14ac:dyDescent="0.35">
      <c r="A489" s="738" t="s">
        <v>2143</v>
      </c>
      <c r="B489" s="741">
        <f>'[1]PLAN DE DESARROLLO 2024 - 2027'!$K$4</f>
        <v>0.29293663727866731</v>
      </c>
      <c r="C489" s="738" t="s">
        <v>2145</v>
      </c>
      <c r="D489" s="741">
        <f>'[1]PLAN DE DESARROLLO 2024 - 2027'!$K$34</f>
        <v>0.2143569997651622</v>
      </c>
      <c r="E489" s="738" t="s">
        <v>2172</v>
      </c>
      <c r="F489" s="741">
        <f>'[1]PLAN DE DESARROLLO 2024 - 2027'!$K$41</f>
        <v>0.32221001221001222</v>
      </c>
      <c r="G489" s="738" t="s">
        <v>332</v>
      </c>
      <c r="H489" s="738" t="s">
        <v>333</v>
      </c>
      <c r="I489" s="770">
        <f>+'Seguridad Humana'!AK197</f>
        <v>0.75</v>
      </c>
      <c r="J489" s="738" t="s">
        <v>297</v>
      </c>
      <c r="K489" s="742" t="s">
        <v>1996</v>
      </c>
      <c r="P489" s="732"/>
    </row>
    <row r="490" spans="1:16" ht="43.8" thickBot="1" x14ac:dyDescent="0.35">
      <c r="A490" s="738" t="s">
        <v>2143</v>
      </c>
      <c r="B490" s="741">
        <f>'[1]PLAN DE DESARROLLO 2024 - 2027'!$K$4</f>
        <v>0.29293663727866731</v>
      </c>
      <c r="C490" s="738" t="s">
        <v>2145</v>
      </c>
      <c r="D490" s="741">
        <f>'[1]PLAN DE DESARROLLO 2024 - 2027'!$K$34</f>
        <v>0.2143569997651622</v>
      </c>
      <c r="E490" s="738" t="s">
        <v>2172</v>
      </c>
      <c r="F490" s="741">
        <f>'[1]PLAN DE DESARROLLO 2024 - 2027'!$K$41</f>
        <v>0.32221001221001222</v>
      </c>
      <c r="G490" s="738" t="s">
        <v>334</v>
      </c>
      <c r="H490" s="738" t="s">
        <v>335</v>
      </c>
      <c r="I490" s="770">
        <f>+'Seguridad Humana'!AK198</f>
        <v>0.51333333333333331</v>
      </c>
      <c r="J490" s="738" t="s">
        <v>297</v>
      </c>
      <c r="K490" s="742" t="s">
        <v>1996</v>
      </c>
      <c r="P490" s="732"/>
    </row>
    <row r="491" spans="1:16" ht="29.4" thickBot="1" x14ac:dyDescent="0.35">
      <c r="A491" s="738" t="s">
        <v>2143</v>
      </c>
      <c r="B491" s="741">
        <f>'[1]PLAN DE DESARROLLO 2024 - 2027'!$K$4</f>
        <v>0.29293663727866731</v>
      </c>
      <c r="C491" s="738" t="s">
        <v>2145</v>
      </c>
      <c r="D491" s="741">
        <f>'[1]PLAN DE DESARROLLO 2024 - 2027'!$K$34</f>
        <v>0.2143569997651622</v>
      </c>
      <c r="E491" s="738" t="s">
        <v>2173</v>
      </c>
      <c r="F491" s="741">
        <f>'[1]PLAN DE DESARROLLO 2024 - 2027'!$K$42</f>
        <v>0.25741666666666668</v>
      </c>
      <c r="G491" s="738" t="s">
        <v>336</v>
      </c>
      <c r="H491" s="738" t="s">
        <v>337</v>
      </c>
      <c r="I491" s="770">
        <f>+'Seguridad Humana'!AK200</f>
        <v>0.70150000000000001</v>
      </c>
      <c r="J491" s="738" t="s">
        <v>297</v>
      </c>
      <c r="K491" s="742" t="s">
        <v>1996</v>
      </c>
      <c r="P491" s="732"/>
    </row>
    <row r="492" spans="1:16" ht="29.4" thickBot="1" x14ac:dyDescent="0.35">
      <c r="A492" s="738" t="s">
        <v>2143</v>
      </c>
      <c r="B492" s="741">
        <f>'[1]PLAN DE DESARROLLO 2024 - 2027'!$K$4</f>
        <v>0.29293663727866731</v>
      </c>
      <c r="C492" s="738" t="s">
        <v>2145</v>
      </c>
      <c r="D492" s="741">
        <f>'[1]PLAN DE DESARROLLO 2024 - 2027'!$K$34</f>
        <v>0.2143569997651622</v>
      </c>
      <c r="E492" s="738" t="s">
        <v>2173</v>
      </c>
      <c r="F492" s="741">
        <f>'[1]PLAN DE DESARROLLO 2024 - 2027'!$K$42</f>
        <v>0.25741666666666668</v>
      </c>
      <c r="G492" s="738" t="s">
        <v>338</v>
      </c>
      <c r="H492" s="738" t="s">
        <v>339</v>
      </c>
      <c r="I492" s="770">
        <f>+'Seguridad Humana'!AK201</f>
        <v>0.34375</v>
      </c>
      <c r="J492" s="738" t="s">
        <v>297</v>
      </c>
      <c r="K492" s="742" t="s">
        <v>1996</v>
      </c>
      <c r="P492" s="732"/>
    </row>
    <row r="493" spans="1:16" ht="29.4" thickBot="1" x14ac:dyDescent="0.35">
      <c r="A493" s="738" t="s">
        <v>2143</v>
      </c>
      <c r="B493" s="741">
        <f>'[1]PLAN DE DESARROLLO 2024 - 2027'!$K$4</f>
        <v>0.29293663727866731</v>
      </c>
      <c r="C493" s="738" t="s">
        <v>2145</v>
      </c>
      <c r="D493" s="741">
        <f>'[1]PLAN DE DESARROLLO 2024 - 2027'!$K$34</f>
        <v>0.2143569997651622</v>
      </c>
      <c r="E493" s="738" t="s">
        <v>2173</v>
      </c>
      <c r="F493" s="741">
        <f>'[1]PLAN DE DESARROLLO 2024 - 2027'!$K$42</f>
        <v>0.25741666666666668</v>
      </c>
      <c r="G493" s="738" t="s">
        <v>340</v>
      </c>
      <c r="H493" s="738" t="s">
        <v>341</v>
      </c>
      <c r="I493" s="771">
        <f>+'Seguridad Humana'!AK202</f>
        <v>0.26533333333333331</v>
      </c>
      <c r="J493" s="738" t="s">
        <v>297</v>
      </c>
      <c r="K493" s="742" t="s">
        <v>1996</v>
      </c>
      <c r="P493" s="732"/>
    </row>
    <row r="494" spans="1:16" ht="29.4" thickBot="1" x14ac:dyDescent="0.35">
      <c r="A494" s="738" t="s">
        <v>2143</v>
      </c>
      <c r="B494" s="741">
        <f>'[1]PLAN DE DESARROLLO 2024 - 2027'!$K$4</f>
        <v>0.29293663727866731</v>
      </c>
      <c r="C494" s="738" t="s">
        <v>2145</v>
      </c>
      <c r="D494" s="741">
        <f>'[1]PLAN DE DESARROLLO 2024 - 2027'!$K$34</f>
        <v>0.2143569997651622</v>
      </c>
      <c r="E494" s="738" t="s">
        <v>1626</v>
      </c>
      <c r="F494" s="741">
        <f>'[1]PLAN DE DESARROLLO 2024 - 2027'!$K$43</f>
        <v>0.33088235294117646</v>
      </c>
      <c r="G494" s="738" t="s">
        <v>342</v>
      </c>
      <c r="H494" s="738" t="s">
        <v>343</v>
      </c>
      <c r="I494" s="770">
        <f>+'Seguridad Humana'!AK204</f>
        <v>0.6470588235294118</v>
      </c>
      <c r="J494" s="738" t="s">
        <v>297</v>
      </c>
      <c r="K494" s="742" t="s">
        <v>1996</v>
      </c>
      <c r="P494" s="732"/>
    </row>
    <row r="495" spans="1:16" ht="29.4" thickBot="1" x14ac:dyDescent="0.35">
      <c r="A495" s="738" t="s">
        <v>2143</v>
      </c>
      <c r="B495" s="741">
        <f>'[1]PLAN DE DESARROLLO 2024 - 2027'!$K$4</f>
        <v>0.29293663727866731</v>
      </c>
      <c r="C495" s="738" t="s">
        <v>2145</v>
      </c>
      <c r="D495" s="741">
        <f>'[1]PLAN DE DESARROLLO 2024 - 2027'!$K$34</f>
        <v>0.2143569997651622</v>
      </c>
      <c r="E495" s="738" t="s">
        <v>1626</v>
      </c>
      <c r="F495" s="741">
        <f>'[1]PLAN DE DESARROLLO 2024 - 2027'!$K$43</f>
        <v>0.33088235294117646</v>
      </c>
      <c r="G495" s="738" t="s">
        <v>344</v>
      </c>
      <c r="H495" s="738" t="s">
        <v>345</v>
      </c>
      <c r="I495" s="770">
        <f>+'Seguridad Humana'!AK205</f>
        <v>0.5</v>
      </c>
      <c r="J495" s="738" t="s">
        <v>297</v>
      </c>
      <c r="K495" s="742" t="s">
        <v>1996</v>
      </c>
      <c r="P495" s="732"/>
    </row>
    <row r="496" spans="1:16" ht="29.4" thickBot="1" x14ac:dyDescent="0.35">
      <c r="A496" s="738" t="s">
        <v>2143</v>
      </c>
      <c r="B496" s="741">
        <f>'[1]PLAN DE DESARROLLO 2024 - 2027'!$K$4</f>
        <v>0.29293663727866731</v>
      </c>
      <c r="C496" s="738" t="s">
        <v>2145</v>
      </c>
      <c r="D496" s="741">
        <f>'[1]PLAN DE DESARROLLO 2024 - 2027'!$K$34</f>
        <v>0.2143569997651622</v>
      </c>
      <c r="E496" s="738" t="s">
        <v>2174</v>
      </c>
      <c r="F496" s="741">
        <f>'[1]PLAN DE DESARROLLO 2024 - 2027'!$K$44</f>
        <v>0.15972222222222221</v>
      </c>
      <c r="G496" s="738" t="s">
        <v>346</v>
      </c>
      <c r="H496" s="738" t="s">
        <v>347</v>
      </c>
      <c r="I496" s="770">
        <f>+'Seguridad Humana'!AK207</f>
        <v>0.45</v>
      </c>
      <c r="J496" s="738" t="s">
        <v>297</v>
      </c>
      <c r="K496" s="742" t="s">
        <v>1996</v>
      </c>
      <c r="P496" s="732"/>
    </row>
    <row r="497" spans="1:16" ht="29.4" thickBot="1" x14ac:dyDescent="0.35">
      <c r="A497" s="738" t="s">
        <v>2143</v>
      </c>
      <c r="B497" s="741">
        <f>'[1]PLAN DE DESARROLLO 2024 - 2027'!$K$4</f>
        <v>0.29293663727866731</v>
      </c>
      <c r="C497" s="738" t="s">
        <v>2145</v>
      </c>
      <c r="D497" s="741">
        <f>'[1]PLAN DE DESARROLLO 2024 - 2027'!$K$34</f>
        <v>0.2143569997651622</v>
      </c>
      <c r="E497" s="738" t="s">
        <v>2174</v>
      </c>
      <c r="F497" s="741">
        <f>'[1]PLAN DE DESARROLLO 2024 - 2027'!$K$44</f>
        <v>0.15972222222222221</v>
      </c>
      <c r="G497" s="738" t="s">
        <v>348</v>
      </c>
      <c r="H497" s="738" t="s">
        <v>349</v>
      </c>
      <c r="I497" s="770">
        <f>+'Seguridad Humana'!AK208</f>
        <v>0.75</v>
      </c>
      <c r="J497" s="738" t="s">
        <v>297</v>
      </c>
      <c r="K497" s="742" t="s">
        <v>1996</v>
      </c>
      <c r="P497" s="732"/>
    </row>
    <row r="498" spans="1:16" ht="43.8" thickBot="1" x14ac:dyDescent="0.35">
      <c r="A498" s="738" t="s">
        <v>2143</v>
      </c>
      <c r="B498" s="741">
        <f>'[1]PLAN DE DESARROLLO 2024 - 2027'!$K$4</f>
        <v>0.29293663727866731</v>
      </c>
      <c r="C498" s="738" t="s">
        <v>2145</v>
      </c>
      <c r="D498" s="741">
        <f>'[1]PLAN DE DESARROLLO 2024 - 2027'!$K$34</f>
        <v>0.2143569997651622</v>
      </c>
      <c r="E498" s="738" t="s">
        <v>2175</v>
      </c>
      <c r="F498" s="741">
        <f>'[1]PLAN DE DESARROLLO 2024 - 2027'!$K$45</f>
        <v>0.24038461538461539</v>
      </c>
      <c r="G498" s="738" t="s">
        <v>350</v>
      </c>
      <c r="H498" s="738" t="s">
        <v>351</v>
      </c>
      <c r="I498" s="770">
        <f>+'Seguridad Humana'!AK210</f>
        <v>1</v>
      </c>
      <c r="J498" s="738" t="s">
        <v>516</v>
      </c>
      <c r="K498" s="742" t="s">
        <v>1996</v>
      </c>
      <c r="P498" s="732"/>
    </row>
    <row r="499" spans="1:16" ht="43.8" thickBot="1" x14ac:dyDescent="0.35">
      <c r="A499" s="738" t="s">
        <v>2143</v>
      </c>
      <c r="B499" s="741">
        <f>'[1]PLAN DE DESARROLLO 2024 - 2027'!$K$4</f>
        <v>0.29293663727866731</v>
      </c>
      <c r="C499" s="738" t="s">
        <v>2145</v>
      </c>
      <c r="D499" s="741">
        <f>'[1]PLAN DE DESARROLLO 2024 - 2027'!$K$34</f>
        <v>0.2143569997651622</v>
      </c>
      <c r="E499" s="738" t="s">
        <v>2175</v>
      </c>
      <c r="F499" s="741">
        <f>'[1]PLAN DE DESARROLLO 2024 - 2027'!$K$45</f>
        <v>0.24038461538461539</v>
      </c>
      <c r="G499" s="738" t="s">
        <v>353</v>
      </c>
      <c r="H499" s="738" t="s">
        <v>354</v>
      </c>
      <c r="I499" s="770">
        <f>+'Seguridad Humana'!AK211</f>
        <v>0.52083333333333337</v>
      </c>
      <c r="J499" s="738" t="s">
        <v>516</v>
      </c>
      <c r="K499" s="742" t="s">
        <v>1996</v>
      </c>
      <c r="P499" s="732"/>
    </row>
    <row r="500" spans="1:16" ht="43.8" thickBot="1" x14ac:dyDescent="0.35">
      <c r="A500" s="738" t="s">
        <v>2143</v>
      </c>
      <c r="B500" s="741">
        <f>'[1]PLAN DE DESARROLLO 2024 - 2027'!$K$4</f>
        <v>0.29293663727866731</v>
      </c>
      <c r="C500" s="738" t="s">
        <v>2176</v>
      </c>
      <c r="D500" s="741">
        <f>'[1]PLAN DE DESARROLLO 2024 - 2027'!$K$5</f>
        <v>0.43173821655610001</v>
      </c>
      <c r="E500" s="738" t="s">
        <v>2177</v>
      </c>
      <c r="F500" s="741">
        <f>'[1]PLAN DE DESARROLLO 2024 - 2027'!$K$6</f>
        <v>0.35</v>
      </c>
      <c r="G500" s="738" t="s">
        <v>10</v>
      </c>
      <c r="H500" s="738" t="s">
        <v>11</v>
      </c>
      <c r="I500" s="770">
        <f>+'Seguridad Humana'!AK6</f>
        <v>1</v>
      </c>
      <c r="J500" s="738" t="s">
        <v>2178</v>
      </c>
      <c r="K500" s="742" t="s">
        <v>1996</v>
      </c>
    </row>
    <row r="501" spans="1:16" ht="29.4" thickBot="1" x14ac:dyDescent="0.35">
      <c r="A501" s="738" t="s">
        <v>2143</v>
      </c>
      <c r="B501" s="741">
        <f>'[1]PLAN DE DESARROLLO 2024 - 2027'!$K$4</f>
        <v>0.29293663727866731</v>
      </c>
      <c r="C501" s="738" t="s">
        <v>2176</v>
      </c>
      <c r="D501" s="741">
        <f>'[1]PLAN DE DESARROLLO 2024 - 2027'!$K$5</f>
        <v>0.43173821655610001</v>
      </c>
      <c r="E501" s="738" t="s">
        <v>2177</v>
      </c>
      <c r="F501" s="741">
        <f>'[1]PLAN DE DESARROLLO 2024 - 2027'!$K$6</f>
        <v>0.35</v>
      </c>
      <c r="G501" s="738" t="s">
        <v>2179</v>
      </c>
      <c r="H501" s="738" t="s">
        <v>2180</v>
      </c>
      <c r="I501" s="770">
        <f>+'Seguridad Humana'!AK7</f>
        <v>0.5625</v>
      </c>
      <c r="J501" s="738" t="s">
        <v>2181</v>
      </c>
      <c r="K501" s="742" t="s">
        <v>1996</v>
      </c>
    </row>
    <row r="502" spans="1:16" ht="29.4" thickBot="1" x14ac:dyDescent="0.35">
      <c r="A502" s="738" t="s">
        <v>2143</v>
      </c>
      <c r="B502" s="741">
        <f>'[1]PLAN DE DESARROLLO 2024 - 2027'!$K$4</f>
        <v>0.29293663727866731</v>
      </c>
      <c r="C502" s="738" t="s">
        <v>2176</v>
      </c>
      <c r="D502" s="741">
        <f>'[1]PLAN DE DESARROLLO 2024 - 2027'!$K$5</f>
        <v>0.43173821655610001</v>
      </c>
      <c r="E502" s="738" t="s">
        <v>2177</v>
      </c>
      <c r="F502" s="741">
        <f>'[1]PLAN DE DESARROLLO 2024 - 2027'!$K$6</f>
        <v>0.35</v>
      </c>
      <c r="G502" s="738" t="s">
        <v>2182</v>
      </c>
      <c r="H502" s="738" t="s">
        <v>16</v>
      </c>
      <c r="I502" s="770">
        <f>+'Seguridad Humana'!AK8</f>
        <v>0.55000000000000004</v>
      </c>
      <c r="J502" s="738" t="s">
        <v>12</v>
      </c>
      <c r="K502" s="742" t="s">
        <v>1996</v>
      </c>
    </row>
    <row r="503" spans="1:16" ht="48.6" customHeight="1" thickBot="1" x14ac:dyDescent="0.35">
      <c r="A503" s="738" t="s">
        <v>2143</v>
      </c>
      <c r="B503" s="741">
        <f>'[1]PLAN DE DESARROLLO 2024 - 2027'!$K$4</f>
        <v>0.29293663727866731</v>
      </c>
      <c r="C503" s="738" t="s">
        <v>2176</v>
      </c>
      <c r="D503" s="741">
        <f>'[1]PLAN DE DESARROLLO 2024 - 2027'!$K$5</f>
        <v>0.43173821655610001</v>
      </c>
      <c r="E503" s="738" t="s">
        <v>2177</v>
      </c>
      <c r="F503" s="741">
        <f>'[1]PLAN DE DESARROLLO 2024 - 2027'!$K$6</f>
        <v>0.35</v>
      </c>
      <c r="G503" s="738" t="s">
        <v>17</v>
      </c>
      <c r="H503" s="738" t="s">
        <v>18</v>
      </c>
      <c r="I503" s="770">
        <f>+'Seguridad Humana'!AK9</f>
        <v>0</v>
      </c>
      <c r="J503" s="738" t="s">
        <v>2183</v>
      </c>
      <c r="K503" s="742" t="s">
        <v>1996</v>
      </c>
    </row>
    <row r="504" spans="1:16" ht="33" customHeight="1" thickBot="1" x14ac:dyDescent="0.35">
      <c r="A504" s="738" t="s">
        <v>2143</v>
      </c>
      <c r="B504" s="741">
        <f>'[1]PLAN DE DESARROLLO 2024 - 2027'!$K$4</f>
        <v>0.29293663727866731</v>
      </c>
      <c r="C504" s="738" t="s">
        <v>2176</v>
      </c>
      <c r="D504" s="741">
        <f>'[1]PLAN DE DESARROLLO 2024 - 2027'!$K$5</f>
        <v>0.43173821655610001</v>
      </c>
      <c r="E504" s="738" t="s">
        <v>2177</v>
      </c>
      <c r="F504" s="741">
        <f>'[1]PLAN DE DESARROLLO 2024 - 2027'!$K$6</f>
        <v>0.35</v>
      </c>
      <c r="G504" s="738" t="s">
        <v>2184</v>
      </c>
      <c r="H504" s="738" t="s">
        <v>2185</v>
      </c>
      <c r="I504" s="771">
        <f>+'Seguridad Humana'!AK10</f>
        <v>0</v>
      </c>
      <c r="J504" s="738" t="s">
        <v>12</v>
      </c>
      <c r="K504" s="742" t="s">
        <v>1996</v>
      </c>
    </row>
    <row r="505" spans="1:16" ht="45.6" customHeight="1" thickBot="1" x14ac:dyDescent="0.35">
      <c r="A505" s="738" t="s">
        <v>2143</v>
      </c>
      <c r="B505" s="741">
        <f>'[1]PLAN DE DESARROLLO 2024 - 2027'!$K$4</f>
        <v>0.29293663727866731</v>
      </c>
      <c r="C505" s="738" t="s">
        <v>2176</v>
      </c>
      <c r="D505" s="741">
        <f>'[1]PLAN DE DESARROLLO 2024 - 2027'!$K$5</f>
        <v>0.43173821655610001</v>
      </c>
      <c r="E505" s="738" t="s">
        <v>2177</v>
      </c>
      <c r="F505" s="741">
        <f>'[1]PLAN DE DESARROLLO 2024 - 2027'!$K$6</f>
        <v>0.35</v>
      </c>
      <c r="G505" s="738" t="s">
        <v>21</v>
      </c>
      <c r="H505" s="738" t="s">
        <v>22</v>
      </c>
      <c r="I505" s="770">
        <f>+'Seguridad Humana'!AK11</f>
        <v>0.05</v>
      </c>
      <c r="J505" s="738" t="s">
        <v>2186</v>
      </c>
      <c r="K505" s="742" t="s">
        <v>1996</v>
      </c>
    </row>
    <row r="506" spans="1:16" ht="24" customHeight="1" thickBot="1" x14ac:dyDescent="0.35">
      <c r="A506" s="738" t="s">
        <v>2143</v>
      </c>
      <c r="B506" s="741">
        <f>'[1]PLAN DE DESARROLLO 2024 - 2027'!$K$4</f>
        <v>0.29293663727866731</v>
      </c>
      <c r="C506" s="738" t="s">
        <v>2176</v>
      </c>
      <c r="D506" s="741">
        <f>'[1]PLAN DE DESARROLLO 2024 - 2027'!$K$5</f>
        <v>0.43173821655610001</v>
      </c>
      <c r="E506" s="738" t="s">
        <v>1594</v>
      </c>
      <c r="F506" s="741">
        <f>'[1]PLAN DE DESARROLLO 2024 - 2027'!$K$7</f>
        <v>0.66666666666666663</v>
      </c>
      <c r="G506" s="738" t="s">
        <v>23</v>
      </c>
      <c r="H506" s="738" t="s">
        <v>24</v>
      </c>
      <c r="I506" s="770">
        <f>+'Seguridad Humana'!AK13</f>
        <v>0</v>
      </c>
      <c r="J506" s="738" t="s">
        <v>12</v>
      </c>
      <c r="K506" s="742" t="s">
        <v>1996</v>
      </c>
    </row>
    <row r="507" spans="1:16" ht="20.399999999999999" customHeight="1" thickBot="1" x14ac:dyDescent="0.35">
      <c r="A507" s="738" t="s">
        <v>2143</v>
      </c>
      <c r="B507" s="741">
        <f>'[1]PLAN DE DESARROLLO 2024 - 2027'!$K$4</f>
        <v>0.29293663727866731</v>
      </c>
      <c r="C507" s="738" t="s">
        <v>2176</v>
      </c>
      <c r="D507" s="741">
        <f>'[1]PLAN DE DESARROLLO 2024 - 2027'!$K$5</f>
        <v>0.43173821655610001</v>
      </c>
      <c r="E507" s="738" t="s">
        <v>1594</v>
      </c>
      <c r="F507" s="741">
        <f>'[1]PLAN DE DESARROLLO 2024 - 2027'!$K$7</f>
        <v>0.66666666666666663</v>
      </c>
      <c r="G507" s="738" t="s">
        <v>25</v>
      </c>
      <c r="H507" s="738" t="s">
        <v>26</v>
      </c>
      <c r="I507" s="770">
        <f>+'Seguridad Humana'!AK14</f>
        <v>1</v>
      </c>
      <c r="J507" s="738" t="s">
        <v>12</v>
      </c>
      <c r="K507" s="742" t="s">
        <v>1996</v>
      </c>
    </row>
    <row r="508" spans="1:16" ht="29.4" thickBot="1" x14ac:dyDescent="0.35">
      <c r="A508" s="738" t="s">
        <v>2143</v>
      </c>
      <c r="B508" s="741">
        <f>'[1]PLAN DE DESARROLLO 2024 - 2027'!$K$4</f>
        <v>0.29293663727866731</v>
      </c>
      <c r="C508" s="738" t="s">
        <v>2176</v>
      </c>
      <c r="D508" s="741">
        <f>'[1]PLAN DE DESARROLLO 2024 - 2027'!$K$5</f>
        <v>0.43173821655610001</v>
      </c>
      <c r="E508" s="738" t="s">
        <v>1594</v>
      </c>
      <c r="F508" s="741">
        <f>'[1]PLAN DE DESARROLLO 2024 - 2027'!$K$7</f>
        <v>0.66666666666666663</v>
      </c>
      <c r="G508" s="738" t="s">
        <v>27</v>
      </c>
      <c r="H508" s="738" t="s">
        <v>28</v>
      </c>
      <c r="I508" s="770">
        <f>+'Seguridad Humana'!AK15</f>
        <v>1</v>
      </c>
      <c r="J508" s="738" t="s">
        <v>12</v>
      </c>
      <c r="K508" s="742" t="s">
        <v>1996</v>
      </c>
    </row>
    <row r="509" spans="1:16" ht="43.8" thickBot="1" x14ac:dyDescent="0.35">
      <c r="A509" s="738" t="s">
        <v>2143</v>
      </c>
      <c r="B509" s="741">
        <f>'[1]PLAN DE DESARROLLO 2024 - 2027'!$K$4</f>
        <v>0.29293663727866731</v>
      </c>
      <c r="C509" s="738" t="s">
        <v>2176</v>
      </c>
      <c r="D509" s="741">
        <f>'[1]PLAN DE DESARROLLO 2024 - 2027'!$K$5</f>
        <v>0.43173821655610001</v>
      </c>
      <c r="E509" s="738" t="s">
        <v>1595</v>
      </c>
      <c r="F509" s="741">
        <f>'[1]PLAN DE DESARROLLO 2024 - 2027'!$K$8</f>
        <v>0.25781052722494452</v>
      </c>
      <c r="G509" s="738" t="s">
        <v>29</v>
      </c>
      <c r="H509" s="738" t="s">
        <v>30</v>
      </c>
      <c r="I509" s="770">
        <f>+'Seguridad Humana'!AK17</f>
        <v>0.97383390216154719</v>
      </c>
      <c r="J509" s="738" t="s">
        <v>31</v>
      </c>
      <c r="K509" s="742" t="s">
        <v>1996</v>
      </c>
    </row>
    <row r="510" spans="1:16" ht="43.8" thickBot="1" x14ac:dyDescent="0.35">
      <c r="A510" s="738" t="s">
        <v>2143</v>
      </c>
      <c r="B510" s="741">
        <f>'[1]PLAN DE DESARROLLO 2024 - 2027'!$K$4</f>
        <v>0.29293663727866731</v>
      </c>
      <c r="C510" s="738" t="s">
        <v>2176</v>
      </c>
      <c r="D510" s="741">
        <f>'[1]PLAN DE DESARROLLO 2024 - 2027'!$K$5</f>
        <v>0.43173821655610001</v>
      </c>
      <c r="E510" s="738" t="s">
        <v>1595</v>
      </c>
      <c r="F510" s="741">
        <f>'[1]PLAN DE DESARROLLO 2024 - 2027'!$K$8</f>
        <v>0.25781052722494452</v>
      </c>
      <c r="G510" s="738" t="s">
        <v>32</v>
      </c>
      <c r="H510" s="738" t="s">
        <v>33</v>
      </c>
      <c r="I510" s="770">
        <f>+'Seguridad Humana'!AK18</f>
        <v>0.82803297997644287</v>
      </c>
      <c r="J510" s="738" t="s">
        <v>31</v>
      </c>
      <c r="K510" s="742" t="s">
        <v>1996</v>
      </c>
    </row>
    <row r="511" spans="1:16" ht="43.8" thickBot="1" x14ac:dyDescent="0.35">
      <c r="A511" s="738" t="s">
        <v>2143</v>
      </c>
      <c r="B511" s="741">
        <f>'[1]PLAN DE DESARROLLO 2024 - 2027'!$K$4</f>
        <v>0.29293663727866731</v>
      </c>
      <c r="C511" s="738" t="s">
        <v>2176</v>
      </c>
      <c r="D511" s="741">
        <f>'[1]PLAN DE DESARROLLO 2024 - 2027'!$K$5</f>
        <v>0.43173821655610001</v>
      </c>
      <c r="E511" s="738" t="s">
        <v>1595</v>
      </c>
      <c r="F511" s="741">
        <f>'[1]PLAN DE DESARROLLO 2024 - 2027'!$K$8</f>
        <v>0.25781052722494452</v>
      </c>
      <c r="G511" s="738" t="s">
        <v>34</v>
      </c>
      <c r="H511" s="738" t="s">
        <v>2187</v>
      </c>
      <c r="I511" s="770">
        <f>+'Seguridad Humana'!AK19</f>
        <v>0.43863636363636366</v>
      </c>
      <c r="J511" s="738" t="s">
        <v>31</v>
      </c>
      <c r="K511" s="742" t="s">
        <v>1996</v>
      </c>
    </row>
    <row r="512" spans="1:16" ht="43.8" thickBot="1" x14ac:dyDescent="0.35">
      <c r="A512" s="738" t="s">
        <v>2143</v>
      </c>
      <c r="B512" s="741">
        <f>'[1]PLAN DE DESARROLLO 2024 - 2027'!$K$4</f>
        <v>0.29293663727866731</v>
      </c>
      <c r="C512" s="738" t="s">
        <v>2176</v>
      </c>
      <c r="D512" s="741">
        <f>'[1]PLAN DE DESARROLLO 2024 - 2027'!$K$5</f>
        <v>0.43173821655610001</v>
      </c>
      <c r="E512" s="738" t="s">
        <v>1595</v>
      </c>
      <c r="F512" s="741">
        <f>'[1]PLAN DE DESARROLLO 2024 - 2027'!$K$8</f>
        <v>0.25781052722494452</v>
      </c>
      <c r="G512" s="738" t="s">
        <v>35</v>
      </c>
      <c r="H512" s="738" t="s">
        <v>2188</v>
      </c>
      <c r="I512" s="770">
        <f>+'Seguridad Humana'!AK20</f>
        <v>1</v>
      </c>
      <c r="J512" s="738" t="s">
        <v>31</v>
      </c>
      <c r="K512" s="742" t="s">
        <v>1996</v>
      </c>
    </row>
    <row r="513" spans="1:16" ht="43.8" thickBot="1" x14ac:dyDescent="0.35">
      <c r="A513" s="738" t="s">
        <v>2143</v>
      </c>
      <c r="B513" s="741">
        <f>'[1]PLAN DE DESARROLLO 2024 - 2027'!$K$4</f>
        <v>0.29293663727866731</v>
      </c>
      <c r="C513" s="738" t="s">
        <v>2176</v>
      </c>
      <c r="D513" s="741">
        <f>'[1]PLAN DE DESARROLLO 2024 - 2027'!$K$5</f>
        <v>0.43173821655610001</v>
      </c>
      <c r="E513" s="738" t="s">
        <v>1595</v>
      </c>
      <c r="F513" s="741">
        <f>'[1]PLAN DE DESARROLLO 2024 - 2027'!$K$8</f>
        <v>0.25781052722494452</v>
      </c>
      <c r="G513" s="738" t="s">
        <v>37</v>
      </c>
      <c r="H513" s="738" t="s">
        <v>2189</v>
      </c>
      <c r="I513" s="770">
        <f>+'Seguridad Humana'!AK21</f>
        <v>0</v>
      </c>
      <c r="J513" s="738" t="s">
        <v>31</v>
      </c>
      <c r="K513" s="742" t="s">
        <v>1996</v>
      </c>
    </row>
    <row r="514" spans="1:16" ht="43.8" thickBot="1" x14ac:dyDescent="0.35">
      <c r="A514" s="738" t="s">
        <v>2143</v>
      </c>
      <c r="B514" s="741">
        <f>'[1]PLAN DE DESARROLLO 2024 - 2027'!$K$4</f>
        <v>0.29293663727866731</v>
      </c>
      <c r="C514" s="738" t="s">
        <v>2176</v>
      </c>
      <c r="D514" s="741">
        <f>'[1]PLAN DE DESARROLLO 2024 - 2027'!$K$5</f>
        <v>0.43173821655610001</v>
      </c>
      <c r="E514" s="738" t="s">
        <v>1595</v>
      </c>
      <c r="F514" s="741">
        <f>'[1]PLAN DE DESARROLLO 2024 - 2027'!$K$8</f>
        <v>0.25781052722494452</v>
      </c>
      <c r="G514" s="738" t="s">
        <v>39</v>
      </c>
      <c r="H514" s="738" t="s">
        <v>40</v>
      </c>
      <c r="I514" s="770">
        <f>+'Seguridad Humana'!AK22</f>
        <v>1</v>
      </c>
      <c r="J514" s="738" t="s">
        <v>31</v>
      </c>
      <c r="K514" s="742" t="s">
        <v>1996</v>
      </c>
    </row>
    <row r="515" spans="1:16" ht="29.4" thickBot="1" x14ac:dyDescent="0.35">
      <c r="A515" s="738" t="s">
        <v>2143</v>
      </c>
      <c r="B515" s="741">
        <f>'[1]PLAN DE DESARROLLO 2024 - 2027'!$K$4</f>
        <v>0.29293663727866731</v>
      </c>
      <c r="C515" s="738" t="s">
        <v>2176</v>
      </c>
      <c r="D515" s="741">
        <f>'[1]PLAN DE DESARROLLO 2024 - 2027'!$K$5</f>
        <v>0.43173821655610001</v>
      </c>
      <c r="E515" s="738" t="s">
        <v>2190</v>
      </c>
      <c r="F515" s="741">
        <f>'[1]PLAN DE DESARROLLO 2024 - 2027'!$K$9</f>
        <v>0.625</v>
      </c>
      <c r="G515" s="738" t="s">
        <v>41</v>
      </c>
      <c r="H515" s="738" t="s">
        <v>42</v>
      </c>
      <c r="I515" s="770">
        <f>+'Seguridad Humana'!AK24</f>
        <v>0.5</v>
      </c>
      <c r="J515" s="738" t="s">
        <v>2191</v>
      </c>
      <c r="K515" s="742" t="s">
        <v>1996</v>
      </c>
    </row>
    <row r="516" spans="1:16" ht="29.4" thickBot="1" x14ac:dyDescent="0.35">
      <c r="A516" s="738" t="s">
        <v>2143</v>
      </c>
      <c r="B516" s="741">
        <f>'[1]PLAN DE DESARROLLO 2024 - 2027'!$K$4</f>
        <v>0.29293663727866731</v>
      </c>
      <c r="C516" s="738" t="s">
        <v>2176</v>
      </c>
      <c r="D516" s="741">
        <f>'[1]PLAN DE DESARROLLO 2024 - 2027'!$K$5</f>
        <v>0.43173821655610001</v>
      </c>
      <c r="E516" s="738" t="s">
        <v>2190</v>
      </c>
      <c r="F516" s="741">
        <f>'[1]PLAN DE DESARROLLO 2024 - 2027'!$K$9</f>
        <v>0.625</v>
      </c>
      <c r="G516" s="738" t="s">
        <v>44</v>
      </c>
      <c r="H516" s="738" t="s">
        <v>45</v>
      </c>
      <c r="I516" s="770">
        <f>+'Seguridad Humana'!AK25</f>
        <v>1</v>
      </c>
      <c r="J516" s="738" t="s">
        <v>2191</v>
      </c>
      <c r="K516" s="742" t="s">
        <v>1996</v>
      </c>
    </row>
    <row r="517" spans="1:16" ht="29.4" thickBot="1" x14ac:dyDescent="0.35">
      <c r="A517" s="738" t="s">
        <v>2143</v>
      </c>
      <c r="B517" s="741">
        <f>'[1]PLAN DE DESARROLLO 2024 - 2027'!$K$4</f>
        <v>0.29293663727866731</v>
      </c>
      <c r="C517" s="738" t="s">
        <v>2176</v>
      </c>
      <c r="D517" s="741">
        <f>'[1]PLAN DE DESARROLLO 2024 - 2027'!$K$5</f>
        <v>0.43173821655610001</v>
      </c>
      <c r="E517" s="738" t="s">
        <v>2192</v>
      </c>
      <c r="F517" s="741">
        <f>'[1]PLAN DE DESARROLLO 2024 - 2027'!$K$10</f>
        <v>0.25921388888888885</v>
      </c>
      <c r="G517" s="738" t="s">
        <v>46</v>
      </c>
      <c r="H517" s="738" t="s">
        <v>47</v>
      </c>
      <c r="I517" s="770">
        <f>+'Seguridad Humana'!AK27</f>
        <v>0.93535000000000001</v>
      </c>
      <c r="J517" s="738" t="s">
        <v>48</v>
      </c>
      <c r="K517" s="742" t="s">
        <v>1996</v>
      </c>
    </row>
    <row r="518" spans="1:16" ht="29.4" thickBot="1" x14ac:dyDescent="0.35">
      <c r="A518" s="738" t="s">
        <v>2143</v>
      </c>
      <c r="B518" s="741">
        <f>'[1]PLAN DE DESARROLLO 2024 - 2027'!$K$4</f>
        <v>0.29293663727866731</v>
      </c>
      <c r="C518" s="738" t="s">
        <v>2176</v>
      </c>
      <c r="D518" s="741">
        <f>'[1]PLAN DE DESARROLLO 2024 - 2027'!$K$5</f>
        <v>0.43173821655610001</v>
      </c>
      <c r="E518" s="738" t="s">
        <v>2192</v>
      </c>
      <c r="F518" s="741">
        <f>'[1]PLAN DE DESARROLLO 2024 - 2027'!$K$10</f>
        <v>0.25921388888888885</v>
      </c>
      <c r="G518" s="738" t="s">
        <v>49</v>
      </c>
      <c r="H518" s="738" t="s">
        <v>50</v>
      </c>
      <c r="I518" s="770">
        <f>+'Seguridad Humana'!AK28</f>
        <v>0.23749999999999999</v>
      </c>
      <c r="J518" s="738" t="s">
        <v>48</v>
      </c>
      <c r="K518" s="742" t="s">
        <v>1996</v>
      </c>
    </row>
    <row r="519" spans="1:16" ht="31.8" customHeight="1" thickBot="1" x14ac:dyDescent="0.35">
      <c r="A519" s="738" t="s">
        <v>2143</v>
      </c>
      <c r="B519" s="741">
        <f>'[1]PLAN DE DESARROLLO 2024 - 2027'!$K$4</f>
        <v>0.29293663727866731</v>
      </c>
      <c r="C519" s="738" t="s">
        <v>2176</v>
      </c>
      <c r="D519" s="741">
        <f>'[1]PLAN DE DESARROLLO 2024 - 2027'!$K$5</f>
        <v>0.43173821655610001</v>
      </c>
      <c r="E519" s="738" t="s">
        <v>2192</v>
      </c>
      <c r="F519" s="741">
        <f>'[1]PLAN DE DESARROLLO 2024 - 2027'!$K$10</f>
        <v>0.25921388888888885</v>
      </c>
      <c r="G519" s="738" t="s">
        <v>51</v>
      </c>
      <c r="H519" s="738" t="s">
        <v>52</v>
      </c>
      <c r="I519" s="770">
        <f>+'Seguridad Humana'!AK29</f>
        <v>1</v>
      </c>
      <c r="J519" s="738" t="s">
        <v>48</v>
      </c>
      <c r="K519" s="742" t="s">
        <v>1996</v>
      </c>
    </row>
    <row r="520" spans="1:16" ht="29.4" thickBot="1" x14ac:dyDescent="0.35">
      <c r="A520" s="738" t="s">
        <v>2143</v>
      </c>
      <c r="B520" s="741">
        <f>'[1]PLAN DE DESARROLLO 2024 - 2027'!$K$4</f>
        <v>0.29293663727866731</v>
      </c>
      <c r="C520" s="738" t="s">
        <v>2176</v>
      </c>
      <c r="D520" s="741">
        <f>'[1]PLAN DE DESARROLLO 2024 - 2027'!$K$5</f>
        <v>0.43173821655610001</v>
      </c>
      <c r="E520" s="738" t="s">
        <v>2192</v>
      </c>
      <c r="F520" s="741">
        <f>'[1]PLAN DE DESARROLLO 2024 - 2027'!$K$10</f>
        <v>0.25921388888888885</v>
      </c>
      <c r="G520" s="738" t="s">
        <v>53</v>
      </c>
      <c r="H520" s="738" t="s">
        <v>54</v>
      </c>
      <c r="I520" s="770">
        <f>+'Seguridad Humana'!AK30</f>
        <v>0.7055555555555556</v>
      </c>
      <c r="J520" s="738" t="s">
        <v>48</v>
      </c>
      <c r="K520" s="742" t="s">
        <v>1996</v>
      </c>
    </row>
    <row r="521" spans="1:16" ht="29.4" thickBot="1" x14ac:dyDescent="0.35">
      <c r="A521" s="738" t="s">
        <v>2143</v>
      </c>
      <c r="B521" s="741">
        <f>'[1]PLAN DE DESARROLLO 2024 - 2027'!$K$4</f>
        <v>0.29293663727866731</v>
      </c>
      <c r="C521" s="738" t="s">
        <v>2146</v>
      </c>
      <c r="D521" s="741">
        <f>'[1]PLAN DE DESARROLLO 2024 - 2027'!$K$11</f>
        <v>0.31811397569444444</v>
      </c>
      <c r="E521" s="738" t="s">
        <v>2193</v>
      </c>
      <c r="F521" s="741">
        <f>'[1]PLAN DE DESARROLLO 2024 - 2027'!$K$12</f>
        <v>0.47753333333333331</v>
      </c>
      <c r="G521" s="738" t="s">
        <v>56</v>
      </c>
      <c r="H521" s="738" t="s">
        <v>57</v>
      </c>
      <c r="I521" s="770">
        <f>+'Seguridad Humana'!AK33</f>
        <v>0.94479999999999997</v>
      </c>
      <c r="J521" s="738" t="s">
        <v>58</v>
      </c>
      <c r="K521" s="742" t="s">
        <v>1996</v>
      </c>
      <c r="P521" s="732"/>
    </row>
    <row r="522" spans="1:16" ht="29.4" thickBot="1" x14ac:dyDescent="0.35">
      <c r="A522" s="738" t="s">
        <v>2143</v>
      </c>
      <c r="B522" s="741">
        <f>'[1]PLAN DE DESARROLLO 2024 - 2027'!$K$4</f>
        <v>0.29293663727866731</v>
      </c>
      <c r="C522" s="738" t="s">
        <v>2146</v>
      </c>
      <c r="D522" s="741">
        <f>'[1]PLAN DE DESARROLLO 2024 - 2027'!$K$11</f>
        <v>0.31811397569444444</v>
      </c>
      <c r="E522" s="738" t="s">
        <v>2193</v>
      </c>
      <c r="F522" s="741">
        <f>'[1]PLAN DE DESARROLLO 2024 - 2027'!$K$12</f>
        <v>0.47753333333333331</v>
      </c>
      <c r="G522" s="738" t="s">
        <v>59</v>
      </c>
      <c r="H522" s="738" t="s">
        <v>60</v>
      </c>
      <c r="I522" s="770">
        <f>+'Seguridad Humana'!AK34</f>
        <v>1</v>
      </c>
      <c r="J522" s="738" t="s">
        <v>58</v>
      </c>
      <c r="K522" s="742" t="s">
        <v>1996</v>
      </c>
      <c r="P522" s="732"/>
    </row>
    <row r="523" spans="1:16" ht="43.8" thickBot="1" x14ac:dyDescent="0.35">
      <c r="A523" s="738" t="s">
        <v>2143</v>
      </c>
      <c r="B523" s="741">
        <f>'[1]PLAN DE DESARROLLO 2024 - 2027'!$K$4</f>
        <v>0.29293663727866731</v>
      </c>
      <c r="C523" s="738" t="s">
        <v>2146</v>
      </c>
      <c r="D523" s="741">
        <f>'[1]PLAN DE DESARROLLO 2024 - 2027'!$K$11</f>
        <v>0.31811397569444444</v>
      </c>
      <c r="E523" s="738" t="s">
        <v>2193</v>
      </c>
      <c r="F523" s="741">
        <f>'[1]PLAN DE DESARROLLO 2024 - 2027'!$K$12</f>
        <v>0.47753333333333331</v>
      </c>
      <c r="G523" s="738" t="s">
        <v>61</v>
      </c>
      <c r="H523" s="738" t="s">
        <v>62</v>
      </c>
      <c r="I523" s="770">
        <f>+'Seguridad Humana'!AK35</f>
        <v>0.75</v>
      </c>
      <c r="J523" s="738" t="s">
        <v>58</v>
      </c>
      <c r="K523" s="742" t="s">
        <v>1996</v>
      </c>
      <c r="P523" s="732"/>
    </row>
    <row r="524" spans="1:16" ht="43.8" thickBot="1" x14ac:dyDescent="0.35">
      <c r="A524" s="738" t="s">
        <v>2143</v>
      </c>
      <c r="B524" s="741">
        <f>'[1]PLAN DE DESARROLLO 2024 - 2027'!$K$4</f>
        <v>0.29293663727866731</v>
      </c>
      <c r="C524" s="738" t="s">
        <v>2146</v>
      </c>
      <c r="D524" s="741">
        <f>'[1]PLAN DE DESARROLLO 2024 - 2027'!$K$11</f>
        <v>0.31811397569444444</v>
      </c>
      <c r="E524" s="738" t="s">
        <v>2194</v>
      </c>
      <c r="F524" s="741">
        <f>'[1]PLAN DE DESARROLLO 2024 - 2027'!$K$13</f>
        <v>0.33499999999999996</v>
      </c>
      <c r="G524" s="738" t="s">
        <v>63</v>
      </c>
      <c r="H524" s="738" t="s">
        <v>64</v>
      </c>
      <c r="I524" s="770">
        <f>+'Seguridad Humana'!AK37</f>
        <v>0.59499999999999997</v>
      </c>
      <c r="J524" s="738" t="s">
        <v>58</v>
      </c>
      <c r="K524" s="742" t="s">
        <v>1996</v>
      </c>
      <c r="P524" s="732"/>
    </row>
    <row r="525" spans="1:16" ht="29.4" thickBot="1" x14ac:dyDescent="0.35">
      <c r="A525" s="738" t="s">
        <v>2143</v>
      </c>
      <c r="B525" s="741">
        <f>'[1]PLAN DE DESARROLLO 2024 - 2027'!$K$4</f>
        <v>0.29293663727866731</v>
      </c>
      <c r="C525" s="738" t="s">
        <v>2146</v>
      </c>
      <c r="D525" s="741">
        <f>'[1]PLAN DE DESARROLLO 2024 - 2027'!$K$11</f>
        <v>0.31811397569444444</v>
      </c>
      <c r="E525" s="738" t="s">
        <v>2194</v>
      </c>
      <c r="F525" s="741">
        <f>'[1]PLAN DE DESARROLLO 2024 - 2027'!$K$13</f>
        <v>0.33499999999999996</v>
      </c>
      <c r="G525" s="738" t="s">
        <v>65</v>
      </c>
      <c r="H525" s="738" t="s">
        <v>66</v>
      </c>
      <c r="I525" s="770">
        <f>+'Seguridad Humana'!AK38</f>
        <v>0.5</v>
      </c>
      <c r="J525" s="738" t="s">
        <v>58</v>
      </c>
      <c r="K525" s="742" t="s">
        <v>1996</v>
      </c>
      <c r="P525" s="732"/>
    </row>
    <row r="526" spans="1:16" ht="43.8" thickBot="1" x14ac:dyDescent="0.35">
      <c r="A526" s="738" t="s">
        <v>2143</v>
      </c>
      <c r="B526" s="741">
        <f>'[1]PLAN DE DESARROLLO 2024 - 2027'!$K$4</f>
        <v>0.29293663727866731</v>
      </c>
      <c r="C526" s="738" t="s">
        <v>2146</v>
      </c>
      <c r="D526" s="741">
        <f>'[1]PLAN DE DESARROLLO 2024 - 2027'!$K$11</f>
        <v>0.31811397569444444</v>
      </c>
      <c r="E526" s="738" t="s">
        <v>1600</v>
      </c>
      <c r="F526" s="741">
        <f>'[1]PLAN DE DESARROLLO 2024 - 2027'!$K$14</f>
        <v>0.27083333333333337</v>
      </c>
      <c r="G526" s="738" t="s">
        <v>67</v>
      </c>
      <c r="H526" s="738" t="s">
        <v>68</v>
      </c>
      <c r="I526" s="770">
        <f>+'Seguridad Humana'!AK40</f>
        <v>0.5</v>
      </c>
      <c r="J526" s="738" t="s">
        <v>12</v>
      </c>
      <c r="K526" s="742" t="s">
        <v>1996</v>
      </c>
      <c r="P526" s="732"/>
    </row>
    <row r="527" spans="1:16" ht="29.4" thickBot="1" x14ac:dyDescent="0.35">
      <c r="A527" s="738" t="s">
        <v>2143</v>
      </c>
      <c r="B527" s="741">
        <f>'[1]PLAN DE DESARROLLO 2024 - 2027'!$K$4</f>
        <v>0.29293663727866731</v>
      </c>
      <c r="C527" s="738" t="s">
        <v>2146</v>
      </c>
      <c r="D527" s="741">
        <f>'[1]PLAN DE DESARROLLO 2024 - 2027'!$K$11</f>
        <v>0.31811397569444444</v>
      </c>
      <c r="E527" s="738" t="s">
        <v>1600</v>
      </c>
      <c r="F527" s="741">
        <f>'[1]PLAN DE DESARROLLO 2024 - 2027'!$K$14</f>
        <v>0.27083333333333337</v>
      </c>
      <c r="G527" s="738" t="s">
        <v>69</v>
      </c>
      <c r="H527" s="738" t="s">
        <v>70</v>
      </c>
      <c r="I527" s="770">
        <f>+'Seguridad Humana'!AK41</f>
        <v>0.25</v>
      </c>
      <c r="J527" s="738" t="s">
        <v>12</v>
      </c>
      <c r="K527" s="742" t="s">
        <v>1996</v>
      </c>
      <c r="P527" s="732"/>
    </row>
    <row r="528" spans="1:16" ht="29.4" thickBot="1" x14ac:dyDescent="0.35">
      <c r="A528" s="738" t="s">
        <v>2143</v>
      </c>
      <c r="B528" s="741">
        <f>'[1]PLAN DE DESARROLLO 2024 - 2027'!$K$4</f>
        <v>0.29293663727866731</v>
      </c>
      <c r="C528" s="738" t="s">
        <v>2146</v>
      </c>
      <c r="D528" s="741">
        <f>'[1]PLAN DE DESARROLLO 2024 - 2027'!$K$11</f>
        <v>0.31811397569444444</v>
      </c>
      <c r="E528" s="738" t="s">
        <v>1600</v>
      </c>
      <c r="F528" s="741">
        <f>'[1]PLAN DE DESARROLLO 2024 - 2027'!$K$14</f>
        <v>0.27083333333333337</v>
      </c>
      <c r="G528" s="738" t="s">
        <v>71</v>
      </c>
      <c r="H528" s="738" t="s">
        <v>72</v>
      </c>
      <c r="I528" s="770">
        <f>+'Seguridad Humana'!AK42</f>
        <v>1</v>
      </c>
      <c r="J528" s="738" t="s">
        <v>12</v>
      </c>
      <c r="K528" s="742" t="s">
        <v>1996</v>
      </c>
      <c r="P528" s="732"/>
    </row>
    <row r="529" spans="1:16" ht="29.4" thickBot="1" x14ac:dyDescent="0.35">
      <c r="A529" s="738" t="s">
        <v>2143</v>
      </c>
      <c r="B529" s="741">
        <f>'[1]PLAN DE DESARROLLO 2024 - 2027'!$K$4</f>
        <v>0.29293663727866731</v>
      </c>
      <c r="C529" s="738" t="s">
        <v>2146</v>
      </c>
      <c r="D529" s="741">
        <f>'[1]PLAN DE DESARROLLO 2024 - 2027'!$K$11</f>
        <v>0.31811397569444444</v>
      </c>
      <c r="E529" s="738" t="s">
        <v>1600</v>
      </c>
      <c r="F529" s="741">
        <f>'[1]PLAN DE DESARROLLO 2024 - 2027'!$K$14</f>
        <v>0.27083333333333337</v>
      </c>
      <c r="G529" s="738" t="s">
        <v>73</v>
      </c>
      <c r="H529" s="738" t="s">
        <v>74</v>
      </c>
      <c r="I529" s="770">
        <f>+'Seguridad Humana'!AK43</f>
        <v>1</v>
      </c>
      <c r="J529" s="738" t="s">
        <v>31</v>
      </c>
      <c r="K529" s="742" t="s">
        <v>1996</v>
      </c>
      <c r="P529" s="732"/>
    </row>
    <row r="530" spans="1:16" ht="29.4" thickBot="1" x14ac:dyDescent="0.35">
      <c r="A530" s="738" t="s">
        <v>2143</v>
      </c>
      <c r="B530" s="741">
        <f>'[1]PLAN DE DESARROLLO 2024 - 2027'!$K$4</f>
        <v>0.29293663727866731</v>
      </c>
      <c r="C530" s="738" t="s">
        <v>2146</v>
      </c>
      <c r="D530" s="741">
        <f>'[1]PLAN DE DESARROLLO 2024 - 2027'!$K$11</f>
        <v>0.31811397569444444</v>
      </c>
      <c r="E530" s="738" t="s">
        <v>2195</v>
      </c>
      <c r="F530" s="741">
        <f>'[1]PLAN DE DESARROLLO 2024 - 2027'!$K$15</f>
        <v>0.22055555555555553</v>
      </c>
      <c r="G530" s="738" t="s">
        <v>75</v>
      </c>
      <c r="H530" s="738" t="s">
        <v>76</v>
      </c>
      <c r="I530" s="770">
        <f>+'Seguridad Humana'!AK45</f>
        <v>0</v>
      </c>
      <c r="J530" s="738" t="s">
        <v>12</v>
      </c>
      <c r="K530" s="742" t="s">
        <v>1996</v>
      </c>
      <c r="P530" s="732"/>
    </row>
    <row r="531" spans="1:16" ht="29.4" thickBot="1" x14ac:dyDescent="0.35">
      <c r="A531" s="738" t="s">
        <v>2143</v>
      </c>
      <c r="B531" s="741">
        <f>'[1]PLAN DE DESARROLLO 2024 - 2027'!$K$4</f>
        <v>0.29293663727866731</v>
      </c>
      <c r="C531" s="738" t="s">
        <v>2146</v>
      </c>
      <c r="D531" s="741">
        <f>'[1]PLAN DE DESARROLLO 2024 - 2027'!$K$11</f>
        <v>0.31811397569444444</v>
      </c>
      <c r="E531" s="738" t="s">
        <v>2195</v>
      </c>
      <c r="F531" s="741">
        <f>'[1]PLAN DE DESARROLLO 2024 - 2027'!$K$15</f>
        <v>0.22055555555555553</v>
      </c>
      <c r="G531" s="738" t="s">
        <v>77</v>
      </c>
      <c r="H531" s="738" t="s">
        <v>78</v>
      </c>
      <c r="I531" s="771">
        <f>+'Seguridad Humana'!AK46</f>
        <v>1</v>
      </c>
      <c r="J531" s="738" t="s">
        <v>12</v>
      </c>
      <c r="K531" s="742" t="s">
        <v>1996</v>
      </c>
      <c r="P531" s="732"/>
    </row>
    <row r="532" spans="1:16" ht="29.4" thickBot="1" x14ac:dyDescent="0.35">
      <c r="A532" s="738" t="s">
        <v>2143</v>
      </c>
      <c r="B532" s="741">
        <f>'[1]PLAN DE DESARROLLO 2024 - 2027'!$K$4</f>
        <v>0.29293663727866731</v>
      </c>
      <c r="C532" s="738" t="s">
        <v>2146</v>
      </c>
      <c r="D532" s="741">
        <f>'[1]PLAN DE DESARROLLO 2024 - 2027'!$K$11</f>
        <v>0.31811397569444444</v>
      </c>
      <c r="E532" s="738" t="s">
        <v>2195</v>
      </c>
      <c r="F532" s="741">
        <f>'[1]PLAN DE DESARROLLO 2024 - 2027'!$K$15</f>
        <v>0.22055555555555553</v>
      </c>
      <c r="G532" s="738" t="s">
        <v>79</v>
      </c>
      <c r="H532" s="738" t="s">
        <v>80</v>
      </c>
      <c r="I532" s="770">
        <f>+'Seguridad Humana'!AK47</f>
        <v>0.45833333333333331</v>
      </c>
      <c r="J532" s="738" t="s">
        <v>12</v>
      </c>
      <c r="K532" s="742" t="s">
        <v>1996</v>
      </c>
      <c r="P532" s="732"/>
    </row>
    <row r="533" spans="1:16" ht="29.4" thickBot="1" x14ac:dyDescent="0.35">
      <c r="A533" s="738" t="s">
        <v>2143</v>
      </c>
      <c r="B533" s="741">
        <f>'[1]PLAN DE DESARROLLO 2024 - 2027'!$K$4</f>
        <v>0.29293663727866731</v>
      </c>
      <c r="C533" s="738" t="s">
        <v>2146</v>
      </c>
      <c r="D533" s="741">
        <f>'[1]PLAN DE DESARROLLO 2024 - 2027'!$K$11</f>
        <v>0.31811397569444444</v>
      </c>
      <c r="E533" s="738" t="s">
        <v>2195</v>
      </c>
      <c r="F533" s="741">
        <f>'[1]PLAN DE DESARROLLO 2024 - 2027'!$K$15</f>
        <v>0.22055555555555553</v>
      </c>
      <c r="G533" s="738" t="s">
        <v>81</v>
      </c>
      <c r="H533" s="738" t="s">
        <v>82</v>
      </c>
      <c r="I533" s="771">
        <f>+'Seguridad Humana'!AK48</f>
        <v>1</v>
      </c>
      <c r="J533" s="738" t="s">
        <v>12</v>
      </c>
      <c r="K533" s="742" t="s">
        <v>1996</v>
      </c>
      <c r="P533" s="732"/>
    </row>
    <row r="534" spans="1:16" ht="29.4" thickBot="1" x14ac:dyDescent="0.35">
      <c r="A534" s="738" t="s">
        <v>2143</v>
      </c>
      <c r="B534" s="741">
        <f>'[1]PLAN DE DESARROLLO 2024 - 2027'!$K$4</f>
        <v>0.29293663727866731</v>
      </c>
      <c r="C534" s="738" t="s">
        <v>2146</v>
      </c>
      <c r="D534" s="741">
        <f>'[1]PLAN DE DESARROLLO 2024 - 2027'!$K$11</f>
        <v>0.31811397569444444</v>
      </c>
      <c r="E534" s="738" t="s">
        <v>2195</v>
      </c>
      <c r="F534" s="741">
        <f>'[1]PLAN DE DESARROLLO 2024 - 2027'!$K$15</f>
        <v>0.22055555555555553</v>
      </c>
      <c r="G534" s="738" t="s">
        <v>83</v>
      </c>
      <c r="H534" s="738" t="s">
        <v>84</v>
      </c>
      <c r="I534" s="771">
        <f>+'Seguridad Humana'!AK49</f>
        <v>0</v>
      </c>
      <c r="J534" s="738" t="s">
        <v>12</v>
      </c>
      <c r="K534" s="742" t="s">
        <v>1996</v>
      </c>
      <c r="P534" s="732"/>
    </row>
    <row r="535" spans="1:16" ht="29.4" thickBot="1" x14ac:dyDescent="0.35">
      <c r="A535" s="738" t="s">
        <v>2143</v>
      </c>
      <c r="B535" s="741">
        <f>'[1]PLAN DE DESARROLLO 2024 - 2027'!$K$4</f>
        <v>0.29293663727866731</v>
      </c>
      <c r="C535" s="738" t="s">
        <v>2146</v>
      </c>
      <c r="D535" s="741">
        <f>'[1]PLAN DE DESARROLLO 2024 - 2027'!$K$11</f>
        <v>0.31811397569444444</v>
      </c>
      <c r="E535" s="738" t="s">
        <v>2195</v>
      </c>
      <c r="F535" s="741">
        <f>'[1]PLAN DE DESARROLLO 2024 - 2027'!$K$15</f>
        <v>0.22055555555555553</v>
      </c>
      <c r="G535" s="738" t="s">
        <v>85</v>
      </c>
      <c r="H535" s="738" t="s">
        <v>86</v>
      </c>
      <c r="I535" s="771">
        <f>+'Seguridad Humana'!AK50</f>
        <v>0</v>
      </c>
      <c r="J535" s="738" t="s">
        <v>12</v>
      </c>
      <c r="K535" s="742" t="s">
        <v>1996</v>
      </c>
      <c r="P535" s="732"/>
    </row>
    <row r="536" spans="1:16" ht="29.4" thickBot="1" x14ac:dyDescent="0.35">
      <c r="A536" s="738" t="s">
        <v>2143</v>
      </c>
      <c r="B536" s="741">
        <f>'[1]PLAN DE DESARROLLO 2024 - 2027'!$K$4</f>
        <v>0.29293663727866731</v>
      </c>
      <c r="C536" s="738" t="s">
        <v>2146</v>
      </c>
      <c r="D536" s="741">
        <f>'[1]PLAN DE DESARROLLO 2024 - 2027'!$K$11</f>
        <v>0.31811397569444444</v>
      </c>
      <c r="E536" s="738" t="s">
        <v>2195</v>
      </c>
      <c r="F536" s="741">
        <f>'[1]PLAN DE DESARROLLO 2024 - 2027'!$K$15</f>
        <v>0.22055555555555553</v>
      </c>
      <c r="G536" s="738" t="s">
        <v>87</v>
      </c>
      <c r="H536" s="738" t="s">
        <v>88</v>
      </c>
      <c r="I536" s="770">
        <f>+'Seguridad Humana'!AK51</f>
        <v>0.56060606060606055</v>
      </c>
      <c r="J536" s="738" t="s">
        <v>12</v>
      </c>
      <c r="K536" s="742" t="s">
        <v>1996</v>
      </c>
      <c r="P536" s="732"/>
    </row>
    <row r="537" spans="1:16" ht="43.8" thickBot="1" x14ac:dyDescent="0.35">
      <c r="A537" s="738" t="s">
        <v>2143</v>
      </c>
      <c r="B537" s="741">
        <f>'[1]PLAN DE DESARROLLO 2024 - 2027'!$K$4</f>
        <v>0.29293663727866731</v>
      </c>
      <c r="C537" s="738" t="s">
        <v>2146</v>
      </c>
      <c r="D537" s="741">
        <f>'[1]PLAN DE DESARROLLO 2024 - 2027'!$K$11</f>
        <v>0.31811397569444444</v>
      </c>
      <c r="E537" s="738" t="s">
        <v>2196</v>
      </c>
      <c r="F537" s="741">
        <f>'[1]PLAN DE DESARROLLO 2024 - 2027'!$K$16</f>
        <v>0.30199999999999999</v>
      </c>
      <c r="G537" s="738" t="s">
        <v>89</v>
      </c>
      <c r="H537" s="738" t="s">
        <v>90</v>
      </c>
      <c r="I537" s="771">
        <f>+'Seguridad Humana'!AK53</f>
        <v>0.57199999999999995</v>
      </c>
      <c r="J537" s="738" t="s">
        <v>12</v>
      </c>
      <c r="K537" s="742" t="s">
        <v>1996</v>
      </c>
      <c r="P537" s="732"/>
    </row>
    <row r="538" spans="1:16" ht="29.4" thickBot="1" x14ac:dyDescent="0.35">
      <c r="A538" s="738" t="s">
        <v>2143</v>
      </c>
      <c r="B538" s="741">
        <f>'[1]PLAN DE DESARROLLO 2024 - 2027'!$K$4</f>
        <v>0.29293663727866731</v>
      </c>
      <c r="C538" s="738" t="s">
        <v>2146</v>
      </c>
      <c r="D538" s="741">
        <f>'[1]PLAN DE DESARROLLO 2024 - 2027'!$K$11</f>
        <v>0.31811397569444444</v>
      </c>
      <c r="E538" s="738" t="s">
        <v>2196</v>
      </c>
      <c r="F538" s="741">
        <f>'[1]PLAN DE DESARROLLO 2024 - 2027'!$K$16</f>
        <v>0.30199999999999999</v>
      </c>
      <c r="G538" s="738" t="s">
        <v>91</v>
      </c>
      <c r="H538" s="738" t="s">
        <v>92</v>
      </c>
      <c r="I538" s="771">
        <f>+'Seguridad Humana'!AK54</f>
        <v>0.5</v>
      </c>
      <c r="J538" s="738" t="s">
        <v>12</v>
      </c>
      <c r="K538" s="742" t="s">
        <v>1996</v>
      </c>
      <c r="P538" s="732"/>
    </row>
    <row r="539" spans="1:16" ht="43.8" thickBot="1" x14ac:dyDescent="0.35">
      <c r="A539" s="738" t="s">
        <v>2143</v>
      </c>
      <c r="B539" s="741">
        <f>'[1]PLAN DE DESARROLLO 2024 - 2027'!$K$4</f>
        <v>0.29293663727866731</v>
      </c>
      <c r="C539" s="738" t="s">
        <v>2146</v>
      </c>
      <c r="D539" s="741">
        <f>'[1]PLAN DE DESARROLLO 2024 - 2027'!$K$11</f>
        <v>0.31811397569444444</v>
      </c>
      <c r="E539" s="738" t="s">
        <v>2196</v>
      </c>
      <c r="F539" s="741">
        <f>'[1]PLAN DE DESARROLLO 2024 - 2027'!$K$16</f>
        <v>0.30199999999999999</v>
      </c>
      <c r="G539" s="738" t="s">
        <v>93</v>
      </c>
      <c r="H539" s="738" t="s">
        <v>94</v>
      </c>
      <c r="I539" s="770">
        <f>+'Seguridad Humana'!AK55</f>
        <v>0.75439999999999996</v>
      </c>
      <c r="J539" s="738" t="s">
        <v>12</v>
      </c>
      <c r="K539" s="742" t="s">
        <v>1996</v>
      </c>
      <c r="P539" s="732"/>
    </row>
    <row r="540" spans="1:16" ht="29.4" thickBot="1" x14ac:dyDescent="0.35">
      <c r="A540" s="738" t="s">
        <v>2143</v>
      </c>
      <c r="B540" s="741">
        <f>'[1]PLAN DE DESARROLLO 2024 - 2027'!$K$4</f>
        <v>0.29293663727866731</v>
      </c>
      <c r="C540" s="738" t="s">
        <v>2146</v>
      </c>
      <c r="D540" s="741">
        <f>'[1]PLAN DE DESARROLLO 2024 - 2027'!$K$11</f>
        <v>0.31811397569444444</v>
      </c>
      <c r="E540" s="738" t="s">
        <v>2196</v>
      </c>
      <c r="F540" s="741">
        <f>'[1]PLAN DE DESARROLLO 2024 - 2027'!$K$16</f>
        <v>0.30199999999999999</v>
      </c>
      <c r="G540" s="738" t="s">
        <v>95</v>
      </c>
      <c r="H540" s="738" t="s">
        <v>96</v>
      </c>
      <c r="I540" s="770">
        <f>+'Seguridad Humana'!AK56</f>
        <v>0.25</v>
      </c>
      <c r="J540" s="738" t="s">
        <v>12</v>
      </c>
      <c r="K540" s="742" t="s">
        <v>1996</v>
      </c>
      <c r="P540" s="732"/>
    </row>
    <row r="541" spans="1:16" ht="29.4" thickBot="1" x14ac:dyDescent="0.35">
      <c r="A541" s="738" t="s">
        <v>2143</v>
      </c>
      <c r="B541" s="741">
        <f>'[1]PLAN DE DESARROLLO 2024 - 2027'!$K$4</f>
        <v>0.29293663727866731</v>
      </c>
      <c r="C541" s="738" t="s">
        <v>2146</v>
      </c>
      <c r="D541" s="741">
        <f>'[1]PLAN DE DESARROLLO 2024 - 2027'!$K$11</f>
        <v>0.31811397569444444</v>
      </c>
      <c r="E541" s="738" t="s">
        <v>1603</v>
      </c>
      <c r="F541" s="741">
        <f>'[1]PLAN DE DESARROLLO 2024 - 2027'!$K$16</f>
        <v>0.30199999999999999</v>
      </c>
      <c r="G541" s="738" t="s">
        <v>97</v>
      </c>
      <c r="H541" s="738" t="s">
        <v>98</v>
      </c>
      <c r="I541" s="771">
        <f>+'Seguridad Humana'!AK58</f>
        <v>0</v>
      </c>
      <c r="J541" s="738" t="s">
        <v>12</v>
      </c>
      <c r="K541" s="742" t="s">
        <v>1996</v>
      </c>
      <c r="P541" s="732"/>
    </row>
    <row r="542" spans="1:16" ht="29.4" thickBot="1" x14ac:dyDescent="0.35">
      <c r="A542" s="738" t="s">
        <v>2143</v>
      </c>
      <c r="B542" s="741">
        <f>'[1]PLAN DE DESARROLLO 2024 - 2027'!$K$4</f>
        <v>0.29293663727866731</v>
      </c>
      <c r="C542" s="738" t="s">
        <v>2146</v>
      </c>
      <c r="D542" s="741">
        <f>'[1]PLAN DE DESARROLLO 2024 - 2027'!$K$11</f>
        <v>0.31811397569444444</v>
      </c>
      <c r="E542" s="738" t="s">
        <v>1603</v>
      </c>
      <c r="F542" s="741">
        <f>'[1]PLAN DE DESARROLLO 2024 - 2027'!$K$16</f>
        <v>0.30199999999999999</v>
      </c>
      <c r="G542" s="738" t="s">
        <v>99</v>
      </c>
      <c r="H542" s="738" t="s">
        <v>100</v>
      </c>
      <c r="I542" s="770">
        <f>+'Seguridad Humana'!AK59</f>
        <v>0.34100000000000003</v>
      </c>
      <c r="J542" s="738" t="s">
        <v>12</v>
      </c>
      <c r="K542" s="742" t="s">
        <v>1996</v>
      </c>
      <c r="P542" s="732"/>
    </row>
    <row r="543" spans="1:16" ht="29.4" thickBot="1" x14ac:dyDescent="0.35">
      <c r="A543" s="738" t="s">
        <v>2197</v>
      </c>
      <c r="B543" s="741">
        <f>'[1]PLAN DE DESARROLLO 2024 - 2027'!$K$46</f>
        <v>0.28357478219025023</v>
      </c>
      <c r="C543" s="738" t="s">
        <v>2198</v>
      </c>
      <c r="D543" s="741">
        <f>'[1]PLAN DE DESARROLLO 2024 - 2027'!$K$47</f>
        <v>0.29578926734134092</v>
      </c>
      <c r="E543" s="738" t="s">
        <v>1985</v>
      </c>
      <c r="F543" s="741">
        <f>'[1]PLAN DE DESARROLLO 2024 - 2027'!$K$62</f>
        <v>0</v>
      </c>
      <c r="G543" s="738" t="s">
        <v>428</v>
      </c>
      <c r="H543" s="738" t="s">
        <v>429</v>
      </c>
      <c r="I543" s="770">
        <f>+'Vida Digna'!AK50</f>
        <v>0.33333333333333331</v>
      </c>
      <c r="J543" s="738" t="s">
        <v>2199</v>
      </c>
      <c r="K543" s="742" t="s">
        <v>1996</v>
      </c>
      <c r="P543" s="732"/>
    </row>
    <row r="544" spans="1:16" ht="43.8" thickBot="1" x14ac:dyDescent="0.35">
      <c r="A544" s="738" t="s">
        <v>2197</v>
      </c>
      <c r="B544" s="741">
        <f>'[1]PLAN DE DESARROLLO 2024 - 2027'!$K$46</f>
        <v>0.28357478219025023</v>
      </c>
      <c r="C544" s="738" t="s">
        <v>2198</v>
      </c>
      <c r="D544" s="741">
        <f>'[1]PLAN DE DESARROLLO 2024 - 2027'!$K$47</f>
        <v>0.29578926734134092</v>
      </c>
      <c r="E544" s="738" t="s">
        <v>1985</v>
      </c>
      <c r="F544" s="741">
        <f>'[1]PLAN DE DESARROLLO 2024 - 2027'!$K$62</f>
        <v>0</v>
      </c>
      <c r="G544" s="738" t="s">
        <v>430</v>
      </c>
      <c r="H544" s="738" t="s">
        <v>431</v>
      </c>
      <c r="I544" s="770">
        <f>+'Vida Digna'!AK51</f>
        <v>0.33333333333333331</v>
      </c>
      <c r="J544" s="738" t="s">
        <v>2199</v>
      </c>
      <c r="K544" s="742" t="s">
        <v>1996</v>
      </c>
      <c r="P544" s="732"/>
    </row>
    <row r="545" spans="1:16" ht="29.4" thickBot="1" x14ac:dyDescent="0.35">
      <c r="A545" s="738" t="s">
        <v>2197</v>
      </c>
      <c r="B545" s="741">
        <f>'[1]PLAN DE DESARROLLO 2024 - 2027'!$K$46</f>
        <v>0.28357478219025023</v>
      </c>
      <c r="C545" s="738" t="s">
        <v>2198</v>
      </c>
      <c r="D545" s="741">
        <f>'[1]PLAN DE DESARROLLO 2024 - 2027'!$K$47</f>
        <v>0.29578926734134092</v>
      </c>
      <c r="E545" s="738" t="s">
        <v>1653</v>
      </c>
      <c r="F545" s="741">
        <f>'[1]PLAN DE DESARROLLO 2024 - 2027'!$K$62</f>
        <v>0</v>
      </c>
      <c r="G545" s="738" t="s">
        <v>473</v>
      </c>
      <c r="H545" s="738" t="s">
        <v>474</v>
      </c>
      <c r="I545" s="770">
        <f>+'Vida Digna'!AK78</f>
        <v>0.25</v>
      </c>
      <c r="J545" s="738" t="s">
        <v>2200</v>
      </c>
      <c r="K545" s="742" t="s">
        <v>1996</v>
      </c>
      <c r="P545" s="732"/>
    </row>
    <row r="546" spans="1:16" ht="15" thickBot="1" x14ac:dyDescent="0.35">
      <c r="A546" s="738" t="s">
        <v>2197</v>
      </c>
      <c r="B546" s="741">
        <f>'[1]PLAN DE DESARROLLO 2024 - 2027'!$K$46</f>
        <v>0.28357478219025023</v>
      </c>
      <c r="C546" s="738" t="s">
        <v>2198</v>
      </c>
      <c r="D546" s="741">
        <f>'[1]PLAN DE DESARROLLO 2024 - 2027'!$K$47</f>
        <v>0.29578926734134092</v>
      </c>
      <c r="E546" s="738" t="s">
        <v>1653</v>
      </c>
      <c r="F546" s="741">
        <f>'[1]PLAN DE DESARROLLO 2024 - 2027'!$K$62</f>
        <v>0</v>
      </c>
      <c r="G546" s="738" t="s">
        <v>476</v>
      </c>
      <c r="H546" s="738" t="s">
        <v>477</v>
      </c>
      <c r="I546" s="770">
        <f>+'Vida Digna'!AK79</f>
        <v>0</v>
      </c>
      <c r="J546" s="738" t="s">
        <v>2200</v>
      </c>
      <c r="K546" s="742" t="s">
        <v>1996</v>
      </c>
      <c r="P546" s="732"/>
    </row>
    <row r="547" spans="1:16" ht="29.4" thickBot="1" x14ac:dyDescent="0.35">
      <c r="A547" s="738" t="s">
        <v>2197</v>
      </c>
      <c r="B547" s="741">
        <f>'[1]PLAN DE DESARROLLO 2024 - 2027'!$K$46</f>
        <v>0.28357478219025023</v>
      </c>
      <c r="C547" s="738" t="s">
        <v>2198</v>
      </c>
      <c r="D547" s="741">
        <f>'[1]PLAN DE DESARROLLO 2024 - 2027'!$K$47</f>
        <v>0.29578926734134092</v>
      </c>
      <c r="E547" s="738" t="s">
        <v>1653</v>
      </c>
      <c r="F547" s="741">
        <f>'[1]PLAN DE DESARROLLO 2024 - 2027'!$K$62</f>
        <v>0</v>
      </c>
      <c r="G547" s="738" t="s">
        <v>478</v>
      </c>
      <c r="H547" s="738" t="s">
        <v>479</v>
      </c>
      <c r="I547" s="771">
        <f>+'Vida Digna'!AK80</f>
        <v>0</v>
      </c>
      <c r="J547" s="738" t="s">
        <v>2200</v>
      </c>
      <c r="K547" s="742" t="s">
        <v>1996</v>
      </c>
      <c r="P547" s="732"/>
    </row>
    <row r="548" spans="1:16" ht="29.4" thickBot="1" x14ac:dyDescent="0.35">
      <c r="A548" s="738" t="s">
        <v>2197</v>
      </c>
      <c r="B548" s="741">
        <f>'[1]PLAN DE DESARROLLO 2024 - 2027'!$K$46</f>
        <v>0.28357478219025023</v>
      </c>
      <c r="C548" s="738" t="s">
        <v>2198</v>
      </c>
      <c r="D548" s="741">
        <f>'[1]PLAN DE DESARROLLO 2024 - 2027'!$K$47</f>
        <v>0.29578926734134092</v>
      </c>
      <c r="E548" s="738" t="s">
        <v>1653</v>
      </c>
      <c r="F548" s="741">
        <f>'[1]PLAN DE DESARROLLO 2024 - 2027'!$K$62</f>
        <v>0</v>
      </c>
      <c r="G548" s="738" t="s">
        <v>480</v>
      </c>
      <c r="H548" s="738" t="s">
        <v>481</v>
      </c>
      <c r="I548" s="770">
        <f>+'Vida Digna'!AK81</f>
        <v>0.2</v>
      </c>
      <c r="J548" s="738" t="s">
        <v>2200</v>
      </c>
      <c r="K548" s="742" t="s">
        <v>1996</v>
      </c>
      <c r="P548" s="732"/>
    </row>
    <row r="549" spans="1:16" ht="15" thickBot="1" x14ac:dyDescent="0.35">
      <c r="A549" s="738" t="s">
        <v>2197</v>
      </c>
      <c r="B549" s="741">
        <f>'[1]PLAN DE DESARROLLO 2024 - 2027'!$K$46</f>
        <v>0.28357478219025023</v>
      </c>
      <c r="C549" s="738" t="s">
        <v>2198</v>
      </c>
      <c r="D549" s="741">
        <f>'[1]PLAN DE DESARROLLO 2024 - 2027'!$K$47</f>
        <v>0.29578926734134092</v>
      </c>
      <c r="E549" s="738" t="s">
        <v>1653</v>
      </c>
      <c r="F549" s="741">
        <f>'[1]PLAN DE DESARROLLO 2024 - 2027'!$K$62</f>
        <v>0</v>
      </c>
      <c r="G549" s="738" t="s">
        <v>482</v>
      </c>
      <c r="H549" s="738" t="s">
        <v>483</v>
      </c>
      <c r="I549" s="770">
        <f>+'Vida Digna'!AK82</f>
        <v>0</v>
      </c>
      <c r="J549" s="738" t="s">
        <v>2200</v>
      </c>
      <c r="K549" s="742" t="s">
        <v>1996</v>
      </c>
      <c r="P549" s="732"/>
    </row>
    <row r="550" spans="1:16" ht="15" thickBot="1" x14ac:dyDescent="0.35">
      <c r="A550" s="738" t="s">
        <v>2197</v>
      </c>
      <c r="B550" s="741">
        <f>'[1]PLAN DE DESARROLLO 2024 - 2027'!$K$46</f>
        <v>0.28357478219025023</v>
      </c>
      <c r="C550" s="738" t="s">
        <v>2198</v>
      </c>
      <c r="D550" s="741">
        <f>'[1]PLAN DE DESARROLLO 2024 - 2027'!$K$47</f>
        <v>0.29578926734134092</v>
      </c>
      <c r="E550" s="738" t="s">
        <v>1653</v>
      </c>
      <c r="F550" s="741">
        <f>'[1]PLAN DE DESARROLLO 2024 - 2027'!$K$62</f>
        <v>0</v>
      </c>
      <c r="G550" s="738" t="s">
        <v>484</v>
      </c>
      <c r="H550" s="738" t="s">
        <v>485</v>
      </c>
      <c r="I550" s="770">
        <f>+'Vida Digna'!AK83</f>
        <v>0</v>
      </c>
      <c r="J550" s="738" t="s">
        <v>2200</v>
      </c>
      <c r="K550" s="742" t="s">
        <v>1996</v>
      </c>
      <c r="P550" s="732"/>
    </row>
    <row r="551" spans="1:16" ht="15" thickBot="1" x14ac:dyDescent="0.35">
      <c r="A551" s="738" t="s">
        <v>2197</v>
      </c>
      <c r="B551" s="741">
        <f>'[1]PLAN DE DESARROLLO 2024 - 2027'!$K$46</f>
        <v>0.28357478219025023</v>
      </c>
      <c r="C551" s="738" t="s">
        <v>2198</v>
      </c>
      <c r="D551" s="741">
        <f>'[1]PLAN DE DESARROLLO 2024 - 2027'!$K$47</f>
        <v>0.29578926734134092</v>
      </c>
      <c r="E551" s="738" t="s">
        <v>1653</v>
      </c>
      <c r="F551" s="741">
        <f>'[1]PLAN DE DESARROLLO 2024 - 2027'!$K$62</f>
        <v>0</v>
      </c>
      <c r="G551" s="738" t="s">
        <v>486</v>
      </c>
      <c r="H551" s="738" t="s">
        <v>487</v>
      </c>
      <c r="I551" s="770">
        <f>+'Vida Digna'!AK84</f>
        <v>0.20948970456580127</v>
      </c>
      <c r="J551" s="738" t="s">
        <v>2200</v>
      </c>
      <c r="K551" s="742" t="s">
        <v>1996</v>
      </c>
      <c r="P551" s="732"/>
    </row>
    <row r="552" spans="1:16" ht="29.4" thickBot="1" x14ac:dyDescent="0.35">
      <c r="A552" s="738" t="s">
        <v>2197</v>
      </c>
      <c r="B552" s="741">
        <f>'[1]PLAN DE DESARROLLO 2024 - 2027'!$K$46</f>
        <v>0.28357478219025023</v>
      </c>
      <c r="C552" s="738" t="s">
        <v>2201</v>
      </c>
      <c r="D552" s="741">
        <f>'[1]PLAN DE DESARROLLO 2024 - 2027'!$K$73</f>
        <v>0.30468955227047623</v>
      </c>
      <c r="E552" s="738" t="s">
        <v>2202</v>
      </c>
      <c r="F552" s="741">
        <f>'[1]PLAN DE DESARROLLO 2024 - 2027'!$K$79</f>
        <v>0</v>
      </c>
      <c r="G552" s="738" t="s">
        <v>612</v>
      </c>
      <c r="H552" s="738" t="s">
        <v>613</v>
      </c>
      <c r="I552" s="770">
        <f>+'Vida Digna'!AK161</f>
        <v>0</v>
      </c>
      <c r="J552" s="738" t="s">
        <v>2203</v>
      </c>
      <c r="K552" s="742" t="s">
        <v>1996</v>
      </c>
      <c r="P552" s="732"/>
    </row>
    <row r="553" spans="1:16" ht="29.4" thickBot="1" x14ac:dyDescent="0.35">
      <c r="A553" s="738" t="s">
        <v>2197</v>
      </c>
      <c r="B553" s="741">
        <f>'[1]PLAN DE DESARROLLO 2024 - 2027'!$K$46</f>
        <v>0.28357478219025023</v>
      </c>
      <c r="C553" s="738" t="s">
        <v>2201</v>
      </c>
      <c r="D553" s="741">
        <f>'[1]PLAN DE DESARROLLO 2024 - 2027'!$K$73</f>
        <v>0.30468955227047623</v>
      </c>
      <c r="E553" s="738" t="s">
        <v>2202</v>
      </c>
      <c r="F553" s="741">
        <f>'[1]PLAN DE DESARROLLO 2024 - 2027'!$K$79</f>
        <v>0</v>
      </c>
      <c r="G553" s="738" t="s">
        <v>614</v>
      </c>
      <c r="H553" s="738" t="s">
        <v>615</v>
      </c>
      <c r="I553" s="771">
        <f>+'Vida Digna'!AK162</f>
        <v>0</v>
      </c>
      <c r="J553" s="738" t="s">
        <v>2203</v>
      </c>
      <c r="K553" s="742" t="s">
        <v>1996</v>
      </c>
      <c r="P553" s="732"/>
    </row>
    <row r="554" spans="1:16" ht="29.4" thickBot="1" x14ac:dyDescent="0.35">
      <c r="A554" s="738" t="s">
        <v>2197</v>
      </c>
      <c r="B554" s="741">
        <f>'[1]PLAN DE DESARROLLO 2024 - 2027'!$K$46</f>
        <v>0.28357478219025023</v>
      </c>
      <c r="C554" s="738" t="s">
        <v>2201</v>
      </c>
      <c r="D554" s="741">
        <f>'[1]PLAN DE DESARROLLO 2024 - 2027'!$K$73</f>
        <v>0.30468955227047623</v>
      </c>
      <c r="E554" s="738" t="s">
        <v>2202</v>
      </c>
      <c r="F554" s="741">
        <f>'[1]PLAN DE DESARROLLO 2024 - 2027'!$K$79</f>
        <v>0</v>
      </c>
      <c r="G554" s="738" t="s">
        <v>616</v>
      </c>
      <c r="H554" s="738" t="s">
        <v>617</v>
      </c>
      <c r="I554" s="770">
        <f>+'Vida Digna'!AK163</f>
        <v>0</v>
      </c>
      <c r="J554" s="738" t="s">
        <v>2203</v>
      </c>
      <c r="K554" s="742" t="s">
        <v>1996</v>
      </c>
      <c r="P554" s="732"/>
    </row>
    <row r="555" spans="1:16" ht="29.4" thickBot="1" x14ac:dyDescent="0.35">
      <c r="A555" s="738" t="s">
        <v>2197</v>
      </c>
      <c r="B555" s="741">
        <f>'[1]PLAN DE DESARROLLO 2024 - 2027'!$K$46</f>
        <v>0.28357478219025023</v>
      </c>
      <c r="C555" s="738" t="s">
        <v>2198</v>
      </c>
      <c r="D555" s="741">
        <f>'[1]PLAN DE DESARROLLO 2024 - 2027'!$K$47</f>
        <v>0.29578926734134092</v>
      </c>
      <c r="E555" s="738" t="s">
        <v>1640</v>
      </c>
      <c r="F555" s="741">
        <f>'[1]PLAN DE DESARROLLO 2024 - 2027'!$K$48</f>
        <v>0.15</v>
      </c>
      <c r="G555" s="738" t="s">
        <v>355</v>
      </c>
      <c r="H555" s="738" t="s">
        <v>356</v>
      </c>
      <c r="I555" s="770">
        <f>+'Vida Digna'!AK6</f>
        <v>0.1</v>
      </c>
      <c r="J555" s="738" t="s">
        <v>2199</v>
      </c>
      <c r="K555" s="742" t="s">
        <v>1996</v>
      </c>
      <c r="P555" s="732"/>
    </row>
    <row r="556" spans="1:16" ht="15" thickBot="1" x14ac:dyDescent="0.35">
      <c r="A556" s="738" t="s">
        <v>2197</v>
      </c>
      <c r="B556" s="741">
        <f>'[1]PLAN DE DESARROLLO 2024 - 2027'!$K$46</f>
        <v>0.28357478219025023</v>
      </c>
      <c r="C556" s="738" t="s">
        <v>2198</v>
      </c>
      <c r="D556" s="741">
        <f>'[1]PLAN DE DESARROLLO 2024 - 2027'!$K$47</f>
        <v>0.29578926734134092</v>
      </c>
      <c r="E556" s="738" t="s">
        <v>1640</v>
      </c>
      <c r="F556" s="741">
        <f>'[1]PLAN DE DESARROLLO 2024 - 2027'!$K$48</f>
        <v>0.15</v>
      </c>
      <c r="G556" s="738" t="s">
        <v>358</v>
      </c>
      <c r="H556" s="738" t="s">
        <v>359</v>
      </c>
      <c r="I556" s="770">
        <f>+'Vida Digna'!AK7</f>
        <v>6.6666666666666666E-2</v>
      </c>
      <c r="J556" s="738" t="s">
        <v>2199</v>
      </c>
      <c r="K556" s="742" t="s">
        <v>1996</v>
      </c>
      <c r="P556" s="732"/>
    </row>
    <row r="557" spans="1:16" ht="15" thickBot="1" x14ac:dyDescent="0.35">
      <c r="A557" s="738" t="s">
        <v>2197</v>
      </c>
      <c r="B557" s="741">
        <f>'[1]PLAN DE DESARROLLO 2024 - 2027'!$K$46</f>
        <v>0.28357478219025023</v>
      </c>
      <c r="C557" s="738" t="s">
        <v>2198</v>
      </c>
      <c r="D557" s="741">
        <f>'[1]PLAN DE DESARROLLO 2024 - 2027'!$K$47</f>
        <v>0.29578926734134092</v>
      </c>
      <c r="E557" s="738" t="s">
        <v>1640</v>
      </c>
      <c r="F557" s="741">
        <f>'[1]PLAN DE DESARROLLO 2024 - 2027'!$K$48</f>
        <v>0.15</v>
      </c>
      <c r="G557" s="738" t="s">
        <v>360</v>
      </c>
      <c r="H557" s="738" t="s">
        <v>361</v>
      </c>
      <c r="I557" s="770">
        <f>+'Vida Digna'!AK8</f>
        <v>0.39800000000000002</v>
      </c>
      <c r="J557" s="738" t="s">
        <v>2199</v>
      </c>
      <c r="K557" s="742" t="s">
        <v>1996</v>
      </c>
      <c r="P557" s="732"/>
    </row>
    <row r="558" spans="1:16" ht="29.4" thickBot="1" x14ac:dyDescent="0.35">
      <c r="A558" s="738" t="s">
        <v>2197</v>
      </c>
      <c r="B558" s="741">
        <f>'[1]PLAN DE DESARROLLO 2024 - 2027'!$K$46</f>
        <v>0.28357478219025023</v>
      </c>
      <c r="C558" s="738" t="s">
        <v>2198</v>
      </c>
      <c r="D558" s="741">
        <f>'[1]PLAN DE DESARROLLO 2024 - 2027'!$K$47</f>
        <v>0.29578926734134092</v>
      </c>
      <c r="E558" s="738" t="s">
        <v>1640</v>
      </c>
      <c r="F558" s="741">
        <f>'[1]PLAN DE DESARROLLO 2024 - 2027'!$K$48</f>
        <v>0.15</v>
      </c>
      <c r="G558" s="738" t="s">
        <v>362</v>
      </c>
      <c r="H558" s="738" t="s">
        <v>363</v>
      </c>
      <c r="I558" s="770">
        <f>+'Vida Digna'!AK9</f>
        <v>0.4</v>
      </c>
      <c r="J558" s="738" t="s">
        <v>2199</v>
      </c>
      <c r="K558" s="742" t="s">
        <v>1996</v>
      </c>
      <c r="P558" s="732"/>
    </row>
    <row r="559" spans="1:16" ht="15" thickBot="1" x14ac:dyDescent="0.35">
      <c r="A559" s="738" t="s">
        <v>2197</v>
      </c>
      <c r="B559" s="741">
        <f>'[1]PLAN DE DESARROLLO 2024 - 2027'!$K$46</f>
        <v>0.28357478219025023</v>
      </c>
      <c r="C559" s="738" t="s">
        <v>2198</v>
      </c>
      <c r="D559" s="741">
        <f>'[1]PLAN DE DESARROLLO 2024 - 2027'!$K$47</f>
        <v>0.29578926734134092</v>
      </c>
      <c r="E559" s="738" t="s">
        <v>1640</v>
      </c>
      <c r="F559" s="741">
        <f>'[1]PLAN DE DESARROLLO 2024 - 2027'!$K$48</f>
        <v>0.15</v>
      </c>
      <c r="G559" s="738" t="s">
        <v>364</v>
      </c>
      <c r="H559" s="738" t="s">
        <v>365</v>
      </c>
      <c r="I559" s="770">
        <f>+'Vida Digna'!AK10</f>
        <v>0.625</v>
      </c>
      <c r="J559" s="738" t="s">
        <v>2199</v>
      </c>
      <c r="K559" s="742" t="s">
        <v>1996</v>
      </c>
      <c r="P559" s="732"/>
    </row>
    <row r="560" spans="1:16" ht="29.4" thickBot="1" x14ac:dyDescent="0.35">
      <c r="A560" s="738" t="s">
        <v>2197</v>
      </c>
      <c r="B560" s="741">
        <f>'[1]PLAN DE DESARROLLO 2024 - 2027'!$K$46</f>
        <v>0.28357478219025023</v>
      </c>
      <c r="C560" s="738" t="s">
        <v>2198</v>
      </c>
      <c r="D560" s="741">
        <f>'[1]PLAN DE DESARROLLO 2024 - 2027'!$K$47</f>
        <v>0.29578926734134092</v>
      </c>
      <c r="E560" s="738" t="s">
        <v>1640</v>
      </c>
      <c r="F560" s="741">
        <f>'[1]PLAN DE DESARROLLO 2024 - 2027'!$K$48</f>
        <v>0.15</v>
      </c>
      <c r="G560" s="738" t="s">
        <v>366</v>
      </c>
      <c r="H560" s="738" t="s">
        <v>367</v>
      </c>
      <c r="I560" s="770">
        <f>+'Vida Digna'!AK11</f>
        <v>0.41599999999999998</v>
      </c>
      <c r="J560" s="738" t="s">
        <v>2199</v>
      </c>
      <c r="K560" s="742" t="s">
        <v>1996</v>
      </c>
      <c r="P560" s="732"/>
    </row>
    <row r="561" spans="1:16" ht="43.8" thickBot="1" x14ac:dyDescent="0.35">
      <c r="A561" s="738" t="s">
        <v>2197</v>
      </c>
      <c r="B561" s="741">
        <f>'[1]PLAN DE DESARROLLO 2024 - 2027'!$K$46</f>
        <v>0.28357478219025023</v>
      </c>
      <c r="C561" s="738" t="s">
        <v>2198</v>
      </c>
      <c r="D561" s="741">
        <f>'[1]PLAN DE DESARROLLO 2024 - 2027'!$K$47</f>
        <v>0.29578926734134092</v>
      </c>
      <c r="E561" s="738" t="s">
        <v>2204</v>
      </c>
      <c r="F561" s="741">
        <f>'[1]PLAN DE DESARROLLO 2024 - 2027'!$K$49</f>
        <v>0.69047619047619047</v>
      </c>
      <c r="G561" s="738" t="s">
        <v>2205</v>
      </c>
      <c r="H561" s="738" t="s">
        <v>2206</v>
      </c>
      <c r="I561" s="770">
        <f>+'Vida Digna'!AK13</f>
        <v>0.875</v>
      </c>
      <c r="J561" s="738" t="s">
        <v>2199</v>
      </c>
      <c r="K561" s="742" t="s">
        <v>1996</v>
      </c>
      <c r="P561" s="732"/>
    </row>
    <row r="562" spans="1:16" ht="58.2" thickBot="1" x14ac:dyDescent="0.35">
      <c r="A562" s="738" t="s">
        <v>2197</v>
      </c>
      <c r="B562" s="741">
        <f>'[1]PLAN DE DESARROLLO 2024 - 2027'!$K$46</f>
        <v>0.28357478219025023</v>
      </c>
      <c r="C562" s="738" t="s">
        <v>2198</v>
      </c>
      <c r="D562" s="741">
        <f>'[1]PLAN DE DESARROLLO 2024 - 2027'!$K$47</f>
        <v>0.29578926734134092</v>
      </c>
      <c r="E562" s="738" t="s">
        <v>2204</v>
      </c>
      <c r="F562" s="741">
        <f>'[1]PLAN DE DESARROLLO 2024 - 2027'!$K$49</f>
        <v>0.69047619047619047</v>
      </c>
      <c r="G562" s="738" t="s">
        <v>370</v>
      </c>
      <c r="H562" s="738" t="s">
        <v>371</v>
      </c>
      <c r="I562" s="770">
        <f>+'Vida Digna'!AK14</f>
        <v>0.52380952380952384</v>
      </c>
      <c r="J562" s="738" t="s">
        <v>2199</v>
      </c>
      <c r="K562" s="742" t="s">
        <v>1996</v>
      </c>
      <c r="P562" s="732"/>
    </row>
    <row r="563" spans="1:16" ht="29.4" thickBot="1" x14ac:dyDescent="0.35">
      <c r="A563" s="738" t="s">
        <v>2197</v>
      </c>
      <c r="B563" s="741">
        <f>'[1]PLAN DE DESARROLLO 2024 - 2027'!$K$46</f>
        <v>0.28357478219025023</v>
      </c>
      <c r="C563" s="738" t="s">
        <v>2198</v>
      </c>
      <c r="D563" s="741">
        <f>'[1]PLAN DE DESARROLLO 2024 - 2027'!$K$47</f>
        <v>0.29578926734134092</v>
      </c>
      <c r="E563" s="738" t="s">
        <v>1642</v>
      </c>
      <c r="F563" s="741">
        <f>'[1]PLAN DE DESARROLLO 2024 - 2027'!$K$50</f>
        <v>0.31760453817784751</v>
      </c>
      <c r="G563" s="738" t="s">
        <v>372</v>
      </c>
      <c r="H563" s="738" t="s">
        <v>373</v>
      </c>
      <c r="I563" s="771">
        <f>+'Vida Digna'!AK16</f>
        <v>0</v>
      </c>
      <c r="J563" s="738" t="s">
        <v>2199</v>
      </c>
      <c r="K563" s="742" t="s">
        <v>1996</v>
      </c>
      <c r="P563" s="732"/>
    </row>
    <row r="564" spans="1:16" ht="43.8" thickBot="1" x14ac:dyDescent="0.35">
      <c r="A564" s="738" t="s">
        <v>2197</v>
      </c>
      <c r="B564" s="741">
        <f>'[1]PLAN DE DESARROLLO 2024 - 2027'!$K$46</f>
        <v>0.28357478219025023</v>
      </c>
      <c r="C564" s="738" t="s">
        <v>2198</v>
      </c>
      <c r="D564" s="741">
        <f>'[1]PLAN DE DESARROLLO 2024 - 2027'!$K$47</f>
        <v>0.29578926734134092</v>
      </c>
      <c r="E564" s="738" t="s">
        <v>1642</v>
      </c>
      <c r="F564" s="741">
        <f>'[1]PLAN DE DESARROLLO 2024 - 2027'!$K$50</f>
        <v>0.31760453817784751</v>
      </c>
      <c r="G564" s="738" t="s">
        <v>374</v>
      </c>
      <c r="H564" s="738" t="s">
        <v>375</v>
      </c>
      <c r="I564" s="770">
        <f>+'Vida Digna'!AK17</f>
        <v>0.54440308488360079</v>
      </c>
      <c r="J564" s="738" t="s">
        <v>2199</v>
      </c>
      <c r="K564" s="742" t="s">
        <v>1996</v>
      </c>
      <c r="P564" s="732"/>
    </row>
    <row r="565" spans="1:16" ht="29.4" thickBot="1" x14ac:dyDescent="0.35">
      <c r="A565" s="738" t="s">
        <v>2197</v>
      </c>
      <c r="B565" s="741">
        <f>'[1]PLAN DE DESARROLLO 2024 - 2027'!$K$46</f>
        <v>0.28357478219025023</v>
      </c>
      <c r="C565" s="738" t="s">
        <v>2198</v>
      </c>
      <c r="D565" s="741">
        <f>'[1]PLAN DE DESARROLLO 2024 - 2027'!$K$47</f>
        <v>0.29578926734134092</v>
      </c>
      <c r="E565" s="738" t="s">
        <v>1642</v>
      </c>
      <c r="F565" s="741">
        <f>'[1]PLAN DE DESARROLLO 2024 - 2027'!$K$50</f>
        <v>0.31760453817784751</v>
      </c>
      <c r="G565" s="738" t="s">
        <v>376</v>
      </c>
      <c r="H565" s="738" t="s">
        <v>377</v>
      </c>
      <c r="I565" s="770">
        <f>+'Vida Digna'!AK18</f>
        <v>0.53840909090909095</v>
      </c>
      <c r="J565" s="738" t="s">
        <v>2199</v>
      </c>
      <c r="K565" s="742" t="s">
        <v>1996</v>
      </c>
      <c r="P565" s="732"/>
    </row>
    <row r="566" spans="1:16" ht="43.8" thickBot="1" x14ac:dyDescent="0.35">
      <c r="A566" s="738" t="s">
        <v>2197</v>
      </c>
      <c r="B566" s="741">
        <f>'[1]PLAN DE DESARROLLO 2024 - 2027'!$K$46</f>
        <v>0.28357478219025023</v>
      </c>
      <c r="C566" s="738" t="s">
        <v>2198</v>
      </c>
      <c r="D566" s="741">
        <f>'[1]PLAN DE DESARROLLO 2024 - 2027'!$K$47</f>
        <v>0.29578926734134092</v>
      </c>
      <c r="E566" s="738" t="s">
        <v>1642</v>
      </c>
      <c r="F566" s="741">
        <f>'[1]PLAN DE DESARROLLO 2024 - 2027'!$K$50</f>
        <v>0.31760453817784751</v>
      </c>
      <c r="G566" s="738" t="s">
        <v>378</v>
      </c>
      <c r="H566" s="738" t="s">
        <v>379</v>
      </c>
      <c r="I566" s="770">
        <f>+'Vida Digna'!AK19</f>
        <v>0.720275</v>
      </c>
      <c r="J566" s="738" t="s">
        <v>2199</v>
      </c>
      <c r="K566" s="742" t="s">
        <v>1996</v>
      </c>
      <c r="P566" s="732"/>
    </row>
    <row r="567" spans="1:16" ht="43.8" thickBot="1" x14ac:dyDescent="0.35">
      <c r="A567" s="738" t="s">
        <v>2197</v>
      </c>
      <c r="B567" s="741">
        <f>'[1]PLAN DE DESARROLLO 2024 - 2027'!$K$46</f>
        <v>0.28357478219025023</v>
      </c>
      <c r="C567" s="738" t="s">
        <v>2198</v>
      </c>
      <c r="D567" s="741">
        <f>'[1]PLAN DE DESARROLLO 2024 - 2027'!$K$47</f>
        <v>0.29578926734134092</v>
      </c>
      <c r="E567" s="738" t="s">
        <v>1642</v>
      </c>
      <c r="F567" s="741">
        <f>'[1]PLAN DE DESARROLLO 2024 - 2027'!$K$50</f>
        <v>0.31760453817784751</v>
      </c>
      <c r="G567" s="738" t="s">
        <v>380</v>
      </c>
      <c r="H567" s="738" t="s">
        <v>381</v>
      </c>
      <c r="I567" s="770">
        <f>+'Vida Digna'!AK20</f>
        <v>0.55555555555555558</v>
      </c>
      <c r="J567" s="738" t="s">
        <v>2199</v>
      </c>
      <c r="K567" s="742" t="s">
        <v>1996</v>
      </c>
      <c r="P567" s="732"/>
    </row>
    <row r="568" spans="1:16" ht="43.8" thickBot="1" x14ac:dyDescent="0.35">
      <c r="A568" s="738" t="s">
        <v>2197</v>
      </c>
      <c r="B568" s="741">
        <f>'[1]PLAN DE DESARROLLO 2024 - 2027'!$K$46</f>
        <v>0.28357478219025023</v>
      </c>
      <c r="C568" s="738" t="s">
        <v>2198</v>
      </c>
      <c r="D568" s="741">
        <f>'[1]PLAN DE DESARROLLO 2024 - 2027'!$K$47</f>
        <v>0.29578926734134092</v>
      </c>
      <c r="E568" s="738" t="s">
        <v>2207</v>
      </c>
      <c r="F568" s="741">
        <f>'[1]PLAN DE DESARROLLO 2024 - 2027'!$K$51</f>
        <v>0.43130491491989748</v>
      </c>
      <c r="G568" s="738" t="s">
        <v>2208</v>
      </c>
      <c r="H568" s="738" t="s">
        <v>2209</v>
      </c>
      <c r="I568" s="770">
        <f>+'Vida Digna'!AK22</f>
        <v>1</v>
      </c>
      <c r="J568" s="738" t="s">
        <v>2199</v>
      </c>
      <c r="K568" s="742" t="s">
        <v>1996</v>
      </c>
      <c r="P568" s="732"/>
    </row>
    <row r="569" spans="1:16" ht="29.4" thickBot="1" x14ac:dyDescent="0.35">
      <c r="A569" s="738" t="s">
        <v>2197</v>
      </c>
      <c r="B569" s="741">
        <f>'[1]PLAN DE DESARROLLO 2024 - 2027'!$K$46</f>
        <v>0.28357478219025023</v>
      </c>
      <c r="C569" s="738" t="s">
        <v>2198</v>
      </c>
      <c r="D569" s="741">
        <f>'[1]PLAN DE DESARROLLO 2024 - 2027'!$K$47</f>
        <v>0.29578926734134092</v>
      </c>
      <c r="E569" s="738" t="s">
        <v>2207</v>
      </c>
      <c r="F569" s="741">
        <f>'[1]PLAN DE DESARROLLO 2024 - 2027'!$K$51</f>
        <v>0.43130491491989748</v>
      </c>
      <c r="G569" s="738" t="s">
        <v>384</v>
      </c>
      <c r="H569" s="738" t="s">
        <v>385</v>
      </c>
      <c r="I569" s="770">
        <f>+'Vida Digna'!AK23</f>
        <v>1</v>
      </c>
      <c r="J569" s="738" t="s">
        <v>2199</v>
      </c>
      <c r="K569" s="742" t="s">
        <v>1996</v>
      </c>
      <c r="P569" s="732"/>
    </row>
    <row r="570" spans="1:16" ht="29.4" thickBot="1" x14ac:dyDescent="0.35">
      <c r="A570" s="738" t="s">
        <v>2197</v>
      </c>
      <c r="B570" s="741">
        <f>'[1]PLAN DE DESARROLLO 2024 - 2027'!$K$46</f>
        <v>0.28357478219025023</v>
      </c>
      <c r="C570" s="738" t="s">
        <v>2198</v>
      </c>
      <c r="D570" s="741">
        <f>'[1]PLAN DE DESARROLLO 2024 - 2027'!$K$47</f>
        <v>0.29578926734134092</v>
      </c>
      <c r="E570" s="738" t="s">
        <v>2207</v>
      </c>
      <c r="F570" s="741">
        <f>'[1]PLAN DE DESARROLLO 2024 - 2027'!$K$51</f>
        <v>0.43130491491989748</v>
      </c>
      <c r="G570" s="738" t="s">
        <v>386</v>
      </c>
      <c r="H570" s="738" t="s">
        <v>387</v>
      </c>
      <c r="I570" s="770">
        <f>+'Vida Digna'!AK24</f>
        <v>0.92592592592592593</v>
      </c>
      <c r="J570" s="738" t="s">
        <v>2199</v>
      </c>
      <c r="K570" s="742" t="s">
        <v>1996</v>
      </c>
      <c r="P570" s="732"/>
    </row>
    <row r="571" spans="1:16" ht="43.8" thickBot="1" x14ac:dyDescent="0.35">
      <c r="A571" s="738" t="s">
        <v>2197</v>
      </c>
      <c r="B571" s="741">
        <f>'[1]PLAN DE DESARROLLO 2024 - 2027'!$K$46</f>
        <v>0.28357478219025023</v>
      </c>
      <c r="C571" s="738" t="s">
        <v>2198</v>
      </c>
      <c r="D571" s="741">
        <f>'[1]PLAN DE DESARROLLO 2024 - 2027'!$K$47</f>
        <v>0.29578926734134092</v>
      </c>
      <c r="E571" s="738" t="s">
        <v>2207</v>
      </c>
      <c r="F571" s="741">
        <f>'[1]PLAN DE DESARROLLO 2024 - 2027'!$K$51</f>
        <v>0.43130491491989748</v>
      </c>
      <c r="G571" s="738" t="s">
        <v>388</v>
      </c>
      <c r="H571" s="738" t="s">
        <v>389</v>
      </c>
      <c r="I571" s="770">
        <f>+'Vida Digna'!AK25</f>
        <v>0.43725000000000003</v>
      </c>
      <c r="J571" s="738" t="s">
        <v>2199</v>
      </c>
      <c r="K571" s="742" t="s">
        <v>1996</v>
      </c>
      <c r="P571" s="732"/>
    </row>
    <row r="572" spans="1:16" ht="43.8" thickBot="1" x14ac:dyDescent="0.35">
      <c r="A572" s="738" t="s">
        <v>2197</v>
      </c>
      <c r="B572" s="741">
        <f>'[1]PLAN DE DESARROLLO 2024 - 2027'!$K$46</f>
        <v>0.28357478219025023</v>
      </c>
      <c r="C572" s="738" t="s">
        <v>2198</v>
      </c>
      <c r="D572" s="741">
        <f>'[1]PLAN DE DESARROLLO 2024 - 2027'!$K$47</f>
        <v>0.29578926734134092</v>
      </c>
      <c r="E572" s="738" t="s">
        <v>2207</v>
      </c>
      <c r="F572" s="741">
        <f>'[1]PLAN DE DESARROLLO 2024 - 2027'!$K$51</f>
        <v>0.43130491491989748</v>
      </c>
      <c r="G572" s="738" t="s">
        <v>390</v>
      </c>
      <c r="H572" s="738" t="s">
        <v>391</v>
      </c>
      <c r="I572" s="770">
        <f>+'Vida Digna'!AK26</f>
        <v>0.44634146341463415</v>
      </c>
      <c r="J572" s="738" t="s">
        <v>2199</v>
      </c>
      <c r="K572" s="742" t="s">
        <v>1996</v>
      </c>
      <c r="P572" s="732"/>
    </row>
    <row r="573" spans="1:16" ht="15" thickBot="1" x14ac:dyDescent="0.35">
      <c r="A573" s="738" t="s">
        <v>2197</v>
      </c>
      <c r="B573" s="741">
        <f>'[1]PLAN DE DESARROLLO 2024 - 2027'!$K$46</f>
        <v>0.28357478219025023</v>
      </c>
      <c r="C573" s="738" t="s">
        <v>2198</v>
      </c>
      <c r="D573" s="741">
        <f>'[1]PLAN DE DESARROLLO 2024 - 2027'!$K$47</f>
        <v>0.29578926734134092</v>
      </c>
      <c r="E573" s="738" t="s">
        <v>2207</v>
      </c>
      <c r="F573" s="741">
        <f>'[1]PLAN DE DESARROLLO 2024 - 2027'!$K$51</f>
        <v>0.43130491491989748</v>
      </c>
      <c r="G573" s="738" t="s">
        <v>392</v>
      </c>
      <c r="H573" s="738" t="s">
        <v>393</v>
      </c>
      <c r="I573" s="770">
        <f>+'Vida Digna'!AK27</f>
        <v>9.7142857142857142E-2</v>
      </c>
      <c r="J573" s="738" t="s">
        <v>2199</v>
      </c>
      <c r="K573" s="742" t="s">
        <v>1996</v>
      </c>
      <c r="P573" s="732"/>
    </row>
    <row r="574" spans="1:16" ht="29.4" thickBot="1" x14ac:dyDescent="0.35">
      <c r="A574" s="738" t="s">
        <v>2197</v>
      </c>
      <c r="B574" s="741">
        <f>'[1]PLAN DE DESARROLLO 2024 - 2027'!$K$46</f>
        <v>0.28357478219025023</v>
      </c>
      <c r="C574" s="738" t="s">
        <v>2198</v>
      </c>
      <c r="D574" s="741">
        <f>'[1]PLAN DE DESARROLLO 2024 - 2027'!$K$47</f>
        <v>0.29578926734134092</v>
      </c>
      <c r="E574" s="738" t="s">
        <v>2207</v>
      </c>
      <c r="F574" s="741">
        <f>'[1]PLAN DE DESARROLLO 2024 - 2027'!$K$51</f>
        <v>0.43130491491989748</v>
      </c>
      <c r="G574" s="738" t="s">
        <v>394</v>
      </c>
      <c r="H574" s="738" t="s">
        <v>395</v>
      </c>
      <c r="I574" s="770">
        <f>+'Vida Digna'!AK28</f>
        <v>0.74</v>
      </c>
      <c r="J574" s="738" t="s">
        <v>2199</v>
      </c>
      <c r="K574" s="742" t="s">
        <v>1996</v>
      </c>
      <c r="P574" s="732"/>
    </row>
    <row r="575" spans="1:16" ht="43.8" thickBot="1" x14ac:dyDescent="0.35">
      <c r="A575" s="738" t="s">
        <v>2197</v>
      </c>
      <c r="B575" s="741">
        <f>'[1]PLAN DE DESARROLLO 2024 - 2027'!$K$46</f>
        <v>0.28357478219025023</v>
      </c>
      <c r="C575" s="738" t="s">
        <v>2198</v>
      </c>
      <c r="D575" s="741">
        <f>'[1]PLAN DE DESARROLLO 2024 - 2027'!$K$47</f>
        <v>0.29578926734134092</v>
      </c>
      <c r="E575" s="738" t="s">
        <v>2210</v>
      </c>
      <c r="F575" s="741">
        <f>'[1]PLAN DE DESARROLLO 2024 - 2027'!$K$52</f>
        <v>0.39682005385712021</v>
      </c>
      <c r="G575" s="738" t="s">
        <v>396</v>
      </c>
      <c r="H575" s="738" t="s">
        <v>397</v>
      </c>
      <c r="I575" s="770">
        <f>+'Vida Digna'!AK30</f>
        <v>0.75</v>
      </c>
      <c r="J575" s="738" t="s">
        <v>2199</v>
      </c>
      <c r="K575" s="742" t="s">
        <v>1996</v>
      </c>
      <c r="P575" s="732"/>
    </row>
    <row r="576" spans="1:16" ht="43.8" thickBot="1" x14ac:dyDescent="0.35">
      <c r="A576" s="738" t="s">
        <v>2197</v>
      </c>
      <c r="B576" s="741">
        <f>'[1]PLAN DE DESARROLLO 2024 - 2027'!$K$46</f>
        <v>0.28357478219025023</v>
      </c>
      <c r="C576" s="738" t="s">
        <v>2198</v>
      </c>
      <c r="D576" s="741">
        <f>'[1]PLAN DE DESARROLLO 2024 - 2027'!$K$47</f>
        <v>0.29578926734134092</v>
      </c>
      <c r="E576" s="738" t="s">
        <v>2210</v>
      </c>
      <c r="F576" s="741">
        <f>'[1]PLAN DE DESARROLLO 2024 - 2027'!$K$52</f>
        <v>0.39682005385712021</v>
      </c>
      <c r="G576" s="738" t="s">
        <v>2211</v>
      </c>
      <c r="H576" s="738" t="s">
        <v>2212</v>
      </c>
      <c r="I576" s="770">
        <f>+'Vida Digna'!AK31</f>
        <v>1</v>
      </c>
      <c r="J576" s="738" t="s">
        <v>2199</v>
      </c>
      <c r="K576" s="742" t="s">
        <v>1996</v>
      </c>
      <c r="P576" s="732"/>
    </row>
    <row r="577" spans="1:16" ht="43.8" thickBot="1" x14ac:dyDescent="0.35">
      <c r="A577" s="738" t="s">
        <v>2197</v>
      </c>
      <c r="B577" s="741">
        <f>'[1]PLAN DE DESARROLLO 2024 - 2027'!$K$46</f>
        <v>0.28357478219025023</v>
      </c>
      <c r="C577" s="738" t="s">
        <v>2198</v>
      </c>
      <c r="D577" s="741">
        <f>'[1]PLAN DE DESARROLLO 2024 - 2027'!$K$47</f>
        <v>0.29578926734134092</v>
      </c>
      <c r="E577" s="738" t="s">
        <v>2210</v>
      </c>
      <c r="F577" s="741">
        <f>'[1]PLAN DE DESARROLLO 2024 - 2027'!$K$52</f>
        <v>0.39682005385712021</v>
      </c>
      <c r="G577" s="738" t="s">
        <v>400</v>
      </c>
      <c r="H577" s="738" t="s">
        <v>401</v>
      </c>
      <c r="I577" s="770">
        <f>+'Vida Digna'!AK32</f>
        <v>1</v>
      </c>
      <c r="J577" s="738" t="s">
        <v>2199</v>
      </c>
      <c r="K577" s="742" t="s">
        <v>1996</v>
      </c>
      <c r="P577" s="732"/>
    </row>
    <row r="578" spans="1:16" ht="43.8" thickBot="1" x14ac:dyDescent="0.35">
      <c r="A578" s="738" t="s">
        <v>2197</v>
      </c>
      <c r="B578" s="741">
        <f>'[1]PLAN DE DESARROLLO 2024 - 2027'!$K$46</f>
        <v>0.28357478219025023</v>
      </c>
      <c r="C578" s="738" t="s">
        <v>2198</v>
      </c>
      <c r="D578" s="741">
        <f>'[1]PLAN DE DESARROLLO 2024 - 2027'!$K$47</f>
        <v>0.29578926734134092</v>
      </c>
      <c r="E578" s="738" t="s">
        <v>2210</v>
      </c>
      <c r="F578" s="741">
        <f>'[1]PLAN DE DESARROLLO 2024 - 2027'!$K$52</f>
        <v>0.39682005385712021</v>
      </c>
      <c r="G578" s="738" t="s">
        <v>402</v>
      </c>
      <c r="H578" s="738" t="s">
        <v>403</v>
      </c>
      <c r="I578" s="770">
        <f>+'Vida Digna'!AK33</f>
        <v>0.81308411214953269</v>
      </c>
      <c r="J578" s="738" t="s">
        <v>2199</v>
      </c>
      <c r="K578" s="742" t="s">
        <v>1996</v>
      </c>
      <c r="P578" s="732"/>
    </row>
    <row r="579" spans="1:16" ht="72.599999999999994" thickBot="1" x14ac:dyDescent="0.35">
      <c r="A579" s="738" t="s">
        <v>2197</v>
      </c>
      <c r="B579" s="741">
        <f>'[1]PLAN DE DESARROLLO 2024 - 2027'!$K$46</f>
        <v>0.28357478219025023</v>
      </c>
      <c r="C579" s="738" t="s">
        <v>2198</v>
      </c>
      <c r="D579" s="741">
        <f>'[1]PLAN DE DESARROLLO 2024 - 2027'!$K$47</f>
        <v>0.29578926734134092</v>
      </c>
      <c r="E579" s="738" t="s">
        <v>2213</v>
      </c>
      <c r="F579" s="741">
        <f>'[1]PLAN DE DESARROLLO 2024 - 2027'!$K$53</f>
        <v>0.14352564102564103</v>
      </c>
      <c r="G579" s="738" t="s">
        <v>404</v>
      </c>
      <c r="H579" s="738" t="s">
        <v>405</v>
      </c>
      <c r="I579" s="770">
        <f>+'Vida Digna'!AK35</f>
        <v>1</v>
      </c>
      <c r="J579" s="738" t="s">
        <v>2199</v>
      </c>
      <c r="K579" s="742" t="s">
        <v>1996</v>
      </c>
      <c r="P579" s="732"/>
    </row>
    <row r="580" spans="1:16" ht="29.4" thickBot="1" x14ac:dyDescent="0.35">
      <c r="A580" s="738" t="s">
        <v>2197</v>
      </c>
      <c r="B580" s="741">
        <f>'[1]PLAN DE DESARROLLO 2024 - 2027'!$K$46</f>
        <v>0.28357478219025023</v>
      </c>
      <c r="C580" s="738" t="s">
        <v>2198</v>
      </c>
      <c r="D580" s="741">
        <f>'[1]PLAN DE DESARROLLO 2024 - 2027'!$K$47</f>
        <v>0.29578926734134092</v>
      </c>
      <c r="E580" s="738" t="s">
        <v>2213</v>
      </c>
      <c r="F580" s="741">
        <f>'[1]PLAN DE DESARROLLO 2024 - 2027'!$K$53</f>
        <v>0.14352564102564103</v>
      </c>
      <c r="G580" s="738" t="s">
        <v>406</v>
      </c>
      <c r="H580" s="738" t="s">
        <v>407</v>
      </c>
      <c r="I580" s="770">
        <f>+'Vida Digna'!AK36</f>
        <v>1</v>
      </c>
      <c r="J580" s="738" t="s">
        <v>2199</v>
      </c>
      <c r="K580" s="742" t="s">
        <v>1996</v>
      </c>
      <c r="P580" s="732"/>
    </row>
    <row r="581" spans="1:16" ht="58.2" thickBot="1" x14ac:dyDescent="0.35">
      <c r="A581" s="738" t="s">
        <v>2197</v>
      </c>
      <c r="B581" s="741">
        <f>'[1]PLAN DE DESARROLLO 2024 - 2027'!$K$46</f>
        <v>0.28357478219025023</v>
      </c>
      <c r="C581" s="738" t="s">
        <v>2198</v>
      </c>
      <c r="D581" s="741">
        <f>'[1]PLAN DE DESARROLLO 2024 - 2027'!$K$47</f>
        <v>0.29578926734134092</v>
      </c>
      <c r="E581" s="738" t="s">
        <v>2213</v>
      </c>
      <c r="F581" s="741">
        <f>'[1]PLAN DE DESARROLLO 2024 - 2027'!$K$53</f>
        <v>0.14352564102564103</v>
      </c>
      <c r="G581" s="738" t="s">
        <v>408</v>
      </c>
      <c r="H581" s="738" t="s">
        <v>409</v>
      </c>
      <c r="I581" s="770">
        <f>+'Vida Digna'!AK37</f>
        <v>0.23636363636363636</v>
      </c>
      <c r="J581" s="738" t="s">
        <v>2199</v>
      </c>
      <c r="K581" s="742" t="s">
        <v>1996</v>
      </c>
      <c r="P581" s="732"/>
    </row>
    <row r="582" spans="1:16" ht="15" thickBot="1" x14ac:dyDescent="0.35">
      <c r="A582" s="738" t="s">
        <v>2197</v>
      </c>
      <c r="B582" s="741">
        <f>'[1]PLAN DE DESARROLLO 2024 - 2027'!$K$46</f>
        <v>0.28357478219025023</v>
      </c>
      <c r="C582" s="738" t="s">
        <v>2198</v>
      </c>
      <c r="D582" s="741">
        <f>'[1]PLAN DE DESARROLLO 2024 - 2027'!$K$47</f>
        <v>0.29578926734134092</v>
      </c>
      <c r="E582" s="738" t="s">
        <v>2213</v>
      </c>
      <c r="F582" s="741">
        <f>'[1]PLAN DE DESARROLLO 2024 - 2027'!$K$53</f>
        <v>0.14352564102564103</v>
      </c>
      <c r="G582" s="738" t="s">
        <v>410</v>
      </c>
      <c r="H582" s="738" t="s">
        <v>411</v>
      </c>
      <c r="I582" s="770">
        <f>+'Vida Digna'!AK38</f>
        <v>0.33333333333333331</v>
      </c>
      <c r="J582" s="738" t="s">
        <v>2199</v>
      </c>
      <c r="K582" s="742" t="s">
        <v>1996</v>
      </c>
      <c r="P582" s="732"/>
    </row>
    <row r="583" spans="1:16" ht="29.4" thickBot="1" x14ac:dyDescent="0.35">
      <c r="A583" s="738" t="s">
        <v>2197</v>
      </c>
      <c r="B583" s="741">
        <f>'[1]PLAN DE DESARROLLO 2024 - 2027'!$K$46</f>
        <v>0.28357478219025023</v>
      </c>
      <c r="C583" s="738" t="s">
        <v>2198</v>
      </c>
      <c r="D583" s="741">
        <f>'[1]PLAN DE DESARROLLO 2024 - 2027'!$K$47</f>
        <v>0.29578926734134092</v>
      </c>
      <c r="E583" s="738" t="s">
        <v>1646</v>
      </c>
      <c r="F583" s="741">
        <f>'[1]PLAN DE DESARROLLO 2024 - 2027'!$K$54</f>
        <v>0.453101733447002</v>
      </c>
      <c r="G583" s="738" t="s">
        <v>412</v>
      </c>
      <c r="H583" s="738" t="s">
        <v>413</v>
      </c>
      <c r="I583" s="770">
        <f>+'Vida Digna'!AK40</f>
        <v>1</v>
      </c>
      <c r="J583" s="738" t="s">
        <v>2199</v>
      </c>
      <c r="K583" s="742" t="s">
        <v>1996</v>
      </c>
      <c r="P583" s="732"/>
    </row>
    <row r="584" spans="1:16" ht="43.8" thickBot="1" x14ac:dyDescent="0.35">
      <c r="A584" s="738" t="s">
        <v>2197</v>
      </c>
      <c r="B584" s="741">
        <f>'[1]PLAN DE DESARROLLO 2024 - 2027'!$K$46</f>
        <v>0.28357478219025023</v>
      </c>
      <c r="C584" s="738" t="s">
        <v>2198</v>
      </c>
      <c r="D584" s="741">
        <f>'[1]PLAN DE DESARROLLO 2024 - 2027'!$K$47</f>
        <v>0.29578926734134092</v>
      </c>
      <c r="E584" s="738" t="s">
        <v>1646</v>
      </c>
      <c r="F584" s="741">
        <f>'[1]PLAN DE DESARROLLO 2024 - 2027'!$K$54</f>
        <v>0.453101733447002</v>
      </c>
      <c r="G584" s="738" t="s">
        <v>414</v>
      </c>
      <c r="H584" s="738" t="s">
        <v>415</v>
      </c>
      <c r="I584" s="770">
        <f>+'Vida Digna'!AK41</f>
        <v>0.15982097186700767</v>
      </c>
      <c r="J584" s="738" t="s">
        <v>2199</v>
      </c>
      <c r="K584" s="742" t="s">
        <v>1996</v>
      </c>
      <c r="P584" s="732"/>
    </row>
    <row r="585" spans="1:16" ht="29.4" thickBot="1" x14ac:dyDescent="0.35">
      <c r="A585" s="738" t="s">
        <v>2197</v>
      </c>
      <c r="B585" s="741">
        <f>'[1]PLAN DE DESARROLLO 2024 - 2027'!$K$46</f>
        <v>0.28357478219025023</v>
      </c>
      <c r="C585" s="738" t="s">
        <v>2198</v>
      </c>
      <c r="D585" s="741">
        <f>'[1]PLAN DE DESARROLLO 2024 - 2027'!$K$47</f>
        <v>0.29578926734134092</v>
      </c>
      <c r="E585" s="738" t="s">
        <v>1646</v>
      </c>
      <c r="F585" s="741">
        <f>'[1]PLAN DE DESARROLLO 2024 - 2027'!$K$54</f>
        <v>0.453101733447002</v>
      </c>
      <c r="G585" s="738" t="s">
        <v>416</v>
      </c>
      <c r="H585" s="738" t="s">
        <v>417</v>
      </c>
      <c r="I585" s="770">
        <f>+'Vida Digna'!AK42</f>
        <v>1</v>
      </c>
      <c r="J585" s="738" t="s">
        <v>2199</v>
      </c>
      <c r="K585" s="742" t="s">
        <v>1996</v>
      </c>
      <c r="P585" s="732"/>
    </row>
    <row r="586" spans="1:16" ht="43.8" thickBot="1" x14ac:dyDescent="0.35">
      <c r="A586" s="738" t="s">
        <v>2197</v>
      </c>
      <c r="B586" s="741">
        <f>'[1]PLAN DE DESARROLLO 2024 - 2027'!$K$46</f>
        <v>0.28357478219025023</v>
      </c>
      <c r="C586" s="738" t="s">
        <v>2198</v>
      </c>
      <c r="D586" s="741">
        <f>'[1]PLAN DE DESARROLLO 2024 - 2027'!$K$47</f>
        <v>0.29578926734134092</v>
      </c>
      <c r="E586" s="738" t="s">
        <v>2214</v>
      </c>
      <c r="F586" s="741">
        <f>'[1]PLAN DE DESARROLLO 2024 - 2027'!$K$55</f>
        <v>0.25908045977011496</v>
      </c>
      <c r="G586" s="738" t="s">
        <v>418</v>
      </c>
      <c r="H586" s="738" t="s">
        <v>419</v>
      </c>
      <c r="I586" s="770">
        <f>+'Vida Digna'!AK44</f>
        <v>0.90804597701149425</v>
      </c>
      <c r="J586" s="738" t="s">
        <v>2199</v>
      </c>
      <c r="K586" s="742" t="s">
        <v>1996</v>
      </c>
      <c r="P586" s="732"/>
    </row>
    <row r="587" spans="1:16" ht="29.4" thickBot="1" x14ac:dyDescent="0.35">
      <c r="A587" s="738" t="s">
        <v>2197</v>
      </c>
      <c r="B587" s="741">
        <f>'[1]PLAN DE DESARROLLO 2024 - 2027'!$K$46</f>
        <v>0.28357478219025023</v>
      </c>
      <c r="C587" s="738" t="s">
        <v>2198</v>
      </c>
      <c r="D587" s="741">
        <f>'[1]PLAN DE DESARROLLO 2024 - 2027'!$K$47</f>
        <v>0.29578926734134092</v>
      </c>
      <c r="E587" s="738" t="s">
        <v>2214</v>
      </c>
      <c r="F587" s="741">
        <f>'[1]PLAN DE DESARROLLO 2024 - 2027'!$K$55</f>
        <v>0.25908045977011496</v>
      </c>
      <c r="G587" s="738" t="s">
        <v>420</v>
      </c>
      <c r="H587" s="738" t="s">
        <v>421</v>
      </c>
      <c r="I587" s="770">
        <f>+'Vida Digna'!AK45</f>
        <v>0.26744186046511625</v>
      </c>
      <c r="J587" s="738" t="s">
        <v>2199</v>
      </c>
      <c r="K587" s="742" t="s">
        <v>1996</v>
      </c>
      <c r="P587" s="732"/>
    </row>
    <row r="588" spans="1:16" ht="29.4" thickBot="1" x14ac:dyDescent="0.35">
      <c r="A588" s="738" t="s">
        <v>2197</v>
      </c>
      <c r="B588" s="741">
        <f>'[1]PLAN DE DESARROLLO 2024 - 2027'!$K$46</f>
        <v>0.28357478219025023</v>
      </c>
      <c r="C588" s="738" t="s">
        <v>2198</v>
      </c>
      <c r="D588" s="741">
        <f>'[1]PLAN DE DESARROLLO 2024 - 2027'!$K$47</f>
        <v>0.29578926734134092</v>
      </c>
      <c r="E588" s="738" t="s">
        <v>2214</v>
      </c>
      <c r="F588" s="741">
        <f>'[1]PLAN DE DESARROLLO 2024 - 2027'!$K$55</f>
        <v>0.25908045977011496</v>
      </c>
      <c r="G588" s="738" t="s">
        <v>422</v>
      </c>
      <c r="H588" s="738" t="s">
        <v>423</v>
      </c>
      <c r="I588" s="770">
        <f>+'Vida Digna'!AK46</f>
        <v>1</v>
      </c>
      <c r="J588" s="738" t="s">
        <v>2199</v>
      </c>
      <c r="K588" s="742" t="s">
        <v>1996</v>
      </c>
      <c r="P588" s="732"/>
    </row>
    <row r="589" spans="1:16" ht="15" thickBot="1" x14ac:dyDescent="0.35">
      <c r="A589" s="738" t="s">
        <v>2197</v>
      </c>
      <c r="B589" s="741">
        <f>'[1]PLAN DE DESARROLLO 2024 - 2027'!$K$46</f>
        <v>0.28357478219025023</v>
      </c>
      <c r="C589" s="738" t="s">
        <v>2198</v>
      </c>
      <c r="D589" s="741">
        <f>'[1]PLAN DE DESARROLLO 2024 - 2027'!$K$47</f>
        <v>0.29578926734134092</v>
      </c>
      <c r="E589" s="738" t="s">
        <v>2214</v>
      </c>
      <c r="F589" s="741">
        <f>'[1]PLAN DE DESARROLLO 2024 - 2027'!$K$55</f>
        <v>0.25908045977011496</v>
      </c>
      <c r="G589" s="738" t="s">
        <v>424</v>
      </c>
      <c r="H589" s="738" t="s">
        <v>425</v>
      </c>
      <c r="I589" s="770">
        <f>+'Vida Digna'!AK47</f>
        <v>0.5</v>
      </c>
      <c r="J589" s="738" t="s">
        <v>2199</v>
      </c>
      <c r="K589" s="742" t="s">
        <v>1996</v>
      </c>
      <c r="P589" s="732"/>
    </row>
    <row r="590" spans="1:16" ht="29.4" thickBot="1" x14ac:dyDescent="0.35">
      <c r="A590" s="738" t="s">
        <v>2197</v>
      </c>
      <c r="B590" s="741">
        <f>'[1]PLAN DE DESARROLLO 2024 - 2027'!$K$46</f>
        <v>0.28357478219025023</v>
      </c>
      <c r="C590" s="738" t="s">
        <v>2198</v>
      </c>
      <c r="D590" s="741">
        <f>'[1]PLAN DE DESARROLLO 2024 - 2027'!$K$47</f>
        <v>0.29578926734134092</v>
      </c>
      <c r="E590" s="738" t="s">
        <v>2214</v>
      </c>
      <c r="F590" s="741">
        <f>'[1]PLAN DE DESARROLLO 2024 - 2027'!$K$55</f>
        <v>0.25908045977011496</v>
      </c>
      <c r="G590" s="738" t="s">
        <v>426</v>
      </c>
      <c r="H590" s="738" t="s">
        <v>427</v>
      </c>
      <c r="I590" s="770">
        <f>+'Vida Digna'!AK48</f>
        <v>0.26666666666666666</v>
      </c>
      <c r="J590" s="738" t="s">
        <v>2199</v>
      </c>
      <c r="K590" s="742" t="s">
        <v>1996</v>
      </c>
      <c r="P590" s="732"/>
    </row>
    <row r="591" spans="1:16" ht="29.4" thickBot="1" x14ac:dyDescent="0.35">
      <c r="A591" s="738" t="s">
        <v>2197</v>
      </c>
      <c r="B591" s="741">
        <f>'[1]PLAN DE DESARROLLO 2024 - 2027'!$K$46</f>
        <v>0.28357478219025023</v>
      </c>
      <c r="C591" s="738" t="s">
        <v>2198</v>
      </c>
      <c r="D591" s="741">
        <f>'[1]PLAN DE DESARROLLO 2024 - 2027'!$K$47</f>
        <v>0.29578926734134092</v>
      </c>
      <c r="E591" s="738" t="s">
        <v>2215</v>
      </c>
      <c r="F591" s="741">
        <f>'[1]PLAN DE DESARROLLO 2024 - 2027'!$K$57</f>
        <v>0.38465732087227411</v>
      </c>
      <c r="G591" s="738" t="s">
        <v>432</v>
      </c>
      <c r="H591" s="738" t="s">
        <v>433</v>
      </c>
      <c r="I591" s="770">
        <f>+'Vida Digna'!AK53</f>
        <v>0.95150000000000001</v>
      </c>
      <c r="J591" s="738" t="s">
        <v>2199</v>
      </c>
      <c r="K591" s="742" t="s">
        <v>1996</v>
      </c>
      <c r="P591" s="732"/>
    </row>
    <row r="592" spans="1:16" ht="29.4" thickBot="1" x14ac:dyDescent="0.35">
      <c r="A592" s="738" t="s">
        <v>2197</v>
      </c>
      <c r="B592" s="741">
        <f>'[1]PLAN DE DESARROLLO 2024 - 2027'!$K$46</f>
        <v>0.28357478219025023</v>
      </c>
      <c r="C592" s="738" t="s">
        <v>2198</v>
      </c>
      <c r="D592" s="741">
        <f>'[1]PLAN DE DESARROLLO 2024 - 2027'!$K$47</f>
        <v>0.29578926734134092</v>
      </c>
      <c r="E592" s="738" t="s">
        <v>2215</v>
      </c>
      <c r="F592" s="741">
        <f>'[1]PLAN DE DESARROLLO 2024 - 2027'!$K$57</f>
        <v>0.38465732087227411</v>
      </c>
      <c r="G592" s="738" t="s">
        <v>434</v>
      </c>
      <c r="H592" s="738" t="s">
        <v>435</v>
      </c>
      <c r="I592" s="770">
        <f>+'Vida Digna'!AK54</f>
        <v>1</v>
      </c>
      <c r="J592" s="738" t="s">
        <v>2199</v>
      </c>
      <c r="K592" s="742" t="s">
        <v>1996</v>
      </c>
      <c r="P592" s="732"/>
    </row>
    <row r="593" spans="1:16" ht="31.2" customHeight="1" thickBot="1" x14ac:dyDescent="0.35">
      <c r="A593" s="738" t="s">
        <v>2197</v>
      </c>
      <c r="B593" s="741">
        <f>'[1]PLAN DE DESARROLLO 2024 - 2027'!$K$46</f>
        <v>0.28357478219025023</v>
      </c>
      <c r="C593" s="738" t="s">
        <v>2198</v>
      </c>
      <c r="D593" s="741">
        <f>'[1]PLAN DE DESARROLLO 2024 - 2027'!$K$47</f>
        <v>0.29578926734134092</v>
      </c>
      <c r="E593" s="738" t="s">
        <v>2215</v>
      </c>
      <c r="F593" s="741">
        <f>'[1]PLAN DE DESARROLLO 2024 - 2027'!$K$57</f>
        <v>0.38465732087227411</v>
      </c>
      <c r="G593" s="738" t="s">
        <v>436</v>
      </c>
      <c r="H593" s="738" t="s">
        <v>437</v>
      </c>
      <c r="I593" s="770">
        <f>+'Vida Digna'!AK55</f>
        <v>0.5</v>
      </c>
      <c r="J593" s="738" t="s">
        <v>2199</v>
      </c>
      <c r="K593" s="742" t="s">
        <v>1996</v>
      </c>
      <c r="P593" s="732"/>
    </row>
    <row r="594" spans="1:16" ht="43.8" thickBot="1" x14ac:dyDescent="0.35">
      <c r="A594" s="738" t="s">
        <v>2197</v>
      </c>
      <c r="B594" s="741">
        <f>'[1]PLAN DE DESARROLLO 2024 - 2027'!$K$46</f>
        <v>0.28357478219025023</v>
      </c>
      <c r="C594" s="738" t="s">
        <v>2198</v>
      </c>
      <c r="D594" s="741">
        <f>'[1]PLAN DE DESARROLLO 2024 - 2027'!$K$47</f>
        <v>0.29578926734134092</v>
      </c>
      <c r="E594" s="738" t="s">
        <v>2216</v>
      </c>
      <c r="F594" s="741">
        <f>'[1]PLAN DE DESARROLLO 2024 - 2027'!$K$58</f>
        <v>0.15194704049844235</v>
      </c>
      <c r="G594" s="738" t="s">
        <v>438</v>
      </c>
      <c r="H594" s="738" t="s">
        <v>439</v>
      </c>
      <c r="I594" s="770">
        <f>+'Vida Digna'!AK57</f>
        <v>0.31775700934579437</v>
      </c>
      <c r="J594" s="738" t="s">
        <v>2199</v>
      </c>
      <c r="K594" s="742" t="s">
        <v>1996</v>
      </c>
      <c r="P594" s="732"/>
    </row>
    <row r="595" spans="1:16" ht="29.4" thickBot="1" x14ac:dyDescent="0.35">
      <c r="A595" s="738" t="s">
        <v>2197</v>
      </c>
      <c r="B595" s="741">
        <f>'[1]PLAN DE DESARROLLO 2024 - 2027'!$K$46</f>
        <v>0.28357478219025023</v>
      </c>
      <c r="C595" s="738" t="s">
        <v>2198</v>
      </c>
      <c r="D595" s="741">
        <f>'[1]PLAN DE DESARROLLO 2024 - 2027'!$K$47</f>
        <v>0.29578926734134092</v>
      </c>
      <c r="E595" s="738" t="s">
        <v>2216</v>
      </c>
      <c r="F595" s="741">
        <f>'[1]PLAN DE DESARROLLO 2024 - 2027'!$K$58</f>
        <v>0.15194704049844235</v>
      </c>
      <c r="G595" s="738" t="s">
        <v>440</v>
      </c>
      <c r="H595" s="738" t="s">
        <v>441</v>
      </c>
      <c r="I595" s="770">
        <f>+'Vida Digna'!AK58</f>
        <v>0</v>
      </c>
      <c r="J595" s="738" t="s">
        <v>2199</v>
      </c>
      <c r="K595" s="742" t="s">
        <v>1996</v>
      </c>
      <c r="P595" s="732"/>
    </row>
    <row r="596" spans="1:16" ht="43.8" thickBot="1" x14ac:dyDescent="0.35">
      <c r="A596" s="738" t="s">
        <v>2197</v>
      </c>
      <c r="B596" s="741">
        <f>'[1]PLAN DE DESARROLLO 2024 - 2027'!$K$46</f>
        <v>0.28357478219025023</v>
      </c>
      <c r="C596" s="738" t="s">
        <v>2198</v>
      </c>
      <c r="D596" s="741">
        <f>'[1]PLAN DE DESARROLLO 2024 - 2027'!$K$47</f>
        <v>0.29578926734134092</v>
      </c>
      <c r="E596" s="738" t="s">
        <v>2216</v>
      </c>
      <c r="F596" s="741">
        <f>'[1]PLAN DE DESARROLLO 2024 - 2027'!$K$58</f>
        <v>0.15194704049844235</v>
      </c>
      <c r="G596" s="738" t="s">
        <v>2217</v>
      </c>
      <c r="H596" s="738" t="s">
        <v>2218</v>
      </c>
      <c r="I596" s="770">
        <f>+'Vida Digna'!AK59</f>
        <v>0.75</v>
      </c>
      <c r="J596" s="738" t="s">
        <v>2199</v>
      </c>
      <c r="K596" s="742" t="s">
        <v>1996</v>
      </c>
      <c r="P596" s="732"/>
    </row>
    <row r="597" spans="1:16" ht="43.8" thickBot="1" x14ac:dyDescent="0.35">
      <c r="A597" s="738" t="s">
        <v>2197</v>
      </c>
      <c r="B597" s="741">
        <f>'[1]PLAN DE DESARROLLO 2024 - 2027'!$K$46</f>
        <v>0.28357478219025023</v>
      </c>
      <c r="C597" s="738" t="s">
        <v>2198</v>
      </c>
      <c r="D597" s="741">
        <f>'[1]PLAN DE DESARROLLO 2024 - 2027'!$K$47</f>
        <v>0.29578926734134092</v>
      </c>
      <c r="E597" s="738" t="s">
        <v>1651</v>
      </c>
      <c r="F597" s="741">
        <f>'[1]PLAN DE DESARROLLO 2024 - 2027'!$K$59</f>
        <v>0.24000359477124183</v>
      </c>
      <c r="G597" s="738" t="s">
        <v>2219</v>
      </c>
      <c r="H597" s="738" t="s">
        <v>2220</v>
      </c>
      <c r="I597" s="770">
        <f>+'Vida Digna'!AK61</f>
        <v>0.3978888888888889</v>
      </c>
      <c r="J597" s="738" t="s">
        <v>2199</v>
      </c>
      <c r="K597" s="742" t="s">
        <v>1996</v>
      </c>
      <c r="P597" s="732"/>
    </row>
    <row r="598" spans="1:16" ht="58.2" thickBot="1" x14ac:dyDescent="0.35">
      <c r="A598" s="738" t="s">
        <v>2197</v>
      </c>
      <c r="B598" s="741">
        <f>'[1]PLAN DE DESARROLLO 2024 - 2027'!$K$46</f>
        <v>0.28357478219025023</v>
      </c>
      <c r="C598" s="738" t="s">
        <v>2198</v>
      </c>
      <c r="D598" s="741">
        <f>'[1]PLAN DE DESARROLLO 2024 - 2027'!$K$47</f>
        <v>0.29578926734134092</v>
      </c>
      <c r="E598" s="738" t="s">
        <v>1651</v>
      </c>
      <c r="F598" s="741">
        <f>'[1]PLAN DE DESARROLLO 2024 - 2027'!$K$59</f>
        <v>0.24000359477124183</v>
      </c>
      <c r="G598" s="738" t="s">
        <v>2221</v>
      </c>
      <c r="H598" s="738" t="s">
        <v>2222</v>
      </c>
      <c r="I598" s="770">
        <f>+'Vida Digna'!AK62</f>
        <v>0.45220588235294118</v>
      </c>
      <c r="J598" s="738" t="s">
        <v>2199</v>
      </c>
      <c r="K598" s="742" t="s">
        <v>1996</v>
      </c>
      <c r="P598" s="732"/>
    </row>
    <row r="599" spans="1:16" ht="29.4" thickBot="1" x14ac:dyDescent="0.35">
      <c r="A599" s="738" t="s">
        <v>2197</v>
      </c>
      <c r="B599" s="741">
        <f>'[1]PLAN DE DESARROLLO 2024 - 2027'!$K$46</f>
        <v>0.28357478219025023</v>
      </c>
      <c r="C599" s="738" t="s">
        <v>2198</v>
      </c>
      <c r="D599" s="741">
        <f>'[1]PLAN DE DESARROLLO 2024 - 2027'!$K$47</f>
        <v>0.29578926734134092</v>
      </c>
      <c r="E599" s="738" t="s">
        <v>1651</v>
      </c>
      <c r="F599" s="741">
        <f>'[1]PLAN DE DESARROLLO 2024 - 2027'!$K$59</f>
        <v>0.24000359477124183</v>
      </c>
      <c r="G599" s="738" t="s">
        <v>448</v>
      </c>
      <c r="H599" s="738" t="s">
        <v>449</v>
      </c>
      <c r="I599" s="770">
        <f>+'Vida Digna'!AK63</f>
        <v>0.50908333333333333</v>
      </c>
      <c r="J599" s="738" t="s">
        <v>2199</v>
      </c>
      <c r="K599" s="742" t="s">
        <v>1996</v>
      </c>
      <c r="P599" s="732"/>
    </row>
    <row r="600" spans="1:16" ht="29.4" thickBot="1" x14ac:dyDescent="0.35">
      <c r="A600" s="738" t="s">
        <v>2197</v>
      </c>
      <c r="B600" s="741">
        <f>'[1]PLAN DE DESARROLLO 2024 - 2027'!$K$46</f>
        <v>0.28357478219025023</v>
      </c>
      <c r="C600" s="738" t="s">
        <v>2198</v>
      </c>
      <c r="D600" s="741">
        <f>'[1]PLAN DE DESARROLLO 2024 - 2027'!$K$47</f>
        <v>0.29578926734134092</v>
      </c>
      <c r="E600" s="738" t="s">
        <v>1651</v>
      </c>
      <c r="F600" s="741">
        <f>'[1]PLAN DE DESARROLLO 2024 - 2027'!$K$59</f>
        <v>0.24000359477124183</v>
      </c>
      <c r="G600" s="738" t="s">
        <v>450</v>
      </c>
      <c r="H600" s="738" t="s">
        <v>451</v>
      </c>
      <c r="I600" s="770">
        <f>+'Vida Digna'!AK64</f>
        <v>0.72</v>
      </c>
      <c r="J600" s="738" t="s">
        <v>2199</v>
      </c>
      <c r="K600" s="742" t="s">
        <v>1996</v>
      </c>
      <c r="P600" s="732"/>
    </row>
    <row r="601" spans="1:16" ht="29.4" thickBot="1" x14ac:dyDescent="0.35">
      <c r="A601" s="738" t="s">
        <v>2197</v>
      </c>
      <c r="B601" s="741">
        <f>'[1]PLAN DE DESARROLLO 2024 - 2027'!$K$46</f>
        <v>0.28357478219025023</v>
      </c>
      <c r="C601" s="738" t="s">
        <v>2198</v>
      </c>
      <c r="D601" s="741">
        <f>'[1]PLAN DE DESARROLLO 2024 - 2027'!$K$47</f>
        <v>0.29578926734134092</v>
      </c>
      <c r="E601" s="738" t="s">
        <v>1651</v>
      </c>
      <c r="F601" s="741">
        <f>'[1]PLAN DE DESARROLLO 2024 - 2027'!$K$59</f>
        <v>0.24000359477124183</v>
      </c>
      <c r="G601" s="738" t="s">
        <v>452</v>
      </c>
      <c r="H601" s="738" t="s">
        <v>2223</v>
      </c>
      <c r="I601" s="771">
        <f>+'Vida Digna'!AK65</f>
        <v>0</v>
      </c>
      <c r="J601" s="738" t="s">
        <v>2199</v>
      </c>
      <c r="K601" s="742" t="s">
        <v>1996</v>
      </c>
      <c r="P601" s="732"/>
    </row>
    <row r="602" spans="1:16" ht="29.4" thickBot="1" x14ac:dyDescent="0.35">
      <c r="A602" s="738" t="s">
        <v>2197</v>
      </c>
      <c r="B602" s="741">
        <f>'[1]PLAN DE DESARROLLO 2024 - 2027'!$K$46</f>
        <v>0.28357478219025023</v>
      </c>
      <c r="C602" s="738" t="s">
        <v>2198</v>
      </c>
      <c r="D602" s="741">
        <f>'[1]PLAN DE DESARROLLO 2024 - 2027'!$K$47</f>
        <v>0.29578926734134092</v>
      </c>
      <c r="E602" s="738" t="s">
        <v>1651</v>
      </c>
      <c r="F602" s="741">
        <f>'[1]PLAN DE DESARROLLO 2024 - 2027'!$K$59</f>
        <v>0.24000359477124183</v>
      </c>
      <c r="G602" s="738" t="s">
        <v>454</v>
      </c>
      <c r="H602" s="738" t="s">
        <v>2224</v>
      </c>
      <c r="I602" s="770">
        <f>+'Vida Digna'!AK66</f>
        <v>0.314</v>
      </c>
      <c r="J602" s="738" t="s">
        <v>2199</v>
      </c>
      <c r="K602" s="742" t="s">
        <v>1996</v>
      </c>
      <c r="P602" s="732"/>
    </row>
    <row r="603" spans="1:16" ht="43.8" thickBot="1" x14ac:dyDescent="0.35">
      <c r="A603" s="738" t="s">
        <v>2197</v>
      </c>
      <c r="B603" s="741">
        <f>'[1]PLAN DE DESARROLLO 2024 - 2027'!$K$46</f>
        <v>0.28357478219025023</v>
      </c>
      <c r="C603" s="738" t="s">
        <v>2198</v>
      </c>
      <c r="D603" s="741">
        <f>'[1]PLAN DE DESARROLLO 2024 - 2027'!$K$47</f>
        <v>0.29578926734134092</v>
      </c>
      <c r="E603" s="738" t="s">
        <v>1651</v>
      </c>
      <c r="F603" s="741">
        <f>'[1]PLAN DE DESARROLLO 2024 - 2027'!$K$59</f>
        <v>0.24000359477124183</v>
      </c>
      <c r="G603" s="738" t="s">
        <v>456</v>
      </c>
      <c r="H603" s="738" t="s">
        <v>457</v>
      </c>
      <c r="I603" s="771">
        <f>+'Vida Digna'!AK67</f>
        <v>0</v>
      </c>
      <c r="J603" s="738" t="s">
        <v>2199</v>
      </c>
      <c r="K603" s="742" t="s">
        <v>1996</v>
      </c>
      <c r="P603" s="732"/>
    </row>
    <row r="604" spans="1:16" ht="29.4" thickBot="1" x14ac:dyDescent="0.35">
      <c r="A604" s="738" t="s">
        <v>2197</v>
      </c>
      <c r="B604" s="741">
        <f>'[1]PLAN DE DESARROLLO 2024 - 2027'!$K$46</f>
        <v>0.28357478219025023</v>
      </c>
      <c r="C604" s="738" t="s">
        <v>2198</v>
      </c>
      <c r="D604" s="741">
        <f>'[1]PLAN DE DESARROLLO 2024 - 2027'!$K$47</f>
        <v>0.29578926734134092</v>
      </c>
      <c r="E604" s="738" t="s">
        <v>2225</v>
      </c>
      <c r="F604" s="741">
        <f>'[1]PLAN DE DESARROLLO 2024 - 2027'!$K$60</f>
        <v>0.1677138157894737</v>
      </c>
      <c r="G604" s="738" t="s">
        <v>459</v>
      </c>
      <c r="H604" s="738" t="s">
        <v>2226</v>
      </c>
      <c r="I604" s="770">
        <f>+'Vida Digna'!AK69</f>
        <v>0.4263157894736842</v>
      </c>
      <c r="J604" s="738" t="s">
        <v>2199</v>
      </c>
      <c r="K604" s="742" t="s">
        <v>1996</v>
      </c>
      <c r="P604" s="732"/>
    </row>
    <row r="605" spans="1:16" ht="43.8" thickBot="1" x14ac:dyDescent="0.35">
      <c r="A605" s="738" t="s">
        <v>2197</v>
      </c>
      <c r="B605" s="741">
        <f>'[1]PLAN DE DESARROLLO 2024 - 2027'!$K$46</f>
        <v>0.28357478219025023</v>
      </c>
      <c r="C605" s="738" t="s">
        <v>2198</v>
      </c>
      <c r="D605" s="741">
        <f>'[1]PLAN DE DESARROLLO 2024 - 2027'!$K$47</f>
        <v>0.29578926734134092</v>
      </c>
      <c r="E605" s="738" t="s">
        <v>2225</v>
      </c>
      <c r="F605" s="741">
        <f>'[1]PLAN DE DESARROLLO 2024 - 2027'!$K$60</f>
        <v>0.1677138157894737</v>
      </c>
      <c r="G605" s="738" t="s">
        <v>461</v>
      </c>
      <c r="H605" s="738" t="s">
        <v>462</v>
      </c>
      <c r="I605" s="770">
        <f>+'Vida Digna'!AK70</f>
        <v>0.501</v>
      </c>
      <c r="J605" s="738" t="s">
        <v>2199</v>
      </c>
      <c r="K605" s="742" t="s">
        <v>1996</v>
      </c>
      <c r="P605" s="732"/>
    </row>
    <row r="606" spans="1:16" ht="29.4" thickBot="1" x14ac:dyDescent="0.35">
      <c r="A606" s="738" t="s">
        <v>2197</v>
      </c>
      <c r="B606" s="741">
        <f>'[1]PLAN DE DESARROLLO 2024 - 2027'!$K$46</f>
        <v>0.28357478219025023</v>
      </c>
      <c r="C606" s="738" t="s">
        <v>2198</v>
      </c>
      <c r="D606" s="741">
        <f>'[1]PLAN DE DESARROLLO 2024 - 2027'!$K$47</f>
        <v>0.29578926734134092</v>
      </c>
      <c r="E606" s="738" t="s">
        <v>2225</v>
      </c>
      <c r="F606" s="741">
        <f>'[1]PLAN DE DESARROLLO 2024 - 2027'!$K$60</f>
        <v>0.1677138157894737</v>
      </c>
      <c r="G606" s="738" t="s">
        <v>463</v>
      </c>
      <c r="H606" s="738" t="s">
        <v>464</v>
      </c>
      <c r="I606" s="770">
        <f>+'Vida Digna'!AK71</f>
        <v>0.55800000000000005</v>
      </c>
      <c r="J606" s="738" t="s">
        <v>2199</v>
      </c>
      <c r="K606" s="742" t="s">
        <v>1996</v>
      </c>
      <c r="P606" s="732"/>
    </row>
    <row r="607" spans="1:16" ht="29.4" thickBot="1" x14ac:dyDescent="0.35">
      <c r="A607" s="738" t="s">
        <v>2197</v>
      </c>
      <c r="B607" s="741">
        <f>'[1]PLAN DE DESARROLLO 2024 - 2027'!$K$46</f>
        <v>0.28357478219025023</v>
      </c>
      <c r="C607" s="738" t="s">
        <v>2198</v>
      </c>
      <c r="D607" s="741">
        <f>'[1]PLAN DE DESARROLLO 2024 - 2027'!$K$47</f>
        <v>0.29578926734134092</v>
      </c>
      <c r="E607" s="738" t="s">
        <v>2225</v>
      </c>
      <c r="F607" s="741">
        <f>'[1]PLAN DE DESARROLLO 2024 - 2027'!$K$60</f>
        <v>0.1677138157894737</v>
      </c>
      <c r="G607" s="738" t="s">
        <v>2227</v>
      </c>
      <c r="H607" s="738" t="s">
        <v>2228</v>
      </c>
      <c r="I607" s="770">
        <f>+'Vida Digna'!AK72</f>
        <v>0.33</v>
      </c>
      <c r="J607" s="738" t="s">
        <v>2199</v>
      </c>
      <c r="K607" s="742" t="s">
        <v>1996</v>
      </c>
      <c r="P607" s="732"/>
    </row>
    <row r="608" spans="1:16" ht="29.4" thickBot="1" x14ac:dyDescent="0.35">
      <c r="A608" s="738" t="s">
        <v>2197</v>
      </c>
      <c r="B608" s="741">
        <f>'[1]PLAN DE DESARROLLO 2024 - 2027'!$K$46</f>
        <v>0.28357478219025023</v>
      </c>
      <c r="C608" s="738" t="s">
        <v>2198</v>
      </c>
      <c r="D608" s="741">
        <f>'[1]PLAN DE DESARROLLO 2024 - 2027'!$K$47</f>
        <v>0.29578926734134092</v>
      </c>
      <c r="E608" s="738" t="s">
        <v>1652</v>
      </c>
      <c r="F608" s="741">
        <f>'[1]PLAN DE DESARROLLO 2024 - 2027'!$K$61</f>
        <v>0.27882352941176475</v>
      </c>
      <c r="G608" s="738" t="s">
        <v>467</v>
      </c>
      <c r="H608" s="738" t="s">
        <v>468</v>
      </c>
      <c r="I608" s="770">
        <f>+'Vida Digna'!AK74</f>
        <v>1</v>
      </c>
      <c r="J608" s="738" t="s">
        <v>2199</v>
      </c>
      <c r="K608" s="742" t="s">
        <v>1996</v>
      </c>
      <c r="P608" s="732"/>
    </row>
    <row r="609" spans="1:16" ht="29.4" thickBot="1" x14ac:dyDescent="0.35">
      <c r="A609" s="738" t="s">
        <v>2197</v>
      </c>
      <c r="B609" s="741">
        <f>'[1]PLAN DE DESARROLLO 2024 - 2027'!$K$46</f>
        <v>0.28357478219025023</v>
      </c>
      <c r="C609" s="738" t="s">
        <v>2198</v>
      </c>
      <c r="D609" s="741">
        <f>'[1]PLAN DE DESARROLLO 2024 - 2027'!$K$47</f>
        <v>0.29578926734134092</v>
      </c>
      <c r="E609" s="738" t="s">
        <v>1652</v>
      </c>
      <c r="F609" s="741">
        <f>'[1]PLAN DE DESARROLLO 2024 - 2027'!$K$61</f>
        <v>0.27882352941176475</v>
      </c>
      <c r="G609" s="738" t="s">
        <v>469</v>
      </c>
      <c r="H609" s="738" t="s">
        <v>470</v>
      </c>
      <c r="I609" s="770">
        <f>+'Vida Digna'!AK75</f>
        <v>0.25</v>
      </c>
      <c r="J609" s="738" t="s">
        <v>2199</v>
      </c>
      <c r="K609" s="742" t="s">
        <v>1996</v>
      </c>
      <c r="P609" s="732"/>
    </row>
    <row r="610" spans="1:16" ht="29.4" thickBot="1" x14ac:dyDescent="0.35">
      <c r="A610" s="738" t="s">
        <v>2197</v>
      </c>
      <c r="B610" s="741">
        <f>'[1]PLAN DE DESARROLLO 2024 - 2027'!$K$46</f>
        <v>0.28357478219025023</v>
      </c>
      <c r="C610" s="738" t="s">
        <v>2198</v>
      </c>
      <c r="D610" s="741">
        <f>'[1]PLAN DE DESARROLLO 2024 - 2027'!$K$47</f>
        <v>0.29578926734134092</v>
      </c>
      <c r="E610" s="738" t="s">
        <v>1652</v>
      </c>
      <c r="F610" s="741">
        <f>'[1]PLAN DE DESARROLLO 2024 - 2027'!$K$61</f>
        <v>0.27882352941176475</v>
      </c>
      <c r="G610" s="738" t="s">
        <v>471</v>
      </c>
      <c r="H610" s="738" t="s">
        <v>472</v>
      </c>
      <c r="I610" s="770">
        <f>+'Vida Digna'!AK76</f>
        <v>0.29411764705882354</v>
      </c>
      <c r="J610" s="738" t="s">
        <v>2199</v>
      </c>
      <c r="K610" s="742" t="s">
        <v>1996</v>
      </c>
      <c r="P610" s="732"/>
    </row>
    <row r="611" spans="1:16" ht="29.4" thickBot="1" x14ac:dyDescent="0.35">
      <c r="A611" s="738" t="s">
        <v>2197</v>
      </c>
      <c r="B611" s="741">
        <f>'[1]PLAN DE DESARROLLO 2024 - 2027'!$K$46</f>
        <v>0.28357478219025023</v>
      </c>
      <c r="C611" s="738" t="s">
        <v>2198</v>
      </c>
      <c r="D611" s="741">
        <f>'[1]PLAN DE DESARROLLO 2024 - 2027'!$K$47</f>
        <v>0.29578926734134092</v>
      </c>
      <c r="E611" s="738" t="s">
        <v>1654</v>
      </c>
      <c r="F611" s="741">
        <f>'[1]PLAN DE DESARROLLO 2024 - 2027'!$K$63</f>
        <v>0.66756944444444444</v>
      </c>
      <c r="G611" s="738" t="s">
        <v>488</v>
      </c>
      <c r="H611" s="738" t="s">
        <v>489</v>
      </c>
      <c r="I611" s="770">
        <f>+'Vida Digna'!AK86</f>
        <v>0.56125000000000003</v>
      </c>
      <c r="J611" s="738" t="s">
        <v>490</v>
      </c>
      <c r="K611" s="742" t="s">
        <v>1996</v>
      </c>
      <c r="P611" s="732"/>
    </row>
    <row r="612" spans="1:16" ht="29.4" thickBot="1" x14ac:dyDescent="0.35">
      <c r="A612" s="738" t="s">
        <v>2197</v>
      </c>
      <c r="B612" s="741">
        <f>'[1]PLAN DE DESARROLLO 2024 - 2027'!$K$46</f>
        <v>0.28357478219025023</v>
      </c>
      <c r="C612" s="738" t="s">
        <v>2198</v>
      </c>
      <c r="D612" s="741">
        <f>'[1]PLAN DE DESARROLLO 2024 - 2027'!$K$47</f>
        <v>0.29578926734134092</v>
      </c>
      <c r="E612" s="738" t="s">
        <v>1654</v>
      </c>
      <c r="F612" s="741">
        <f>'[1]PLAN DE DESARROLLO 2024 - 2027'!$K$63</f>
        <v>0.66756944444444444</v>
      </c>
      <c r="G612" s="738" t="s">
        <v>491</v>
      </c>
      <c r="H612" s="738" t="s">
        <v>492</v>
      </c>
      <c r="I612" s="770">
        <f>+'Vida Digna'!AK87</f>
        <v>0.75</v>
      </c>
      <c r="J612" s="738" t="s">
        <v>490</v>
      </c>
      <c r="K612" s="742" t="s">
        <v>1996</v>
      </c>
      <c r="P612" s="732"/>
    </row>
    <row r="613" spans="1:16" ht="29.4" thickBot="1" x14ac:dyDescent="0.35">
      <c r="A613" s="738" t="s">
        <v>2197</v>
      </c>
      <c r="B613" s="741">
        <f>'[1]PLAN DE DESARROLLO 2024 - 2027'!$K$46</f>
        <v>0.28357478219025023</v>
      </c>
      <c r="C613" s="738" t="s">
        <v>2198</v>
      </c>
      <c r="D613" s="741">
        <f>'[1]PLAN DE DESARROLLO 2024 - 2027'!$K$47</f>
        <v>0.29578926734134092</v>
      </c>
      <c r="E613" s="738" t="s">
        <v>1654</v>
      </c>
      <c r="F613" s="741">
        <f>'[1]PLAN DE DESARROLLO 2024 - 2027'!$K$63</f>
        <v>0.66756944444444444</v>
      </c>
      <c r="G613" s="738" t="s">
        <v>493</v>
      </c>
      <c r="H613" s="738" t="s">
        <v>494</v>
      </c>
      <c r="I613" s="770">
        <f>+'Vida Digna'!AK88</f>
        <v>1</v>
      </c>
      <c r="J613" s="738" t="s">
        <v>490</v>
      </c>
      <c r="K613" s="742" t="s">
        <v>1996</v>
      </c>
      <c r="P613" s="732"/>
    </row>
    <row r="614" spans="1:16" ht="29.4" thickBot="1" x14ac:dyDescent="0.35">
      <c r="A614" s="738" t="s">
        <v>2197</v>
      </c>
      <c r="B614" s="741">
        <f>'[1]PLAN DE DESARROLLO 2024 - 2027'!$K$46</f>
        <v>0.28357478219025023</v>
      </c>
      <c r="C614" s="738" t="s">
        <v>2198</v>
      </c>
      <c r="D614" s="741">
        <f>'[1]PLAN DE DESARROLLO 2024 - 2027'!$K$47</f>
        <v>0.29578926734134092</v>
      </c>
      <c r="E614" s="738" t="s">
        <v>1654</v>
      </c>
      <c r="F614" s="741">
        <f>'[1]PLAN DE DESARROLLO 2024 - 2027'!$K$63</f>
        <v>0.66756944444444444</v>
      </c>
      <c r="G614" s="738" t="s">
        <v>495</v>
      </c>
      <c r="H614" s="738" t="s">
        <v>496</v>
      </c>
      <c r="I614" s="770">
        <f>+'Vida Digna'!AK89</f>
        <v>1</v>
      </c>
      <c r="J614" s="738" t="s">
        <v>490</v>
      </c>
      <c r="K614" s="742" t="s">
        <v>1996</v>
      </c>
      <c r="P614" s="732"/>
    </row>
    <row r="615" spans="1:16" ht="15" thickBot="1" x14ac:dyDescent="0.35">
      <c r="A615" s="738" t="s">
        <v>2197</v>
      </c>
      <c r="B615" s="741">
        <f>'[1]PLAN DE DESARROLLO 2024 - 2027'!$K$46</f>
        <v>0.28357478219025023</v>
      </c>
      <c r="C615" s="738" t="s">
        <v>2198</v>
      </c>
      <c r="D615" s="741">
        <f>'[1]PLAN DE DESARROLLO 2024 - 2027'!$K$47</f>
        <v>0.29578926734134092</v>
      </c>
      <c r="E615" s="738" t="s">
        <v>1654</v>
      </c>
      <c r="F615" s="741">
        <f>'[1]PLAN DE DESARROLLO 2024 - 2027'!$K$63</f>
        <v>0.66756944444444444</v>
      </c>
      <c r="G615" s="738" t="s">
        <v>497</v>
      </c>
      <c r="H615" s="738" t="s">
        <v>498</v>
      </c>
      <c r="I615" s="770">
        <f>+'Vida Digna'!AK90</f>
        <v>0.66666666666666663</v>
      </c>
      <c r="J615" s="738" t="s">
        <v>490</v>
      </c>
      <c r="K615" s="742" t="s">
        <v>1996</v>
      </c>
      <c r="P615" s="732"/>
    </row>
    <row r="616" spans="1:16" ht="29.4" thickBot="1" x14ac:dyDescent="0.35">
      <c r="A616" s="738" t="s">
        <v>2197</v>
      </c>
      <c r="B616" s="741">
        <f>'[1]PLAN DE DESARROLLO 2024 - 2027'!$K$46</f>
        <v>0.28357478219025023</v>
      </c>
      <c r="C616" s="738" t="s">
        <v>2229</v>
      </c>
      <c r="D616" s="741">
        <f>'[1]PLAN DE DESARROLLO 2024 - 2027'!$K$64</f>
        <v>0.22921261370670454</v>
      </c>
      <c r="E616" s="738" t="s">
        <v>1656</v>
      </c>
      <c r="F616" s="741">
        <f>'[1]PLAN DE DESARROLLO 2024 - 2027'!$K$65</f>
        <v>0.35563784112011365</v>
      </c>
      <c r="G616" s="738" t="s">
        <v>499</v>
      </c>
      <c r="H616" s="738" t="s">
        <v>500</v>
      </c>
      <c r="I616" s="770">
        <f>+'Vida Digna'!AK93</f>
        <v>4.5201668984700974E-2</v>
      </c>
      <c r="J616" s="738" t="s">
        <v>2230</v>
      </c>
      <c r="K616" s="742" t="s">
        <v>1996</v>
      </c>
      <c r="P616" s="732"/>
    </row>
    <row r="617" spans="1:16" ht="29.4" thickBot="1" x14ac:dyDescent="0.35">
      <c r="A617" s="738" t="s">
        <v>2197</v>
      </c>
      <c r="B617" s="741">
        <f>'[1]PLAN DE DESARROLLO 2024 - 2027'!$K$46</f>
        <v>0.28357478219025023</v>
      </c>
      <c r="C617" s="738" t="s">
        <v>2229</v>
      </c>
      <c r="D617" s="741">
        <f>'[1]PLAN DE DESARROLLO 2024 - 2027'!$K$64</f>
        <v>0.22921261370670454</v>
      </c>
      <c r="E617" s="738" t="s">
        <v>1656</v>
      </c>
      <c r="F617" s="741">
        <f>'[1]PLAN DE DESARROLLO 2024 - 2027'!$K$65</f>
        <v>0.35563784112011365</v>
      </c>
      <c r="G617" s="738" t="s">
        <v>502</v>
      </c>
      <c r="H617" s="738" t="s">
        <v>503</v>
      </c>
      <c r="I617" s="770">
        <f>+'Vida Digna'!AK94</f>
        <v>8.8888888888888892E-2</v>
      </c>
      <c r="J617" s="738" t="s">
        <v>2230</v>
      </c>
      <c r="K617" s="742" t="s">
        <v>1996</v>
      </c>
      <c r="P617" s="732"/>
    </row>
    <row r="618" spans="1:16" ht="29.4" thickBot="1" x14ac:dyDescent="0.35">
      <c r="A618" s="738" t="s">
        <v>2197</v>
      </c>
      <c r="B618" s="741">
        <f>'[1]PLAN DE DESARROLLO 2024 - 2027'!$K$46</f>
        <v>0.28357478219025023</v>
      </c>
      <c r="C618" s="738" t="s">
        <v>2229</v>
      </c>
      <c r="D618" s="741">
        <f>'[1]PLAN DE DESARROLLO 2024 - 2027'!$K$64</f>
        <v>0.22921261370670454</v>
      </c>
      <c r="E618" s="738" t="s">
        <v>1656</v>
      </c>
      <c r="F618" s="741">
        <f>'[1]PLAN DE DESARROLLO 2024 - 2027'!$K$65</f>
        <v>0.35563784112011365</v>
      </c>
      <c r="G618" s="738" t="s">
        <v>504</v>
      </c>
      <c r="H618" s="738" t="s">
        <v>505</v>
      </c>
      <c r="I618" s="770">
        <f>+'Vida Digna'!AK95</f>
        <v>1</v>
      </c>
      <c r="J618" s="738" t="s">
        <v>2230</v>
      </c>
      <c r="K618" s="742" t="s">
        <v>1996</v>
      </c>
      <c r="P618" s="732"/>
    </row>
    <row r="619" spans="1:16" ht="43.8" thickBot="1" x14ac:dyDescent="0.35">
      <c r="A619" s="738" t="s">
        <v>2197</v>
      </c>
      <c r="B619" s="741">
        <f>'[1]PLAN DE DESARROLLO 2024 - 2027'!$K$46</f>
        <v>0.28357478219025023</v>
      </c>
      <c r="C619" s="738" t="s">
        <v>2229</v>
      </c>
      <c r="D619" s="741">
        <f>'[1]PLAN DE DESARROLLO 2024 - 2027'!$K$64</f>
        <v>0.22921261370670454</v>
      </c>
      <c r="E619" s="738" t="s">
        <v>1656</v>
      </c>
      <c r="F619" s="741">
        <f>'[1]PLAN DE DESARROLLO 2024 - 2027'!$K$65</f>
        <v>0.35563784112011365</v>
      </c>
      <c r="G619" s="738" t="s">
        <v>506</v>
      </c>
      <c r="H619" s="738" t="s">
        <v>507</v>
      </c>
      <c r="I619" s="770">
        <f>+'Vida Digna'!AK96</f>
        <v>0.53363636363636369</v>
      </c>
      <c r="J619" s="738" t="s">
        <v>2230</v>
      </c>
      <c r="K619" s="742" t="s">
        <v>1996</v>
      </c>
      <c r="P619" s="732"/>
    </row>
    <row r="620" spans="1:16" ht="29.4" thickBot="1" x14ac:dyDescent="0.35">
      <c r="A620" s="738" t="s">
        <v>2197</v>
      </c>
      <c r="B620" s="741">
        <f>'[1]PLAN DE DESARROLLO 2024 - 2027'!$K$46</f>
        <v>0.28357478219025023</v>
      </c>
      <c r="C620" s="738" t="s">
        <v>2229</v>
      </c>
      <c r="D620" s="741">
        <f>'[1]PLAN DE DESARROLLO 2024 - 2027'!$K$64</f>
        <v>0.22921261370670454</v>
      </c>
      <c r="E620" s="738" t="s">
        <v>1656</v>
      </c>
      <c r="F620" s="741">
        <f>'[1]PLAN DE DESARROLLO 2024 - 2027'!$K$65</f>
        <v>0.35563784112011365</v>
      </c>
      <c r="G620" s="738" t="s">
        <v>508</v>
      </c>
      <c r="H620" s="738" t="s">
        <v>509</v>
      </c>
      <c r="I620" s="770">
        <f>+'Vida Digna'!AK97</f>
        <v>0.64354261548471048</v>
      </c>
      <c r="J620" s="738" t="s">
        <v>2230</v>
      </c>
      <c r="K620" s="742" t="s">
        <v>1996</v>
      </c>
      <c r="P620" s="732"/>
    </row>
    <row r="621" spans="1:16" ht="29.4" thickBot="1" x14ac:dyDescent="0.35">
      <c r="A621" s="738" t="s">
        <v>2197</v>
      </c>
      <c r="B621" s="741">
        <f>'[1]PLAN DE DESARROLLO 2024 - 2027'!$K$46</f>
        <v>0.28357478219025023</v>
      </c>
      <c r="C621" s="738" t="s">
        <v>2229</v>
      </c>
      <c r="D621" s="741">
        <f>'[1]PLAN DE DESARROLLO 2024 - 2027'!$K$64</f>
        <v>0.22921261370670454</v>
      </c>
      <c r="E621" s="738" t="s">
        <v>1656</v>
      </c>
      <c r="F621" s="741">
        <f>'[1]PLAN DE DESARROLLO 2024 - 2027'!$K$65</f>
        <v>0.35563784112011365</v>
      </c>
      <c r="G621" s="738" t="s">
        <v>510</v>
      </c>
      <c r="H621" s="738" t="s">
        <v>511</v>
      </c>
      <c r="I621" s="770">
        <f>+'Vida Digna'!AK98</f>
        <v>0.54729729729729726</v>
      </c>
      <c r="J621" s="738" t="s">
        <v>2230</v>
      </c>
      <c r="K621" s="742" t="s">
        <v>1996</v>
      </c>
      <c r="P621" s="732"/>
    </row>
    <row r="622" spans="1:16" ht="29.4" thickBot="1" x14ac:dyDescent="0.35">
      <c r="A622" s="738" t="s">
        <v>2197</v>
      </c>
      <c r="B622" s="741">
        <f>'[1]PLAN DE DESARROLLO 2024 - 2027'!$K$46</f>
        <v>0.28357478219025023</v>
      </c>
      <c r="C622" s="738" t="s">
        <v>2229</v>
      </c>
      <c r="D622" s="741">
        <f>'[1]PLAN DE DESARROLLO 2024 - 2027'!$K$64</f>
        <v>0.22921261370670454</v>
      </c>
      <c r="E622" s="738" t="s">
        <v>1656</v>
      </c>
      <c r="F622" s="741">
        <f>'[1]PLAN DE DESARROLLO 2024 - 2027'!$K$65</f>
        <v>0.35563784112011365</v>
      </c>
      <c r="G622" s="738" t="s">
        <v>512</v>
      </c>
      <c r="H622" s="738" t="s">
        <v>513</v>
      </c>
      <c r="I622" s="770">
        <f>+'Vida Digna'!AK99</f>
        <v>1</v>
      </c>
      <c r="J622" s="738" t="s">
        <v>2230</v>
      </c>
      <c r="K622" s="742" t="s">
        <v>1996</v>
      </c>
      <c r="P622" s="732"/>
    </row>
    <row r="623" spans="1:16" ht="72.599999999999994" thickBot="1" x14ac:dyDescent="0.35">
      <c r="A623" s="738" t="s">
        <v>2197</v>
      </c>
      <c r="B623" s="741">
        <f>'[1]PLAN DE DESARROLLO 2024 - 2027'!$K$46</f>
        <v>0.28357478219025023</v>
      </c>
      <c r="C623" s="738" t="s">
        <v>2229</v>
      </c>
      <c r="D623" s="741">
        <f>'[1]PLAN DE DESARROLLO 2024 - 2027'!$K$64</f>
        <v>0.22921261370670454</v>
      </c>
      <c r="E623" s="738" t="s">
        <v>1656</v>
      </c>
      <c r="F623" s="741">
        <f>'[1]PLAN DE DESARROLLO 2024 - 2027'!$K$65</f>
        <v>0.35563784112011365</v>
      </c>
      <c r="G623" s="738" t="s">
        <v>514</v>
      </c>
      <c r="H623" s="738" t="s">
        <v>2231</v>
      </c>
      <c r="I623" s="770">
        <f>+'Vida Digna'!AK100</f>
        <v>0.56250044688694978</v>
      </c>
      <c r="J623" s="738" t="s">
        <v>516</v>
      </c>
      <c r="K623" s="742" t="s">
        <v>1996</v>
      </c>
      <c r="P623" s="732"/>
    </row>
    <row r="624" spans="1:16" ht="29.4" thickBot="1" x14ac:dyDescent="0.35">
      <c r="A624" s="738" t="s">
        <v>2197</v>
      </c>
      <c r="B624" s="741">
        <f>'[1]PLAN DE DESARROLLO 2024 - 2027'!$K$46</f>
        <v>0.28357478219025023</v>
      </c>
      <c r="C624" s="738" t="s">
        <v>2229</v>
      </c>
      <c r="D624" s="741">
        <f>'[1]PLAN DE DESARROLLO 2024 - 2027'!$K$64</f>
        <v>0.22921261370670454</v>
      </c>
      <c r="E624" s="738" t="s">
        <v>1657</v>
      </c>
      <c r="F624" s="741">
        <f>'[1]PLAN DE DESARROLLO 2024 - 2027'!$K$66</f>
        <v>0.14152380952380952</v>
      </c>
      <c r="G624" s="738" t="s">
        <v>517</v>
      </c>
      <c r="H624" s="738" t="s">
        <v>518</v>
      </c>
      <c r="I624" s="770">
        <f>+'Vida Digna'!AK102</f>
        <v>0.85271428571428576</v>
      </c>
      <c r="J624" s="738" t="s">
        <v>2230</v>
      </c>
      <c r="K624" s="742" t="s">
        <v>1996</v>
      </c>
      <c r="P624" s="732"/>
    </row>
    <row r="625" spans="1:16" ht="29.4" thickBot="1" x14ac:dyDescent="0.35">
      <c r="A625" s="738" t="s">
        <v>2197</v>
      </c>
      <c r="B625" s="741">
        <f>'[1]PLAN DE DESARROLLO 2024 - 2027'!$K$46</f>
        <v>0.28357478219025023</v>
      </c>
      <c r="C625" s="738" t="s">
        <v>2229</v>
      </c>
      <c r="D625" s="741">
        <f>'[1]PLAN DE DESARROLLO 2024 - 2027'!$K$64</f>
        <v>0.22921261370670454</v>
      </c>
      <c r="E625" s="738" t="s">
        <v>1657</v>
      </c>
      <c r="F625" s="741">
        <f>'[1]PLAN DE DESARROLLO 2024 - 2027'!$K$66</f>
        <v>0.14152380952380952</v>
      </c>
      <c r="G625" s="738" t="s">
        <v>519</v>
      </c>
      <c r="H625" s="738" t="s">
        <v>520</v>
      </c>
      <c r="I625" s="770">
        <f>+'Vida Digna'!AK103</f>
        <v>0.14124999999999999</v>
      </c>
      <c r="J625" s="738" t="s">
        <v>2230</v>
      </c>
      <c r="K625" s="742" t="s">
        <v>1996</v>
      </c>
      <c r="P625" s="732"/>
    </row>
    <row r="626" spans="1:16" ht="29.4" thickBot="1" x14ac:dyDescent="0.35">
      <c r="A626" s="738" t="s">
        <v>2197</v>
      </c>
      <c r="B626" s="741">
        <f>'[1]PLAN DE DESARROLLO 2024 - 2027'!$K$46</f>
        <v>0.28357478219025023</v>
      </c>
      <c r="C626" s="738" t="s">
        <v>2229</v>
      </c>
      <c r="D626" s="741">
        <f>'[1]PLAN DE DESARROLLO 2024 - 2027'!$K$64</f>
        <v>0.22921261370670454</v>
      </c>
      <c r="E626" s="738" t="s">
        <v>1657</v>
      </c>
      <c r="F626" s="741">
        <f>'[1]PLAN DE DESARROLLO 2024 - 2027'!$K$66</f>
        <v>0.14152380952380952</v>
      </c>
      <c r="G626" s="738" t="s">
        <v>521</v>
      </c>
      <c r="H626" s="738" t="s">
        <v>522</v>
      </c>
      <c r="I626" s="770">
        <f>+'Vida Digna'!AK104</f>
        <v>0.2</v>
      </c>
      <c r="J626" s="738" t="s">
        <v>516</v>
      </c>
      <c r="K626" s="742" t="s">
        <v>1996</v>
      </c>
      <c r="P626" s="732"/>
    </row>
    <row r="627" spans="1:16" ht="29.4" thickBot="1" x14ac:dyDescent="0.35">
      <c r="A627" s="738" t="s">
        <v>2197</v>
      </c>
      <c r="B627" s="741">
        <f>'[1]PLAN DE DESARROLLO 2024 - 2027'!$K$46</f>
        <v>0.28357478219025023</v>
      </c>
      <c r="C627" s="738" t="s">
        <v>2229</v>
      </c>
      <c r="D627" s="741">
        <f>'[1]PLAN DE DESARROLLO 2024 - 2027'!$K$64</f>
        <v>0.22921261370670454</v>
      </c>
      <c r="E627" s="738" t="s">
        <v>1657</v>
      </c>
      <c r="F627" s="741">
        <f>'[1]PLAN DE DESARROLLO 2024 - 2027'!$K$66</f>
        <v>0.14152380952380952</v>
      </c>
      <c r="G627" s="738" t="s">
        <v>523</v>
      </c>
      <c r="H627" s="738" t="s">
        <v>524</v>
      </c>
      <c r="I627" s="771">
        <f>+'Vida Digna'!AK105</f>
        <v>1</v>
      </c>
      <c r="J627" s="738" t="s">
        <v>516</v>
      </c>
      <c r="K627" s="742" t="s">
        <v>1996</v>
      </c>
      <c r="P627" s="732"/>
    </row>
    <row r="628" spans="1:16" ht="29.4" thickBot="1" x14ac:dyDescent="0.35">
      <c r="A628" s="738" t="s">
        <v>2197</v>
      </c>
      <c r="B628" s="741">
        <f>'[1]PLAN DE DESARROLLO 2024 - 2027'!$K$46</f>
        <v>0.28357478219025023</v>
      </c>
      <c r="C628" s="738" t="s">
        <v>2229</v>
      </c>
      <c r="D628" s="741">
        <f>'[1]PLAN DE DESARROLLO 2024 - 2027'!$K$64</f>
        <v>0.22921261370670454</v>
      </c>
      <c r="E628" s="738" t="s">
        <v>1658</v>
      </c>
      <c r="F628" s="741">
        <f>'[1]PLAN DE DESARROLLO 2024 - 2027'!$K$67</f>
        <v>0.19047619047619047</v>
      </c>
      <c r="G628" s="738" t="s">
        <v>525</v>
      </c>
      <c r="H628" s="738" t="s">
        <v>526</v>
      </c>
      <c r="I628" s="770">
        <f>+'Vida Digna'!AK107</f>
        <v>1</v>
      </c>
      <c r="J628" s="738" t="s">
        <v>516</v>
      </c>
      <c r="K628" s="742" t="s">
        <v>1996</v>
      </c>
      <c r="P628" s="732"/>
    </row>
    <row r="629" spans="1:16" ht="43.8" thickBot="1" x14ac:dyDescent="0.35">
      <c r="A629" s="738" t="s">
        <v>2197</v>
      </c>
      <c r="B629" s="741">
        <f>'[1]PLAN DE DESARROLLO 2024 - 2027'!$K$46</f>
        <v>0.28357478219025023</v>
      </c>
      <c r="C629" s="738" t="s">
        <v>2229</v>
      </c>
      <c r="D629" s="741">
        <f>'[1]PLAN DE DESARROLLO 2024 - 2027'!$K$64</f>
        <v>0.22921261370670454</v>
      </c>
      <c r="E629" s="738" t="s">
        <v>1658</v>
      </c>
      <c r="F629" s="741">
        <f>'[1]PLAN DE DESARROLLO 2024 - 2027'!$K$67</f>
        <v>0.19047619047619047</v>
      </c>
      <c r="G629" s="738" t="s">
        <v>527</v>
      </c>
      <c r="H629" s="738" t="s">
        <v>528</v>
      </c>
      <c r="I629" s="770">
        <f>+'Vida Digna'!AK108</f>
        <v>0.75</v>
      </c>
      <c r="J629" s="738" t="s">
        <v>516</v>
      </c>
      <c r="K629" s="742" t="s">
        <v>1996</v>
      </c>
      <c r="P629" s="732"/>
    </row>
    <row r="630" spans="1:16" ht="29.4" thickBot="1" x14ac:dyDescent="0.35">
      <c r="A630" s="738" t="s">
        <v>2197</v>
      </c>
      <c r="B630" s="741">
        <f>'[1]PLAN DE DESARROLLO 2024 - 2027'!$K$46</f>
        <v>0.28357478219025023</v>
      </c>
      <c r="C630" s="738" t="s">
        <v>2229</v>
      </c>
      <c r="D630" s="741">
        <f>'[1]PLAN DE DESARROLLO 2024 - 2027'!$K$64</f>
        <v>0.22921261370670454</v>
      </c>
      <c r="E630" s="738" t="s">
        <v>1658</v>
      </c>
      <c r="F630" s="741">
        <f>'[1]PLAN DE DESARROLLO 2024 - 2027'!$K$67</f>
        <v>0.19047619047619047</v>
      </c>
      <c r="G630" s="738" t="s">
        <v>529</v>
      </c>
      <c r="H630" s="738" t="s">
        <v>530</v>
      </c>
      <c r="I630" s="771">
        <f>+'Vida Digna'!AK109</f>
        <v>1</v>
      </c>
      <c r="J630" s="738" t="s">
        <v>516</v>
      </c>
      <c r="K630" s="742" t="s">
        <v>1996</v>
      </c>
      <c r="P630" s="732"/>
    </row>
    <row r="631" spans="1:16" ht="29.4" thickBot="1" x14ac:dyDescent="0.35">
      <c r="A631" s="738" t="s">
        <v>2197</v>
      </c>
      <c r="B631" s="741">
        <f>'[1]PLAN DE DESARROLLO 2024 - 2027'!$K$46</f>
        <v>0.28357478219025023</v>
      </c>
      <c r="C631" s="738" t="s">
        <v>2229</v>
      </c>
      <c r="D631" s="741">
        <f>'[1]PLAN DE DESARROLLO 2024 - 2027'!$K$64</f>
        <v>0.22921261370670454</v>
      </c>
      <c r="E631" s="738" t="s">
        <v>1658</v>
      </c>
      <c r="F631" s="741">
        <f>'[1]PLAN DE DESARROLLO 2024 - 2027'!$K$67</f>
        <v>0.19047619047619047</v>
      </c>
      <c r="G631" s="738" t="s">
        <v>531</v>
      </c>
      <c r="H631" s="738" t="s">
        <v>532</v>
      </c>
      <c r="I631" s="771">
        <f>+'Vida Digna'!AK110</f>
        <v>0</v>
      </c>
      <c r="J631" s="738" t="s">
        <v>516</v>
      </c>
      <c r="K631" s="742" t="s">
        <v>1996</v>
      </c>
      <c r="P631" s="732"/>
    </row>
    <row r="632" spans="1:16" ht="29.4" thickBot="1" x14ac:dyDescent="0.35">
      <c r="A632" s="738" t="s">
        <v>2197</v>
      </c>
      <c r="B632" s="741">
        <f>'[1]PLAN DE DESARROLLO 2024 - 2027'!$K$46</f>
        <v>0.28357478219025023</v>
      </c>
      <c r="C632" s="738" t="s">
        <v>2229</v>
      </c>
      <c r="D632" s="741">
        <f>'[1]PLAN DE DESARROLLO 2024 - 2027'!$K$64</f>
        <v>0.22921261370670454</v>
      </c>
      <c r="E632" s="738" t="s">
        <v>1658</v>
      </c>
      <c r="F632" s="741">
        <f>'[1]PLAN DE DESARROLLO 2024 - 2027'!$K$67</f>
        <v>0.19047619047619047</v>
      </c>
      <c r="G632" s="738" t="s">
        <v>533</v>
      </c>
      <c r="H632" s="738" t="s">
        <v>534</v>
      </c>
      <c r="I632" s="771">
        <f>+'Vida Digna'!AK111</f>
        <v>0</v>
      </c>
      <c r="J632" s="738" t="s">
        <v>516</v>
      </c>
      <c r="K632" s="742" t="s">
        <v>1996</v>
      </c>
      <c r="P632" s="732"/>
    </row>
    <row r="633" spans="1:16" ht="29.4" thickBot="1" x14ac:dyDescent="0.35">
      <c r="A633" s="738" t="s">
        <v>2197</v>
      </c>
      <c r="B633" s="741">
        <f>'[1]PLAN DE DESARROLLO 2024 - 2027'!$K$46</f>
        <v>0.28357478219025023</v>
      </c>
      <c r="C633" s="738" t="s">
        <v>2229</v>
      </c>
      <c r="D633" s="741">
        <f>'[1]PLAN DE DESARROLLO 2024 - 2027'!$K$64</f>
        <v>0.22921261370670454</v>
      </c>
      <c r="E633" s="738" t="s">
        <v>1658</v>
      </c>
      <c r="F633" s="741">
        <f>'[1]PLAN DE DESARROLLO 2024 - 2027'!$K$67</f>
        <v>0.19047619047619047</v>
      </c>
      <c r="G633" s="738" t="s">
        <v>535</v>
      </c>
      <c r="H633" s="738" t="s">
        <v>536</v>
      </c>
      <c r="I633" s="771">
        <f>+'Vida Digna'!AK112</f>
        <v>1</v>
      </c>
      <c r="J633" s="738" t="s">
        <v>516</v>
      </c>
      <c r="K633" s="742" t="s">
        <v>1996</v>
      </c>
      <c r="P633" s="732"/>
    </row>
    <row r="634" spans="1:16" ht="43.8" thickBot="1" x14ac:dyDescent="0.35">
      <c r="A634" s="738" t="s">
        <v>2197</v>
      </c>
      <c r="B634" s="741">
        <f>'[1]PLAN DE DESARROLLO 2024 - 2027'!$K$46</f>
        <v>0.28357478219025023</v>
      </c>
      <c r="C634" s="738" t="s">
        <v>2229</v>
      </c>
      <c r="D634" s="741">
        <f>'[1]PLAN DE DESARROLLO 2024 - 2027'!$K$64</f>
        <v>0.22921261370670454</v>
      </c>
      <c r="E634" s="738" t="s">
        <v>1658</v>
      </c>
      <c r="F634" s="741">
        <f>'[1]PLAN DE DESARROLLO 2024 - 2027'!$K$67</f>
        <v>0.19047619047619047</v>
      </c>
      <c r="G634" s="738" t="s">
        <v>537</v>
      </c>
      <c r="H634" s="738" t="s">
        <v>538</v>
      </c>
      <c r="I634" s="771">
        <f>+'Vida Digna'!AK113</f>
        <v>0</v>
      </c>
      <c r="J634" s="738" t="s">
        <v>516</v>
      </c>
      <c r="K634" s="742" t="s">
        <v>1996</v>
      </c>
      <c r="P634" s="732"/>
    </row>
    <row r="635" spans="1:16" ht="29.4" thickBot="1" x14ac:dyDescent="0.35">
      <c r="A635" s="738" t="s">
        <v>2197</v>
      </c>
      <c r="B635" s="741">
        <f>'[1]PLAN DE DESARROLLO 2024 - 2027'!$K$46</f>
        <v>0.28357478219025023</v>
      </c>
      <c r="C635" s="738" t="s">
        <v>2229</v>
      </c>
      <c r="D635" s="741">
        <f>'[1]PLAN DE DESARROLLO 2024 - 2027'!$K$64</f>
        <v>0.22921261370670454</v>
      </c>
      <c r="E635" s="738" t="s">
        <v>1658</v>
      </c>
      <c r="F635" s="741">
        <f>'[1]PLAN DE DESARROLLO 2024 - 2027'!$K$67</f>
        <v>0.19047619047619047</v>
      </c>
      <c r="G635" s="738" t="s">
        <v>539</v>
      </c>
      <c r="H635" s="738" t="s">
        <v>540</v>
      </c>
      <c r="I635" s="770">
        <f>+'Vida Digna'!AK114</f>
        <v>0.70833333333333337</v>
      </c>
      <c r="J635" s="738" t="s">
        <v>516</v>
      </c>
      <c r="K635" s="742" t="s">
        <v>1996</v>
      </c>
      <c r="P635" s="732"/>
    </row>
    <row r="636" spans="1:16" ht="29.4" thickBot="1" x14ac:dyDescent="0.35">
      <c r="A636" s="738" t="s">
        <v>2197</v>
      </c>
      <c r="B636" s="741">
        <f>'[1]PLAN DE DESARROLLO 2024 - 2027'!$K$46</f>
        <v>0.28357478219025023</v>
      </c>
      <c r="C636" s="738" t="s">
        <v>2229</v>
      </c>
      <c r="D636" s="741">
        <f>'[1]PLAN DE DESARROLLO 2024 - 2027'!$K$64</f>
        <v>0.22921261370670454</v>
      </c>
      <c r="E636" s="738" t="s">
        <v>1658</v>
      </c>
      <c r="F636" s="741">
        <f>'[1]PLAN DE DESARROLLO 2024 - 2027'!$K$67</f>
        <v>0.19047619047619047</v>
      </c>
      <c r="G636" s="738" t="s">
        <v>541</v>
      </c>
      <c r="H636" s="738" t="s">
        <v>542</v>
      </c>
      <c r="I636" s="770">
        <f>+'Vida Digna'!AK115</f>
        <v>5.4550000000000001E-2</v>
      </c>
      <c r="J636" s="738" t="s">
        <v>516</v>
      </c>
      <c r="K636" s="742" t="s">
        <v>1996</v>
      </c>
      <c r="P636" s="732"/>
    </row>
    <row r="637" spans="1:16" ht="29.4" thickBot="1" x14ac:dyDescent="0.35">
      <c r="A637" s="738" t="s">
        <v>2197</v>
      </c>
      <c r="B637" s="741">
        <f>'[1]PLAN DE DESARROLLO 2024 - 2027'!$K$46</f>
        <v>0.28357478219025023</v>
      </c>
      <c r="C637" s="738" t="s">
        <v>2229</v>
      </c>
      <c r="D637" s="741">
        <f>'[1]PLAN DE DESARROLLO 2024 - 2027'!$K$64</f>
        <v>0.22921261370670454</v>
      </c>
      <c r="E637" s="738" t="s">
        <v>1658</v>
      </c>
      <c r="F637" s="741">
        <f>'[1]PLAN DE DESARROLLO 2024 - 2027'!$K$67</f>
        <v>0.19047619047619047</v>
      </c>
      <c r="G637" s="738" t="s">
        <v>543</v>
      </c>
      <c r="H637" s="738" t="s">
        <v>544</v>
      </c>
      <c r="I637" s="770">
        <f>+'Vida Digna'!AK116</f>
        <v>0.3</v>
      </c>
      <c r="J637" s="738" t="s">
        <v>516</v>
      </c>
      <c r="K637" s="742" t="s">
        <v>1996</v>
      </c>
      <c r="P637" s="732"/>
    </row>
    <row r="638" spans="1:16" ht="29.4" thickBot="1" x14ac:dyDescent="0.35">
      <c r="A638" s="738" t="s">
        <v>2197</v>
      </c>
      <c r="B638" s="741">
        <f>'[1]PLAN DE DESARROLLO 2024 - 2027'!$K$46</f>
        <v>0.28357478219025023</v>
      </c>
      <c r="C638" s="738" t="s">
        <v>2229</v>
      </c>
      <c r="D638" s="741">
        <f>'[1]PLAN DE DESARROLLO 2024 - 2027'!$K$64</f>
        <v>0.22921261370670454</v>
      </c>
      <c r="E638" s="738" t="s">
        <v>1658</v>
      </c>
      <c r="F638" s="741">
        <f>'[1]PLAN DE DESARROLLO 2024 - 2027'!$K$67</f>
        <v>0.19047619047619047</v>
      </c>
      <c r="G638" s="738" t="s">
        <v>545</v>
      </c>
      <c r="H638" s="738" t="s">
        <v>546</v>
      </c>
      <c r="I638" s="770">
        <f>+'Vida Digna'!AK117</f>
        <v>0.5</v>
      </c>
      <c r="J638" s="738" t="s">
        <v>516</v>
      </c>
      <c r="K638" s="742" t="s">
        <v>1996</v>
      </c>
      <c r="P638" s="732"/>
    </row>
    <row r="639" spans="1:16" ht="29.4" thickBot="1" x14ac:dyDescent="0.35">
      <c r="A639" s="738" t="s">
        <v>2197</v>
      </c>
      <c r="B639" s="741">
        <f>'[1]PLAN DE DESARROLLO 2024 - 2027'!$K$46</f>
        <v>0.28357478219025023</v>
      </c>
      <c r="C639" s="738" t="s">
        <v>2229</v>
      </c>
      <c r="D639" s="741">
        <f>'[1]PLAN DE DESARROLLO 2024 - 2027'!$K$64</f>
        <v>0.22921261370670454</v>
      </c>
      <c r="E639" s="738" t="s">
        <v>1658</v>
      </c>
      <c r="F639" s="741">
        <f>'[1]PLAN DE DESARROLLO 2024 - 2027'!$K$67</f>
        <v>0.19047619047619047</v>
      </c>
      <c r="G639" s="738" t="s">
        <v>547</v>
      </c>
      <c r="H639" s="738" t="s">
        <v>548</v>
      </c>
      <c r="I639" s="770">
        <f>+'Vida Digna'!AK118</f>
        <v>0</v>
      </c>
      <c r="J639" s="738" t="s">
        <v>516</v>
      </c>
      <c r="K639" s="742" t="s">
        <v>1996</v>
      </c>
      <c r="P639" s="732"/>
    </row>
    <row r="640" spans="1:16" ht="29.4" thickBot="1" x14ac:dyDescent="0.35">
      <c r="A640" s="738" t="s">
        <v>2197</v>
      </c>
      <c r="B640" s="741">
        <f>'[1]PLAN DE DESARROLLO 2024 - 2027'!$K$46</f>
        <v>0.28357478219025023</v>
      </c>
      <c r="C640" s="738" t="s">
        <v>2232</v>
      </c>
      <c r="D640" s="741">
        <f>'[1]PLAN DE DESARROLLO 2024 - 2027'!$K$68</f>
        <v>0.1746377450980392</v>
      </c>
      <c r="E640" s="738" t="s">
        <v>2233</v>
      </c>
      <c r="F640" s="741">
        <f>'[1]PLAN DE DESARROLLO 2024 - 2027'!$K$69</f>
        <v>4.1099999999999998E-2</v>
      </c>
      <c r="G640" s="738" t="s">
        <v>549</v>
      </c>
      <c r="H640" s="738" t="s">
        <v>550</v>
      </c>
      <c r="I640" s="770">
        <f>+'Vida Digna'!AK121</f>
        <v>8.6699999999999999E-2</v>
      </c>
      <c r="J640" s="738" t="s">
        <v>551</v>
      </c>
      <c r="K640" s="742" t="s">
        <v>1996</v>
      </c>
      <c r="P640" s="732"/>
    </row>
    <row r="641" spans="1:16" ht="29.4" thickBot="1" x14ac:dyDescent="0.35">
      <c r="A641" s="738" t="s">
        <v>2197</v>
      </c>
      <c r="B641" s="741">
        <f>'[1]PLAN DE DESARROLLO 2024 - 2027'!$K$46</f>
        <v>0.28357478219025023</v>
      </c>
      <c r="C641" s="738" t="s">
        <v>2232</v>
      </c>
      <c r="D641" s="741">
        <f>'[1]PLAN DE DESARROLLO 2024 - 2027'!$K$68</f>
        <v>0.1746377450980392</v>
      </c>
      <c r="E641" s="738" t="s">
        <v>1661</v>
      </c>
      <c r="F641" s="741">
        <f>'[1]PLAN DE DESARROLLO 2024 - 2027'!$K$70</f>
        <v>0.24345098039215687</v>
      </c>
      <c r="G641" s="738" t="s">
        <v>552</v>
      </c>
      <c r="H641" s="738" t="s">
        <v>553</v>
      </c>
      <c r="I641" s="770">
        <f>+'Vida Digna'!AK123</f>
        <v>0.28572549019607846</v>
      </c>
      <c r="J641" s="738" t="s">
        <v>551</v>
      </c>
      <c r="K641" s="742" t="s">
        <v>1996</v>
      </c>
      <c r="P641" s="732"/>
    </row>
    <row r="642" spans="1:16" ht="15" thickBot="1" x14ac:dyDescent="0.35">
      <c r="A642" s="738" t="s">
        <v>2197</v>
      </c>
      <c r="B642" s="741">
        <f>'[1]PLAN DE DESARROLLO 2024 - 2027'!$K$46</f>
        <v>0.28357478219025023</v>
      </c>
      <c r="C642" s="738" t="s">
        <v>2232</v>
      </c>
      <c r="D642" s="741">
        <f>'[1]PLAN DE DESARROLLO 2024 - 2027'!$K$68</f>
        <v>0.1746377450980392</v>
      </c>
      <c r="E642" s="738" t="s">
        <v>1662</v>
      </c>
      <c r="F642" s="741">
        <f>'[1]PLAN DE DESARROLLO 2024 - 2027'!$K$71</f>
        <v>0.24099999999999999</v>
      </c>
      <c r="G642" s="738" t="s">
        <v>554</v>
      </c>
      <c r="H642" s="738" t="s">
        <v>555</v>
      </c>
      <c r="I642" s="770">
        <f>+'Vida Digna'!AK125</f>
        <v>0.31440000000000001</v>
      </c>
      <c r="J642" s="738" t="s">
        <v>551</v>
      </c>
      <c r="K642" s="742" t="s">
        <v>1996</v>
      </c>
      <c r="P642" s="732"/>
    </row>
    <row r="643" spans="1:16" ht="29.4" thickBot="1" x14ac:dyDescent="0.35">
      <c r="A643" s="738" t="s">
        <v>2197</v>
      </c>
      <c r="B643" s="741">
        <f>'[1]PLAN DE DESARROLLO 2024 - 2027'!$K$46</f>
        <v>0.28357478219025023</v>
      </c>
      <c r="C643" s="738" t="s">
        <v>2232</v>
      </c>
      <c r="D643" s="741">
        <f>'[1]PLAN DE DESARROLLO 2024 - 2027'!$K$68</f>
        <v>0.1746377450980392</v>
      </c>
      <c r="E643" s="738" t="s">
        <v>2234</v>
      </c>
      <c r="F643" s="741">
        <f>'[1]PLAN DE DESARROLLO 2024 - 2027'!$K$72</f>
        <v>0.17299999999999999</v>
      </c>
      <c r="G643" s="738" t="s">
        <v>556</v>
      </c>
      <c r="H643" s="738" t="s">
        <v>557</v>
      </c>
      <c r="I643" s="770">
        <f>+'Vida Digna'!AK127</f>
        <v>0.20620000000000002</v>
      </c>
      <c r="J643" s="738" t="s">
        <v>551</v>
      </c>
      <c r="K643" s="742" t="s">
        <v>1996</v>
      </c>
      <c r="P643" s="732"/>
    </row>
    <row r="644" spans="1:16" ht="29.4" thickBot="1" x14ac:dyDescent="0.35">
      <c r="A644" s="738" t="s">
        <v>2197</v>
      </c>
      <c r="B644" s="741">
        <f>'[1]PLAN DE DESARROLLO 2024 - 2027'!$K$46</f>
        <v>0.28357478219025023</v>
      </c>
      <c r="C644" s="738" t="s">
        <v>2232</v>
      </c>
      <c r="D644" s="741">
        <f>'[1]PLAN DE DESARROLLO 2024 - 2027'!$K$68</f>
        <v>0.1746377450980392</v>
      </c>
      <c r="E644" s="738" t="s">
        <v>2234</v>
      </c>
      <c r="F644" s="741">
        <f>'[1]PLAN DE DESARROLLO 2024 - 2027'!$K$72</f>
        <v>0.17299999999999999</v>
      </c>
      <c r="G644" s="738" t="s">
        <v>558</v>
      </c>
      <c r="H644" s="738" t="s">
        <v>559</v>
      </c>
      <c r="I644" s="771">
        <f>+'Vida Digna'!AK128</f>
        <v>0.22850000000000001</v>
      </c>
      <c r="J644" s="738" t="s">
        <v>560</v>
      </c>
      <c r="K644" s="742" t="s">
        <v>1996</v>
      </c>
      <c r="P644" s="732"/>
    </row>
    <row r="645" spans="1:16" ht="15" thickBot="1" x14ac:dyDescent="0.35">
      <c r="A645" s="738" t="s">
        <v>2197</v>
      </c>
      <c r="B645" s="741">
        <f>'[1]PLAN DE DESARROLLO 2024 - 2027'!$K$46</f>
        <v>0.28357478219025023</v>
      </c>
      <c r="C645" s="738" t="s">
        <v>2232</v>
      </c>
      <c r="D645" s="741">
        <f>'[1]PLAN DE DESARROLLO 2024 - 2027'!$K$68</f>
        <v>0.1746377450980392</v>
      </c>
      <c r="E645" s="738" t="s">
        <v>2234</v>
      </c>
      <c r="F645" s="741">
        <f>'[1]PLAN DE DESARROLLO 2024 - 2027'!$K$72</f>
        <v>0.17299999999999999</v>
      </c>
      <c r="G645" s="738" t="s">
        <v>561</v>
      </c>
      <c r="H645" s="738" t="s">
        <v>562</v>
      </c>
      <c r="I645" s="770">
        <f>+'Vida Digna'!AK129</f>
        <v>0.53500000000000003</v>
      </c>
      <c r="J645" s="738" t="s">
        <v>551</v>
      </c>
      <c r="K645" s="742" t="s">
        <v>1996</v>
      </c>
      <c r="P645" s="732"/>
    </row>
    <row r="646" spans="1:16" ht="29.4" thickBot="1" x14ac:dyDescent="0.35">
      <c r="A646" s="738" t="s">
        <v>2197</v>
      </c>
      <c r="B646" s="741">
        <f>'[1]PLAN DE DESARROLLO 2024 - 2027'!$K$46</f>
        <v>0.28357478219025023</v>
      </c>
      <c r="C646" s="738" t="s">
        <v>2201</v>
      </c>
      <c r="D646" s="741">
        <f>'[1]PLAN DE DESARROLLO 2024 - 2027'!$K$73</f>
        <v>0.30468955227047623</v>
      </c>
      <c r="E646" s="738" t="s">
        <v>2235</v>
      </c>
      <c r="F646" s="741">
        <f>'[1]PLAN DE DESARROLLO 2024 - 2027'!$K$74</f>
        <v>0.20194776135238096</v>
      </c>
      <c r="G646" s="738" t="s">
        <v>563</v>
      </c>
      <c r="H646" s="738" t="s">
        <v>564</v>
      </c>
      <c r="I646" s="770">
        <f>+'Vida Digna'!AK132</f>
        <v>0.68749162743131231</v>
      </c>
      <c r="J646" s="738" t="s">
        <v>565</v>
      </c>
      <c r="K646" s="742" t="s">
        <v>1996</v>
      </c>
      <c r="P646" s="732"/>
    </row>
    <row r="647" spans="1:16" ht="29.4" thickBot="1" x14ac:dyDescent="0.35">
      <c r="A647" s="738" t="s">
        <v>2197</v>
      </c>
      <c r="B647" s="741">
        <f>'[1]PLAN DE DESARROLLO 2024 - 2027'!$K$46</f>
        <v>0.28357478219025023</v>
      </c>
      <c r="C647" s="738" t="s">
        <v>2201</v>
      </c>
      <c r="D647" s="741">
        <f>'[1]PLAN DE DESARROLLO 2024 - 2027'!$K$73</f>
        <v>0.30468955227047623</v>
      </c>
      <c r="E647" s="738" t="s">
        <v>2235</v>
      </c>
      <c r="F647" s="741">
        <f>'[1]PLAN DE DESARROLLO 2024 - 2027'!$K$74</f>
        <v>0.20194776135238096</v>
      </c>
      <c r="G647" s="738" t="s">
        <v>566</v>
      </c>
      <c r="H647" s="738" t="s">
        <v>567</v>
      </c>
      <c r="I647" s="770">
        <f>+'Vida Digna'!AK133</f>
        <v>0.5</v>
      </c>
      <c r="J647" s="738" t="s">
        <v>565</v>
      </c>
      <c r="K647" s="742" t="s">
        <v>1996</v>
      </c>
      <c r="P647" s="732"/>
    </row>
    <row r="648" spans="1:16" ht="29.4" thickBot="1" x14ac:dyDescent="0.35">
      <c r="A648" s="738" t="s">
        <v>2197</v>
      </c>
      <c r="B648" s="741">
        <f>'[1]PLAN DE DESARROLLO 2024 - 2027'!$K$46</f>
        <v>0.28357478219025023</v>
      </c>
      <c r="C648" s="738" t="s">
        <v>2201</v>
      </c>
      <c r="D648" s="741">
        <f>'[1]PLAN DE DESARROLLO 2024 - 2027'!$K$73</f>
        <v>0.30468955227047623</v>
      </c>
      <c r="E648" s="738" t="s">
        <v>2235</v>
      </c>
      <c r="F648" s="741">
        <f>'[1]PLAN DE DESARROLLO 2024 - 2027'!$K$74</f>
        <v>0.20194776135238096</v>
      </c>
      <c r="G648" s="738" t="s">
        <v>568</v>
      </c>
      <c r="H648" s="738" t="s">
        <v>569</v>
      </c>
      <c r="I648" s="770">
        <f>+'Vida Digna'!AK134</f>
        <v>0.27680555555555558</v>
      </c>
      <c r="J648" s="738" t="s">
        <v>565</v>
      </c>
      <c r="K648" s="742" t="s">
        <v>1996</v>
      </c>
      <c r="P648" s="732"/>
    </row>
    <row r="649" spans="1:16" ht="29.4" thickBot="1" x14ac:dyDescent="0.35">
      <c r="A649" s="738" t="s">
        <v>2197</v>
      </c>
      <c r="B649" s="741">
        <f>'[1]PLAN DE DESARROLLO 2024 - 2027'!$K$46</f>
        <v>0.28357478219025023</v>
      </c>
      <c r="C649" s="738" t="s">
        <v>2201</v>
      </c>
      <c r="D649" s="741">
        <f>'[1]PLAN DE DESARROLLO 2024 - 2027'!$K$73</f>
        <v>0.30468955227047623</v>
      </c>
      <c r="E649" s="738" t="s">
        <v>2235</v>
      </c>
      <c r="F649" s="741">
        <f>'[1]PLAN DE DESARROLLO 2024 - 2027'!$K$74</f>
        <v>0.20194776135238096</v>
      </c>
      <c r="G649" s="738" t="s">
        <v>570</v>
      </c>
      <c r="H649" s="738" t="s">
        <v>571</v>
      </c>
      <c r="I649" s="770">
        <f>+'Vida Digna'!AK135</f>
        <v>1</v>
      </c>
      <c r="J649" s="738" t="s">
        <v>565</v>
      </c>
      <c r="K649" s="742" t="s">
        <v>1996</v>
      </c>
      <c r="P649" s="732"/>
    </row>
    <row r="650" spans="1:16" ht="29.4" thickBot="1" x14ac:dyDescent="0.35">
      <c r="A650" s="738" t="s">
        <v>2197</v>
      </c>
      <c r="B650" s="741">
        <f>'[1]PLAN DE DESARROLLO 2024 - 2027'!$K$46</f>
        <v>0.28357478219025023</v>
      </c>
      <c r="C650" s="738" t="s">
        <v>2201</v>
      </c>
      <c r="D650" s="741">
        <f>'[1]PLAN DE DESARROLLO 2024 - 2027'!$K$73</f>
        <v>0.30468955227047623</v>
      </c>
      <c r="E650" s="738" t="s">
        <v>2235</v>
      </c>
      <c r="F650" s="741">
        <f>'[1]PLAN DE DESARROLLO 2024 - 2027'!$K$74</f>
        <v>0.20194776135238096</v>
      </c>
      <c r="G650" s="738" t="s">
        <v>572</v>
      </c>
      <c r="H650" s="738" t="s">
        <v>573</v>
      </c>
      <c r="I650" s="770">
        <f>+'Vida Digna'!AK136</f>
        <v>1</v>
      </c>
      <c r="J650" s="738" t="s">
        <v>565</v>
      </c>
      <c r="K650" s="742" t="s">
        <v>1996</v>
      </c>
      <c r="P650" s="732"/>
    </row>
    <row r="651" spans="1:16" ht="29.4" thickBot="1" x14ac:dyDescent="0.35">
      <c r="A651" s="738" t="s">
        <v>2197</v>
      </c>
      <c r="B651" s="741">
        <f>'[1]PLAN DE DESARROLLO 2024 - 2027'!$K$46</f>
        <v>0.28357478219025023</v>
      </c>
      <c r="C651" s="738" t="s">
        <v>2201</v>
      </c>
      <c r="D651" s="741">
        <f>'[1]PLAN DE DESARROLLO 2024 - 2027'!$K$73</f>
        <v>0.30468955227047623</v>
      </c>
      <c r="E651" s="738" t="s">
        <v>2235</v>
      </c>
      <c r="F651" s="741">
        <f>'[1]PLAN DE DESARROLLO 2024 - 2027'!$K$74</f>
        <v>0.20194776135238096</v>
      </c>
      <c r="G651" s="738" t="s">
        <v>574</v>
      </c>
      <c r="H651" s="738" t="s">
        <v>575</v>
      </c>
      <c r="I651" s="770">
        <f>+'Vida Digna'!AK137</f>
        <v>0.44117647058823528</v>
      </c>
      <c r="J651" s="738" t="s">
        <v>565</v>
      </c>
      <c r="K651" s="742" t="s">
        <v>1996</v>
      </c>
      <c r="P651" s="732"/>
    </row>
    <row r="652" spans="1:16" ht="15" thickBot="1" x14ac:dyDescent="0.35">
      <c r="A652" s="738" t="s">
        <v>2197</v>
      </c>
      <c r="B652" s="741">
        <f>'[1]PLAN DE DESARROLLO 2024 - 2027'!$K$46</f>
        <v>0.28357478219025023</v>
      </c>
      <c r="C652" s="738" t="s">
        <v>2201</v>
      </c>
      <c r="D652" s="741">
        <f>'[1]PLAN DE DESARROLLO 2024 - 2027'!$K$73</f>
        <v>0.30468955227047623</v>
      </c>
      <c r="E652" s="738" t="s">
        <v>2235</v>
      </c>
      <c r="F652" s="741">
        <f>'[1]PLAN DE DESARROLLO 2024 - 2027'!$K$74</f>
        <v>0.20194776135238096</v>
      </c>
      <c r="G652" s="738" t="s">
        <v>576</v>
      </c>
      <c r="H652" s="738" t="s">
        <v>577</v>
      </c>
      <c r="I652" s="770">
        <f>+'Vida Digna'!AK138</f>
        <v>0.3125</v>
      </c>
      <c r="J652" s="738" t="s">
        <v>565</v>
      </c>
      <c r="K652" s="742" t="s">
        <v>1996</v>
      </c>
      <c r="P652" s="732"/>
    </row>
    <row r="653" spans="1:16" ht="29.4" thickBot="1" x14ac:dyDescent="0.35">
      <c r="A653" s="738" t="s">
        <v>2197</v>
      </c>
      <c r="B653" s="741">
        <f>'[1]PLAN DE DESARROLLO 2024 - 2027'!$K$46</f>
        <v>0.28357478219025023</v>
      </c>
      <c r="C653" s="738" t="s">
        <v>2201</v>
      </c>
      <c r="D653" s="741">
        <f>'[1]PLAN DE DESARROLLO 2024 - 2027'!$K$73</f>
        <v>0.30468955227047623</v>
      </c>
      <c r="E653" s="738" t="s">
        <v>2235</v>
      </c>
      <c r="F653" s="741">
        <f>'[1]PLAN DE DESARROLLO 2024 - 2027'!$K$74</f>
        <v>0.20194776135238096</v>
      </c>
      <c r="G653" s="738" t="s">
        <v>578</v>
      </c>
      <c r="H653" s="738" t="s">
        <v>579</v>
      </c>
      <c r="I653" s="770">
        <f>+'Vida Digna'!AK139</f>
        <v>0.63823529411764701</v>
      </c>
      <c r="J653" s="738" t="s">
        <v>565</v>
      </c>
      <c r="K653" s="742" t="s">
        <v>1996</v>
      </c>
      <c r="P653" s="732"/>
    </row>
    <row r="654" spans="1:16" ht="29.4" thickBot="1" x14ac:dyDescent="0.35">
      <c r="A654" s="738" t="s">
        <v>2197</v>
      </c>
      <c r="B654" s="741">
        <f>'[1]PLAN DE DESARROLLO 2024 - 2027'!$K$46</f>
        <v>0.28357478219025023</v>
      </c>
      <c r="C654" s="738" t="s">
        <v>2201</v>
      </c>
      <c r="D654" s="741">
        <f>'[1]PLAN DE DESARROLLO 2024 - 2027'!$K$73</f>
        <v>0.30468955227047623</v>
      </c>
      <c r="E654" s="738" t="s">
        <v>2236</v>
      </c>
      <c r="F654" s="741">
        <f>'[1]PLAN DE DESARROLLO 2024 - 2027'!$K$75</f>
        <v>0.45774999999999999</v>
      </c>
      <c r="G654" s="738" t="s">
        <v>580</v>
      </c>
      <c r="H654" s="738" t="s">
        <v>581</v>
      </c>
      <c r="I654" s="770">
        <f>+'Vida Digna'!AK141</f>
        <v>1</v>
      </c>
      <c r="J654" s="738" t="s">
        <v>565</v>
      </c>
      <c r="K654" s="742" t="s">
        <v>1996</v>
      </c>
      <c r="P654" s="732"/>
    </row>
    <row r="655" spans="1:16" ht="29.4" thickBot="1" x14ac:dyDescent="0.35">
      <c r="A655" s="738" t="s">
        <v>2197</v>
      </c>
      <c r="B655" s="741">
        <f>'[1]PLAN DE DESARROLLO 2024 - 2027'!$K$46</f>
        <v>0.28357478219025023</v>
      </c>
      <c r="C655" s="738" t="s">
        <v>2201</v>
      </c>
      <c r="D655" s="741">
        <f>'[1]PLAN DE DESARROLLO 2024 - 2027'!$K$73</f>
        <v>0.30468955227047623</v>
      </c>
      <c r="E655" s="738" t="s">
        <v>2236</v>
      </c>
      <c r="F655" s="741">
        <f>'[1]PLAN DE DESARROLLO 2024 - 2027'!$K$75</f>
        <v>0.45774999999999999</v>
      </c>
      <c r="G655" s="738" t="s">
        <v>582</v>
      </c>
      <c r="H655" s="738" t="s">
        <v>583</v>
      </c>
      <c r="I655" s="770">
        <f>+'Vida Digna'!AK142</f>
        <v>0.96</v>
      </c>
      <c r="J655" s="738" t="s">
        <v>565</v>
      </c>
      <c r="K655" s="742" t="s">
        <v>1996</v>
      </c>
      <c r="P655" s="732"/>
    </row>
    <row r="656" spans="1:16" ht="29.4" thickBot="1" x14ac:dyDescent="0.35">
      <c r="A656" s="738" t="s">
        <v>2197</v>
      </c>
      <c r="B656" s="741">
        <f>'[1]PLAN DE DESARROLLO 2024 - 2027'!$K$46</f>
        <v>0.28357478219025023</v>
      </c>
      <c r="C656" s="738" t="s">
        <v>2201</v>
      </c>
      <c r="D656" s="741">
        <f>'[1]PLAN DE DESARROLLO 2024 - 2027'!$K$73</f>
        <v>0.30468955227047623</v>
      </c>
      <c r="E656" s="738" t="s">
        <v>2236</v>
      </c>
      <c r="F656" s="741">
        <f>'[1]PLAN DE DESARROLLO 2024 - 2027'!$K$75</f>
        <v>0.45774999999999999</v>
      </c>
      <c r="G656" s="738" t="s">
        <v>584</v>
      </c>
      <c r="H656" s="738" t="s">
        <v>585</v>
      </c>
      <c r="I656" s="770">
        <f>+'Vida Digna'!AK143</f>
        <v>1</v>
      </c>
      <c r="J656" s="738" t="s">
        <v>565</v>
      </c>
      <c r="K656" s="742" t="s">
        <v>1996</v>
      </c>
      <c r="P656" s="732"/>
    </row>
    <row r="657" spans="1:16" ht="43.8" thickBot="1" x14ac:dyDescent="0.35">
      <c r="A657" s="738" t="s">
        <v>2197</v>
      </c>
      <c r="B657" s="741">
        <f>'[1]PLAN DE DESARROLLO 2024 - 2027'!$K$46</f>
        <v>0.28357478219025023</v>
      </c>
      <c r="C657" s="738" t="s">
        <v>2201</v>
      </c>
      <c r="D657" s="741">
        <f>'[1]PLAN DE DESARROLLO 2024 - 2027'!$K$73</f>
        <v>0.30468955227047623</v>
      </c>
      <c r="E657" s="738" t="s">
        <v>2236</v>
      </c>
      <c r="F657" s="741">
        <f>'[1]PLAN DE DESARROLLO 2024 - 2027'!$K$75</f>
        <v>0.45774999999999999</v>
      </c>
      <c r="G657" s="738" t="s">
        <v>586</v>
      </c>
      <c r="H657" s="738" t="s">
        <v>587</v>
      </c>
      <c r="I657" s="770">
        <f>+'Vida Digna'!AK144</f>
        <v>1</v>
      </c>
      <c r="J657" s="738" t="s">
        <v>565</v>
      </c>
      <c r="K657" s="742" t="s">
        <v>1996</v>
      </c>
      <c r="P657" s="732"/>
    </row>
    <row r="658" spans="1:16" ht="29.4" thickBot="1" x14ac:dyDescent="0.35">
      <c r="A658" s="738" t="s">
        <v>2197</v>
      </c>
      <c r="B658" s="741">
        <f>'[1]PLAN DE DESARROLLO 2024 - 2027'!$K$46</f>
        <v>0.28357478219025023</v>
      </c>
      <c r="C658" s="738" t="s">
        <v>2201</v>
      </c>
      <c r="D658" s="741">
        <f>'[1]PLAN DE DESARROLLO 2024 - 2027'!$K$73</f>
        <v>0.30468955227047623</v>
      </c>
      <c r="E658" s="738" t="s">
        <v>2237</v>
      </c>
      <c r="F658" s="741">
        <f>'[1]PLAN DE DESARROLLO 2024 - 2027'!$K$76</f>
        <v>0.30625000000000002</v>
      </c>
      <c r="G658" s="738" t="s">
        <v>588</v>
      </c>
      <c r="H658" s="738" t="s">
        <v>589</v>
      </c>
      <c r="I658" s="770">
        <f>+'Vida Digna'!AK146</f>
        <v>0.7927777777777778</v>
      </c>
      <c r="J658" s="738" t="s">
        <v>565</v>
      </c>
      <c r="K658" s="742" t="s">
        <v>1996</v>
      </c>
      <c r="P658" s="732"/>
    </row>
    <row r="659" spans="1:16" ht="29.4" thickBot="1" x14ac:dyDescent="0.35">
      <c r="A659" s="738" t="s">
        <v>2197</v>
      </c>
      <c r="B659" s="741">
        <f>'[1]PLAN DE DESARROLLO 2024 - 2027'!$K$46</f>
        <v>0.28357478219025023</v>
      </c>
      <c r="C659" s="738" t="s">
        <v>2201</v>
      </c>
      <c r="D659" s="741">
        <f>'[1]PLAN DE DESARROLLO 2024 - 2027'!$K$73</f>
        <v>0.30468955227047623</v>
      </c>
      <c r="E659" s="738" t="s">
        <v>2237</v>
      </c>
      <c r="F659" s="741">
        <f>'[1]PLAN DE DESARROLLO 2024 - 2027'!$K$76</f>
        <v>0.30625000000000002</v>
      </c>
      <c r="G659" s="738" t="s">
        <v>590</v>
      </c>
      <c r="H659" s="738" t="s">
        <v>591</v>
      </c>
      <c r="I659" s="770">
        <f>+'Vida Digna'!AK147</f>
        <v>0.55000000000000004</v>
      </c>
      <c r="J659" s="738" t="s">
        <v>565</v>
      </c>
      <c r="K659" s="742" t="s">
        <v>1996</v>
      </c>
      <c r="P659" s="732"/>
    </row>
    <row r="660" spans="1:16" ht="43.8" thickBot="1" x14ac:dyDescent="0.35">
      <c r="A660" s="738" t="s">
        <v>2197</v>
      </c>
      <c r="B660" s="741">
        <f>'[1]PLAN DE DESARROLLO 2024 - 2027'!$K$46</f>
        <v>0.28357478219025023</v>
      </c>
      <c r="C660" s="738" t="s">
        <v>2201</v>
      </c>
      <c r="D660" s="741">
        <f>'[1]PLAN DE DESARROLLO 2024 - 2027'!$K$73</f>
        <v>0.30468955227047623</v>
      </c>
      <c r="E660" s="738" t="s">
        <v>2238</v>
      </c>
      <c r="F660" s="741">
        <f>'[1]PLAN DE DESARROLLO 2024 - 2027'!$K$77</f>
        <v>0.27</v>
      </c>
      <c r="G660" s="738" t="s">
        <v>592</v>
      </c>
      <c r="H660" s="738" t="s">
        <v>593</v>
      </c>
      <c r="I660" s="770">
        <f>+'Vida Digna'!AK149</f>
        <v>0.92700000000000005</v>
      </c>
      <c r="J660" s="738" t="s">
        <v>565</v>
      </c>
      <c r="K660" s="742" t="s">
        <v>1996</v>
      </c>
      <c r="P660" s="732"/>
    </row>
    <row r="661" spans="1:16" ht="29.4" thickBot="1" x14ac:dyDescent="0.35">
      <c r="A661" s="738" t="s">
        <v>2197</v>
      </c>
      <c r="B661" s="741">
        <f>'[1]PLAN DE DESARROLLO 2024 - 2027'!$K$46</f>
        <v>0.28357478219025023</v>
      </c>
      <c r="C661" s="738" t="s">
        <v>2201</v>
      </c>
      <c r="D661" s="741">
        <f>'[1]PLAN DE DESARROLLO 2024 - 2027'!$K$73</f>
        <v>0.30468955227047623</v>
      </c>
      <c r="E661" s="738" t="s">
        <v>2238</v>
      </c>
      <c r="F661" s="741">
        <f>'[1]PLAN DE DESARROLLO 2024 - 2027'!$K$77</f>
        <v>0.27</v>
      </c>
      <c r="G661" s="738" t="s">
        <v>594</v>
      </c>
      <c r="H661" s="738" t="s">
        <v>595</v>
      </c>
      <c r="I661" s="770">
        <f>+'Vida Digna'!AK150</f>
        <v>0.6</v>
      </c>
      <c r="J661" s="738" t="s">
        <v>565</v>
      </c>
      <c r="K661" s="742" t="s">
        <v>1996</v>
      </c>
      <c r="P661" s="732"/>
    </row>
    <row r="662" spans="1:16" ht="43.8" thickBot="1" x14ac:dyDescent="0.35">
      <c r="A662" s="738" t="s">
        <v>2197</v>
      </c>
      <c r="B662" s="741">
        <f>'[1]PLAN DE DESARROLLO 2024 - 2027'!$K$46</f>
        <v>0.28357478219025023</v>
      </c>
      <c r="C662" s="738" t="s">
        <v>2201</v>
      </c>
      <c r="D662" s="741">
        <f>'[1]PLAN DE DESARROLLO 2024 - 2027'!$K$73</f>
        <v>0.30468955227047623</v>
      </c>
      <c r="E662" s="738" t="s">
        <v>2238</v>
      </c>
      <c r="F662" s="741">
        <f>'[1]PLAN DE DESARROLLO 2024 - 2027'!$K$77</f>
        <v>0.27</v>
      </c>
      <c r="G662" s="738" t="s">
        <v>596</v>
      </c>
      <c r="H662" s="738" t="s">
        <v>597</v>
      </c>
      <c r="I662" s="770">
        <f>+'Vida Digna'!AK151</f>
        <v>1</v>
      </c>
      <c r="J662" s="738" t="s">
        <v>565</v>
      </c>
      <c r="K662" s="742" t="s">
        <v>1996</v>
      </c>
      <c r="P662" s="732"/>
    </row>
    <row r="663" spans="1:16" ht="29.4" thickBot="1" x14ac:dyDescent="0.35">
      <c r="A663" s="738" t="s">
        <v>2197</v>
      </c>
      <c r="B663" s="741">
        <f>'[1]PLAN DE DESARROLLO 2024 - 2027'!$K$46</f>
        <v>0.28357478219025023</v>
      </c>
      <c r="C663" s="738" t="s">
        <v>2201</v>
      </c>
      <c r="D663" s="741">
        <f>'[1]PLAN DE DESARROLLO 2024 - 2027'!$K$73</f>
        <v>0.30468955227047623</v>
      </c>
      <c r="E663" s="738" t="s">
        <v>2238</v>
      </c>
      <c r="F663" s="741">
        <f>'[1]PLAN DE DESARROLLO 2024 - 2027'!$K$77</f>
        <v>0.27</v>
      </c>
      <c r="G663" s="738" t="s">
        <v>598</v>
      </c>
      <c r="H663" s="738" t="s">
        <v>599</v>
      </c>
      <c r="I663" s="770">
        <f>+'Vida Digna'!AK152</f>
        <v>0.35</v>
      </c>
      <c r="J663" s="738" t="s">
        <v>565</v>
      </c>
      <c r="K663" s="742" t="s">
        <v>1996</v>
      </c>
      <c r="P663" s="732"/>
    </row>
    <row r="664" spans="1:16" ht="29.4" thickBot="1" x14ac:dyDescent="0.35">
      <c r="A664" s="738" t="s">
        <v>2197</v>
      </c>
      <c r="B664" s="741">
        <f>'[1]PLAN DE DESARROLLO 2024 - 2027'!$K$46</f>
        <v>0.28357478219025023</v>
      </c>
      <c r="C664" s="738" t="s">
        <v>2201</v>
      </c>
      <c r="D664" s="741">
        <f>'[1]PLAN DE DESARROLLO 2024 - 2027'!$K$73</f>
        <v>0.30468955227047623</v>
      </c>
      <c r="E664" s="738" t="s">
        <v>2238</v>
      </c>
      <c r="F664" s="741">
        <f>'[1]PLAN DE DESARROLLO 2024 - 2027'!$K$77</f>
        <v>0.27</v>
      </c>
      <c r="G664" s="738" t="s">
        <v>600</v>
      </c>
      <c r="H664" s="738" t="s">
        <v>601</v>
      </c>
      <c r="I664" s="770">
        <f>+'Vida Digna'!AK153</f>
        <v>0.45</v>
      </c>
      <c r="J664" s="738" t="s">
        <v>565</v>
      </c>
      <c r="K664" s="742" t="s">
        <v>1996</v>
      </c>
      <c r="P664" s="732"/>
    </row>
    <row r="665" spans="1:16" ht="29.4" thickBot="1" x14ac:dyDescent="0.35">
      <c r="A665" s="738" t="s">
        <v>2197</v>
      </c>
      <c r="B665" s="741">
        <f>'[1]PLAN DE DESARROLLO 2024 - 2027'!$K$46</f>
        <v>0.28357478219025023</v>
      </c>
      <c r="C665" s="738" t="s">
        <v>2201</v>
      </c>
      <c r="D665" s="741">
        <f>'[1]PLAN DE DESARROLLO 2024 - 2027'!$K$73</f>
        <v>0.30468955227047623</v>
      </c>
      <c r="E665" s="738" t="s">
        <v>2239</v>
      </c>
      <c r="F665" s="741">
        <f>'[1]PLAN DE DESARROLLO 2024 - 2027'!$K$78</f>
        <v>0.28749999999999998</v>
      </c>
      <c r="G665" s="738" t="s">
        <v>602</v>
      </c>
      <c r="H665" s="738" t="s">
        <v>603</v>
      </c>
      <c r="I665" s="770">
        <f>+'Vida Digna'!AK155</f>
        <v>1</v>
      </c>
      <c r="J665" s="738" t="s">
        <v>565</v>
      </c>
      <c r="K665" s="742" t="s">
        <v>1996</v>
      </c>
      <c r="P665" s="732"/>
    </row>
    <row r="666" spans="1:16" ht="29.4" thickBot="1" x14ac:dyDescent="0.35">
      <c r="A666" s="738" t="s">
        <v>2197</v>
      </c>
      <c r="B666" s="741">
        <f>'[1]PLAN DE DESARROLLO 2024 - 2027'!$K$46</f>
        <v>0.28357478219025023</v>
      </c>
      <c r="C666" s="738" t="s">
        <v>2201</v>
      </c>
      <c r="D666" s="741">
        <f>'[1]PLAN DE DESARROLLO 2024 - 2027'!$K$73</f>
        <v>0.30468955227047623</v>
      </c>
      <c r="E666" s="738" t="s">
        <v>2239</v>
      </c>
      <c r="F666" s="741">
        <f>'[1]PLAN DE DESARROLLO 2024 - 2027'!$K$78</f>
        <v>0.28749999999999998</v>
      </c>
      <c r="G666" s="738" t="s">
        <v>604</v>
      </c>
      <c r="H666" s="738" t="s">
        <v>605</v>
      </c>
      <c r="I666" s="770">
        <f>+'Vida Digna'!AK156</f>
        <v>0.25</v>
      </c>
      <c r="J666" s="738" t="s">
        <v>565</v>
      </c>
      <c r="K666" s="742" t="s">
        <v>1996</v>
      </c>
      <c r="P666" s="732"/>
    </row>
    <row r="667" spans="1:16" ht="29.4" thickBot="1" x14ac:dyDescent="0.35">
      <c r="A667" s="738" t="s">
        <v>2197</v>
      </c>
      <c r="B667" s="741">
        <f>'[1]PLAN DE DESARROLLO 2024 - 2027'!$K$46</f>
        <v>0.28357478219025023</v>
      </c>
      <c r="C667" s="738" t="s">
        <v>2201</v>
      </c>
      <c r="D667" s="741">
        <f>'[1]PLAN DE DESARROLLO 2024 - 2027'!$K$73</f>
        <v>0.30468955227047623</v>
      </c>
      <c r="E667" s="738" t="s">
        <v>2239</v>
      </c>
      <c r="F667" s="741">
        <f>'[1]PLAN DE DESARROLLO 2024 - 2027'!$K$78</f>
        <v>0.28749999999999998</v>
      </c>
      <c r="G667" s="738" t="s">
        <v>606</v>
      </c>
      <c r="H667" s="738" t="s">
        <v>607</v>
      </c>
      <c r="I667" s="770">
        <f>+'Vida Digna'!AK157</f>
        <v>0.36830000000000007</v>
      </c>
      <c r="J667" s="738" t="s">
        <v>565</v>
      </c>
      <c r="K667" s="742" t="s">
        <v>1996</v>
      </c>
      <c r="P667" s="732"/>
    </row>
    <row r="668" spans="1:16" ht="43.8" thickBot="1" x14ac:dyDescent="0.35">
      <c r="A668" s="738" t="s">
        <v>2197</v>
      </c>
      <c r="B668" s="741">
        <f>'[1]PLAN DE DESARROLLO 2024 - 2027'!$K$46</f>
        <v>0.28357478219025023</v>
      </c>
      <c r="C668" s="738" t="s">
        <v>2201</v>
      </c>
      <c r="D668" s="741">
        <f>'[1]PLAN DE DESARROLLO 2024 - 2027'!$K$73</f>
        <v>0.30468955227047623</v>
      </c>
      <c r="E668" s="738" t="s">
        <v>2239</v>
      </c>
      <c r="F668" s="741">
        <f>'[1]PLAN DE DESARROLLO 2024 - 2027'!$K$78</f>
        <v>0.28749999999999998</v>
      </c>
      <c r="G668" s="738" t="s">
        <v>608</v>
      </c>
      <c r="H668" s="738" t="s">
        <v>609</v>
      </c>
      <c r="I668" s="770">
        <f>+'Vida Digna'!AK158</f>
        <v>0.5</v>
      </c>
      <c r="J668" s="738" t="s">
        <v>565</v>
      </c>
      <c r="K668" s="742" t="s">
        <v>1996</v>
      </c>
      <c r="P668" s="732"/>
    </row>
    <row r="669" spans="1:16" ht="29.4" thickBot="1" x14ac:dyDescent="0.35">
      <c r="A669" s="738" t="s">
        <v>2197</v>
      </c>
      <c r="B669" s="741">
        <f>'[1]PLAN DE DESARROLLO 2024 - 2027'!$K$46</f>
        <v>0.28357478219025023</v>
      </c>
      <c r="C669" s="738" t="s">
        <v>2201</v>
      </c>
      <c r="D669" s="741">
        <f>'[1]PLAN DE DESARROLLO 2024 - 2027'!$K$73</f>
        <v>0.30468955227047623</v>
      </c>
      <c r="E669" s="738" t="s">
        <v>2239</v>
      </c>
      <c r="F669" s="741">
        <f>'[1]PLAN DE DESARROLLO 2024 - 2027'!$K$78</f>
        <v>0.28749999999999998</v>
      </c>
      <c r="G669" s="738" t="s">
        <v>610</v>
      </c>
      <c r="H669" s="738" t="s">
        <v>611</v>
      </c>
      <c r="I669" s="771">
        <f>+'Vida Digna'!AK159</f>
        <v>0.46</v>
      </c>
      <c r="J669" s="738" t="s">
        <v>565</v>
      </c>
      <c r="K669" s="742" t="s">
        <v>1996</v>
      </c>
      <c r="P669" s="732"/>
    </row>
    <row r="670" spans="1:16" ht="29.4" thickBot="1" x14ac:dyDescent="0.35">
      <c r="A670" s="738" t="s">
        <v>2197</v>
      </c>
      <c r="B670" s="741">
        <f>'[1]PLAN DE DESARROLLO 2024 - 2027'!$K$46</f>
        <v>0.28357478219025023</v>
      </c>
      <c r="C670" s="738" t="s">
        <v>2240</v>
      </c>
      <c r="D670" s="741">
        <f>'[1]PLAN DE DESARROLLO 2024 - 2027'!$K$80</f>
        <v>0.32618503263111615</v>
      </c>
      <c r="E670" s="738" t="s">
        <v>2241</v>
      </c>
      <c r="F670" s="741">
        <f>'[1]PLAN DE DESARROLLO 2024 - 2027'!$K$81</f>
        <v>0.29583333333333334</v>
      </c>
      <c r="G670" s="738" t="s">
        <v>618</v>
      </c>
      <c r="H670" s="738" t="s">
        <v>619</v>
      </c>
      <c r="I670" s="770">
        <f>+'Vida Digna'!AK166</f>
        <v>0.25</v>
      </c>
      <c r="J670" s="738" t="s">
        <v>620</v>
      </c>
      <c r="K670" s="742" t="s">
        <v>1996</v>
      </c>
      <c r="P670" s="732"/>
    </row>
    <row r="671" spans="1:16" ht="29.4" thickBot="1" x14ac:dyDescent="0.35">
      <c r="A671" s="738" t="s">
        <v>2197</v>
      </c>
      <c r="B671" s="741">
        <f>'[1]PLAN DE DESARROLLO 2024 - 2027'!$K$46</f>
        <v>0.28357478219025023</v>
      </c>
      <c r="C671" s="738" t="s">
        <v>2240</v>
      </c>
      <c r="D671" s="741">
        <f>'[1]PLAN DE DESARROLLO 2024 - 2027'!$K$80</f>
        <v>0.32618503263111615</v>
      </c>
      <c r="E671" s="738" t="s">
        <v>2241</v>
      </c>
      <c r="F671" s="741">
        <f>'[1]PLAN DE DESARROLLO 2024 - 2027'!$K$81</f>
        <v>0.29583333333333334</v>
      </c>
      <c r="G671" s="738" t="s">
        <v>621</v>
      </c>
      <c r="H671" s="738" t="s">
        <v>622</v>
      </c>
      <c r="I671" s="770">
        <f>+'Vida Digna'!AK167</f>
        <v>0.81999999999999984</v>
      </c>
      <c r="J671" s="738" t="s">
        <v>620</v>
      </c>
      <c r="K671" s="742" t="s">
        <v>1996</v>
      </c>
      <c r="P671" s="732"/>
    </row>
    <row r="672" spans="1:16" ht="29.4" thickBot="1" x14ac:dyDescent="0.35">
      <c r="A672" s="738" t="s">
        <v>2197</v>
      </c>
      <c r="B672" s="741">
        <f>'[1]PLAN DE DESARROLLO 2024 - 2027'!$K$46</f>
        <v>0.28357478219025023</v>
      </c>
      <c r="C672" s="738" t="s">
        <v>2240</v>
      </c>
      <c r="D672" s="741">
        <f>'[1]PLAN DE DESARROLLO 2024 - 2027'!$K$80</f>
        <v>0.32618503263111615</v>
      </c>
      <c r="E672" s="738" t="s">
        <v>2241</v>
      </c>
      <c r="F672" s="741">
        <f>'[1]PLAN DE DESARROLLO 2024 - 2027'!$K$81</f>
        <v>0.29583333333333334</v>
      </c>
      <c r="G672" s="738" t="s">
        <v>623</v>
      </c>
      <c r="H672" s="738" t="s">
        <v>624</v>
      </c>
      <c r="I672" s="770">
        <f>+'Vida Digna'!AK168</f>
        <v>0.3125</v>
      </c>
      <c r="J672" s="738" t="s">
        <v>620</v>
      </c>
      <c r="K672" s="742" t="s">
        <v>1996</v>
      </c>
      <c r="P672" s="732"/>
    </row>
    <row r="673" spans="1:16" ht="29.4" thickBot="1" x14ac:dyDescent="0.35">
      <c r="A673" s="738" t="s">
        <v>2197</v>
      </c>
      <c r="B673" s="741">
        <f>'[1]PLAN DE DESARROLLO 2024 - 2027'!$K$46</f>
        <v>0.28357478219025023</v>
      </c>
      <c r="C673" s="738" t="s">
        <v>2240</v>
      </c>
      <c r="D673" s="741">
        <f>'[1]PLAN DE DESARROLLO 2024 - 2027'!$K$80</f>
        <v>0.32618503263111615</v>
      </c>
      <c r="E673" s="738" t="s">
        <v>2241</v>
      </c>
      <c r="F673" s="741">
        <f>'[1]PLAN DE DESARROLLO 2024 - 2027'!$K$81</f>
        <v>0.29583333333333334</v>
      </c>
      <c r="G673" s="738" t="s">
        <v>625</v>
      </c>
      <c r="H673" s="738" t="s">
        <v>626</v>
      </c>
      <c r="I673" s="770">
        <f>+'Vida Digna'!AK169</f>
        <v>0.6925</v>
      </c>
      <c r="J673" s="738" t="s">
        <v>620</v>
      </c>
      <c r="K673" s="742" t="s">
        <v>1996</v>
      </c>
      <c r="P673" s="732"/>
    </row>
    <row r="674" spans="1:16" ht="29.4" thickBot="1" x14ac:dyDescent="0.35">
      <c r="A674" s="738" t="s">
        <v>2197</v>
      </c>
      <c r="B674" s="741">
        <f>'[1]PLAN DE DESARROLLO 2024 - 2027'!$K$46</f>
        <v>0.28357478219025023</v>
      </c>
      <c r="C674" s="738" t="s">
        <v>2240</v>
      </c>
      <c r="D674" s="741">
        <f>'[1]PLAN DE DESARROLLO 2024 - 2027'!$K$80</f>
        <v>0.32618503263111615</v>
      </c>
      <c r="E674" s="738" t="s">
        <v>2242</v>
      </c>
      <c r="F674" s="741">
        <f>'[1]PLAN DE DESARROLLO 2024 - 2027'!$K$82</f>
        <v>0.17125662544169612</v>
      </c>
      <c r="G674" s="738" t="s">
        <v>627</v>
      </c>
      <c r="H674" s="738" t="s">
        <v>628</v>
      </c>
      <c r="I674" s="770">
        <f>+'Vida Digna'!AK171</f>
        <v>0.35865724381625441</v>
      </c>
      <c r="J674" s="738" t="s">
        <v>620</v>
      </c>
      <c r="K674" s="742" t="s">
        <v>1996</v>
      </c>
      <c r="P674" s="732"/>
    </row>
    <row r="675" spans="1:16" ht="29.4" thickBot="1" x14ac:dyDescent="0.35">
      <c r="A675" s="738" t="s">
        <v>2197</v>
      </c>
      <c r="B675" s="741">
        <f>'[1]PLAN DE DESARROLLO 2024 - 2027'!$K$46</f>
        <v>0.28357478219025023</v>
      </c>
      <c r="C675" s="738" t="s">
        <v>2240</v>
      </c>
      <c r="D675" s="741">
        <f>'[1]PLAN DE DESARROLLO 2024 - 2027'!$K$80</f>
        <v>0.32618503263111615</v>
      </c>
      <c r="E675" s="738" t="s">
        <v>2242</v>
      </c>
      <c r="F675" s="741">
        <f>'[1]PLAN DE DESARROLLO 2024 - 2027'!$K$82</f>
        <v>0.17125662544169612</v>
      </c>
      <c r="G675" s="738" t="s">
        <v>629</v>
      </c>
      <c r="H675" s="738" t="s">
        <v>630</v>
      </c>
      <c r="I675" s="770">
        <f>+'Vida Digna'!AK172</f>
        <v>0.4</v>
      </c>
      <c r="J675" s="738" t="s">
        <v>620</v>
      </c>
      <c r="K675" s="742" t="s">
        <v>1996</v>
      </c>
      <c r="P675" s="732"/>
    </row>
    <row r="676" spans="1:16" ht="29.4" thickBot="1" x14ac:dyDescent="0.35">
      <c r="A676" s="738" t="s">
        <v>2197</v>
      </c>
      <c r="B676" s="741">
        <f>'[1]PLAN DE DESARROLLO 2024 - 2027'!$K$46</f>
        <v>0.28357478219025023</v>
      </c>
      <c r="C676" s="738" t="s">
        <v>2240</v>
      </c>
      <c r="D676" s="741">
        <f>'[1]PLAN DE DESARROLLO 2024 - 2027'!$K$80</f>
        <v>0.32618503263111615</v>
      </c>
      <c r="E676" s="738" t="s">
        <v>2243</v>
      </c>
      <c r="F676" s="741">
        <f>'[1]PLAN DE DESARROLLO 2024 - 2027'!$K$83</f>
        <v>0.36161627906976745</v>
      </c>
      <c r="G676" s="738" t="s">
        <v>631</v>
      </c>
      <c r="H676" s="738" t="s">
        <v>632</v>
      </c>
      <c r="I676" s="770">
        <f>+'Vida Digna'!AK174</f>
        <v>0.60358139534883726</v>
      </c>
      <c r="J676" s="738" t="s">
        <v>620</v>
      </c>
      <c r="K676" s="742" t="s">
        <v>1996</v>
      </c>
      <c r="P676" s="732"/>
    </row>
    <row r="677" spans="1:16" ht="29.4" thickBot="1" x14ac:dyDescent="0.35">
      <c r="A677" s="738" t="s">
        <v>2197</v>
      </c>
      <c r="B677" s="741">
        <f>'[1]PLAN DE DESARROLLO 2024 - 2027'!$K$46</f>
        <v>0.28357478219025023</v>
      </c>
      <c r="C677" s="738" t="s">
        <v>2240</v>
      </c>
      <c r="D677" s="741">
        <f>'[1]PLAN DE DESARROLLO 2024 - 2027'!$K$80</f>
        <v>0.32618503263111615</v>
      </c>
      <c r="E677" s="738" t="s">
        <v>2243</v>
      </c>
      <c r="F677" s="741">
        <f>'[1]PLAN DE DESARROLLO 2024 - 2027'!$K$83</f>
        <v>0.36161627906976745</v>
      </c>
      <c r="G677" s="738" t="s">
        <v>633</v>
      </c>
      <c r="H677" s="738" t="s">
        <v>634</v>
      </c>
      <c r="I677" s="770">
        <f>+'Vida Digna'!AK175</f>
        <v>0.625</v>
      </c>
      <c r="J677" s="738" t="s">
        <v>620</v>
      </c>
      <c r="K677" s="742" t="s">
        <v>1996</v>
      </c>
      <c r="P677" s="732"/>
    </row>
    <row r="678" spans="1:16" ht="29.4" thickBot="1" x14ac:dyDescent="0.35">
      <c r="A678" s="738" t="s">
        <v>2197</v>
      </c>
      <c r="B678" s="741">
        <f>'[1]PLAN DE DESARROLLO 2024 - 2027'!$K$46</f>
        <v>0.28357478219025023</v>
      </c>
      <c r="C678" s="738" t="s">
        <v>2240</v>
      </c>
      <c r="D678" s="741">
        <f>'[1]PLAN DE DESARROLLO 2024 - 2027'!$K$80</f>
        <v>0.32618503263111615</v>
      </c>
      <c r="E678" s="738" t="s">
        <v>2244</v>
      </c>
      <c r="F678" s="741">
        <f>'[1]PLAN DE DESARROLLO 2024 - 2027'!$K$84</f>
        <v>0.38292488450604123</v>
      </c>
      <c r="G678" s="738" t="s">
        <v>635</v>
      </c>
      <c r="H678" s="738" t="s">
        <v>636</v>
      </c>
      <c r="I678" s="770">
        <f>+'Vida Digna'!AK177</f>
        <v>0.66279850746268654</v>
      </c>
      <c r="J678" s="738" t="s">
        <v>620</v>
      </c>
      <c r="K678" s="742" t="s">
        <v>1996</v>
      </c>
      <c r="P678" s="732"/>
    </row>
    <row r="679" spans="1:16" ht="29.4" thickBot="1" x14ac:dyDescent="0.35">
      <c r="A679" s="738" t="s">
        <v>2197</v>
      </c>
      <c r="B679" s="741">
        <f>'[1]PLAN DE DESARROLLO 2024 - 2027'!$K$46</f>
        <v>0.28357478219025023</v>
      </c>
      <c r="C679" s="738" t="s">
        <v>2240</v>
      </c>
      <c r="D679" s="741">
        <f>'[1]PLAN DE DESARROLLO 2024 - 2027'!$K$80</f>
        <v>0.32618503263111615</v>
      </c>
      <c r="E679" s="738" t="s">
        <v>2244</v>
      </c>
      <c r="F679" s="741">
        <f>'[1]PLAN DE DESARROLLO 2024 - 2027'!$K$84</f>
        <v>0.38292488450604123</v>
      </c>
      <c r="G679" s="738" t="s">
        <v>637</v>
      </c>
      <c r="H679" s="738" t="s">
        <v>638</v>
      </c>
      <c r="I679" s="770">
        <f>+'Vida Digna'!AK178</f>
        <v>0.84285714285714286</v>
      </c>
      <c r="J679" s="738" t="s">
        <v>620</v>
      </c>
      <c r="K679" s="742" t="s">
        <v>1996</v>
      </c>
      <c r="P679" s="732"/>
    </row>
    <row r="680" spans="1:16" ht="29.4" thickBot="1" x14ac:dyDescent="0.35">
      <c r="A680" s="738" t="s">
        <v>2197</v>
      </c>
      <c r="B680" s="741">
        <f>'[1]PLAN DE DESARROLLO 2024 - 2027'!$K$46</f>
        <v>0.28357478219025023</v>
      </c>
      <c r="C680" s="738" t="s">
        <v>2240</v>
      </c>
      <c r="D680" s="741">
        <f>'[1]PLAN DE DESARROLLO 2024 - 2027'!$K$80</f>
        <v>0.32618503263111615</v>
      </c>
      <c r="E680" s="738" t="s">
        <v>2244</v>
      </c>
      <c r="F680" s="741">
        <f>'[1]PLAN DE DESARROLLO 2024 - 2027'!$K$84</f>
        <v>0.38292488450604123</v>
      </c>
      <c r="G680" s="738" t="s">
        <v>2245</v>
      </c>
      <c r="H680" s="738" t="s">
        <v>2246</v>
      </c>
      <c r="I680" s="771">
        <f>+'Vida Digna'!AK179</f>
        <v>1</v>
      </c>
      <c r="J680" s="738" t="s">
        <v>2247</v>
      </c>
      <c r="K680" s="742" t="s">
        <v>1996</v>
      </c>
      <c r="P680" s="732"/>
    </row>
    <row r="681" spans="1:16" ht="29.4" thickBot="1" x14ac:dyDescent="0.35">
      <c r="A681" s="738" t="s">
        <v>2197</v>
      </c>
      <c r="B681" s="741">
        <f>'[1]PLAN DE DESARROLLO 2024 - 2027'!$K$46</f>
        <v>0.28357478219025023</v>
      </c>
      <c r="C681" s="738" t="s">
        <v>2240</v>
      </c>
      <c r="D681" s="741">
        <f>'[1]PLAN DE DESARROLLO 2024 - 2027'!$K$80</f>
        <v>0.32618503263111615</v>
      </c>
      <c r="E681" s="738" t="s">
        <v>2244</v>
      </c>
      <c r="F681" s="741">
        <f>'[1]PLAN DE DESARROLLO 2024 - 2027'!$K$84</f>
        <v>0.38292488450604123</v>
      </c>
      <c r="G681" s="738" t="s">
        <v>2248</v>
      </c>
      <c r="H681" s="738" t="s">
        <v>2249</v>
      </c>
      <c r="I681" s="770">
        <f>+'Vida Digna'!AK180</f>
        <v>0.60364285714285715</v>
      </c>
      <c r="J681" s="738" t="s">
        <v>620</v>
      </c>
      <c r="K681" s="742" t="s">
        <v>1996</v>
      </c>
      <c r="P681" s="732"/>
    </row>
    <row r="682" spans="1:16" ht="43.8" thickBot="1" x14ac:dyDescent="0.35">
      <c r="A682" s="738" t="s">
        <v>2197</v>
      </c>
      <c r="B682" s="741">
        <f>'[1]PLAN DE DESARROLLO 2024 - 2027'!$K$46</f>
        <v>0.28357478219025023</v>
      </c>
      <c r="C682" s="738" t="s">
        <v>2240</v>
      </c>
      <c r="D682" s="741">
        <f>'[1]PLAN DE DESARROLLO 2024 - 2027'!$K$80</f>
        <v>0.32618503263111615</v>
      </c>
      <c r="E682" s="738" t="s">
        <v>2244</v>
      </c>
      <c r="F682" s="741">
        <f>'[1]PLAN DE DESARROLLO 2024 - 2027'!$K$84</f>
        <v>0.38292488450604123</v>
      </c>
      <c r="G682" s="738" t="s">
        <v>2250</v>
      </c>
      <c r="H682" s="738" t="s">
        <v>645</v>
      </c>
      <c r="I682" s="770">
        <f>+'Vida Digna'!AK181</f>
        <v>0.85499999999999998</v>
      </c>
      <c r="J682" s="738" t="s">
        <v>2247</v>
      </c>
      <c r="K682" s="742" t="s">
        <v>1996</v>
      </c>
      <c r="P682" s="732"/>
    </row>
    <row r="683" spans="1:16" ht="29.4" thickBot="1" x14ac:dyDescent="0.35">
      <c r="A683" s="738" t="s">
        <v>2197</v>
      </c>
      <c r="B683" s="741">
        <f>'[1]PLAN DE DESARROLLO 2024 - 2027'!$K$46</f>
        <v>0.28357478219025023</v>
      </c>
      <c r="C683" s="738" t="s">
        <v>2240</v>
      </c>
      <c r="D683" s="741">
        <f>'[1]PLAN DE DESARROLLO 2024 - 2027'!$K$80</f>
        <v>0.32618503263111615</v>
      </c>
      <c r="E683" s="738" t="s">
        <v>2251</v>
      </c>
      <c r="F683" s="741">
        <f>'[1]PLAN DE DESARROLLO 2024 - 2027'!$K$85</f>
        <v>0.25970491803278689</v>
      </c>
      <c r="G683" s="738" t="s">
        <v>646</v>
      </c>
      <c r="H683" s="738" t="s">
        <v>647</v>
      </c>
      <c r="I683" s="770">
        <f>+'Vida Digna'!AK183</f>
        <v>0.56947540983606559</v>
      </c>
      <c r="J683" s="738" t="s">
        <v>620</v>
      </c>
      <c r="K683" s="742" t="s">
        <v>1996</v>
      </c>
      <c r="P683" s="732"/>
    </row>
    <row r="684" spans="1:16" ht="43.8" thickBot="1" x14ac:dyDescent="0.35">
      <c r="A684" s="738" t="s">
        <v>2197</v>
      </c>
      <c r="B684" s="741">
        <f>'[1]PLAN DE DESARROLLO 2024 - 2027'!$K$46</f>
        <v>0.28357478219025023</v>
      </c>
      <c r="C684" s="738" t="s">
        <v>2240</v>
      </c>
      <c r="D684" s="741">
        <f>'[1]PLAN DE DESARROLLO 2024 - 2027'!$K$80</f>
        <v>0.32618503263111615</v>
      </c>
      <c r="E684" s="738" t="s">
        <v>1677</v>
      </c>
      <c r="F684" s="741">
        <f>'[1]PLAN DE DESARROLLO 2024 - 2027'!$K$86</f>
        <v>0.35400277777777778</v>
      </c>
      <c r="G684" s="738" t="s">
        <v>648</v>
      </c>
      <c r="H684" s="738" t="s">
        <v>649</v>
      </c>
      <c r="I684" s="770">
        <f>+'Vida Digna'!AK185</f>
        <v>0.69951111111111108</v>
      </c>
      <c r="J684" s="738" t="s">
        <v>620</v>
      </c>
      <c r="K684" s="742" t="s">
        <v>1996</v>
      </c>
      <c r="P684" s="732"/>
    </row>
    <row r="685" spans="1:16" ht="43.8" thickBot="1" x14ac:dyDescent="0.35">
      <c r="A685" s="738" t="s">
        <v>2197</v>
      </c>
      <c r="B685" s="741">
        <f>'[1]PLAN DE DESARROLLO 2024 - 2027'!$K$46</f>
        <v>0.28357478219025023</v>
      </c>
      <c r="C685" s="738" t="s">
        <v>2240</v>
      </c>
      <c r="D685" s="741">
        <f>'[1]PLAN DE DESARROLLO 2024 - 2027'!$K$80</f>
        <v>0.32618503263111615</v>
      </c>
      <c r="E685" s="738" t="s">
        <v>1677</v>
      </c>
      <c r="F685" s="741">
        <f>'[1]PLAN DE DESARROLLO 2024 - 2027'!$K$86</f>
        <v>0.35400277777777778</v>
      </c>
      <c r="G685" s="738" t="s">
        <v>650</v>
      </c>
      <c r="H685" s="738" t="s">
        <v>651</v>
      </c>
      <c r="I685" s="770">
        <f>+'Vida Digna'!AK186</f>
        <v>0.85845833333333332</v>
      </c>
      <c r="J685" s="738" t="s">
        <v>620</v>
      </c>
      <c r="K685" s="742" t="s">
        <v>1996</v>
      </c>
      <c r="P685" s="732"/>
    </row>
    <row r="686" spans="1:16" ht="29.4" thickBot="1" x14ac:dyDescent="0.35">
      <c r="A686" s="738" t="s">
        <v>2197</v>
      </c>
      <c r="B686" s="741">
        <f>'[1]PLAN DE DESARROLLO 2024 - 2027'!$K$46</f>
        <v>0.28357478219025023</v>
      </c>
      <c r="C686" s="738" t="s">
        <v>2240</v>
      </c>
      <c r="D686" s="741">
        <f>'[1]PLAN DE DESARROLLO 2024 - 2027'!$K$80</f>
        <v>0.32618503263111615</v>
      </c>
      <c r="E686" s="738" t="s">
        <v>2252</v>
      </c>
      <c r="F686" s="741">
        <f>'[1]PLAN DE DESARROLLO 2024 - 2027'!$K$87</f>
        <v>0.45795641025641026</v>
      </c>
      <c r="G686" s="738" t="s">
        <v>652</v>
      </c>
      <c r="H686" s="738" t="s">
        <v>653</v>
      </c>
      <c r="I686" s="770">
        <f>+'Vida Digna'!AK188</f>
        <v>0.70499999999999996</v>
      </c>
      <c r="J686" s="738" t="s">
        <v>620</v>
      </c>
      <c r="K686" s="742" t="s">
        <v>1996</v>
      </c>
      <c r="P686" s="732"/>
    </row>
    <row r="687" spans="1:16" ht="29.4" thickBot="1" x14ac:dyDescent="0.35">
      <c r="A687" s="738" t="s">
        <v>2197</v>
      </c>
      <c r="B687" s="741">
        <f>'[1]PLAN DE DESARROLLO 2024 - 2027'!$K$46</f>
        <v>0.28357478219025023</v>
      </c>
      <c r="C687" s="738" t="s">
        <v>2240</v>
      </c>
      <c r="D687" s="741">
        <f>'[1]PLAN DE DESARROLLO 2024 - 2027'!$K$80</f>
        <v>0.32618503263111615</v>
      </c>
      <c r="E687" s="738" t="s">
        <v>2252</v>
      </c>
      <c r="F687" s="741">
        <f>'[1]PLAN DE DESARROLLO 2024 - 2027'!$K$87</f>
        <v>0.45795641025641026</v>
      </c>
      <c r="G687" s="738" t="s">
        <v>654</v>
      </c>
      <c r="H687" s="738" t="s">
        <v>655</v>
      </c>
      <c r="I687" s="770">
        <f>+'Vida Digna'!AK189</f>
        <v>1</v>
      </c>
      <c r="J687" s="738" t="s">
        <v>620</v>
      </c>
      <c r="K687" s="742" t="s">
        <v>1996</v>
      </c>
      <c r="P687" s="732"/>
    </row>
    <row r="688" spans="1:16" ht="29.4" thickBot="1" x14ac:dyDescent="0.35">
      <c r="A688" s="738" t="s">
        <v>2197</v>
      </c>
      <c r="B688" s="741">
        <f>'[1]PLAN DE DESARROLLO 2024 - 2027'!$K$46</f>
        <v>0.28357478219025023</v>
      </c>
      <c r="C688" s="738" t="s">
        <v>2240</v>
      </c>
      <c r="D688" s="741">
        <f>'[1]PLAN DE DESARROLLO 2024 - 2027'!$K$80</f>
        <v>0.32618503263111615</v>
      </c>
      <c r="E688" s="738" t="s">
        <v>2252</v>
      </c>
      <c r="F688" s="741">
        <f>'[1]PLAN DE DESARROLLO 2024 - 2027'!$K$87</f>
        <v>0.45795641025641026</v>
      </c>
      <c r="G688" s="738" t="s">
        <v>656</v>
      </c>
      <c r="H688" s="738" t="s">
        <v>657</v>
      </c>
      <c r="I688" s="770">
        <f>+'Vida Digna'!AK190</f>
        <v>0.60416666666666663</v>
      </c>
      <c r="J688" s="738" t="s">
        <v>620</v>
      </c>
      <c r="K688" s="742" t="s">
        <v>1996</v>
      </c>
      <c r="P688" s="732"/>
    </row>
    <row r="689" spans="1:16" ht="29.4" thickBot="1" x14ac:dyDescent="0.35">
      <c r="A689" s="738" t="s">
        <v>2197</v>
      </c>
      <c r="B689" s="741">
        <f>'[1]PLAN DE DESARROLLO 2024 - 2027'!$K$46</f>
        <v>0.28357478219025023</v>
      </c>
      <c r="C689" s="738" t="s">
        <v>2240</v>
      </c>
      <c r="D689" s="741">
        <f>'[1]PLAN DE DESARROLLO 2024 - 2027'!$K$80</f>
        <v>0.32618503263111615</v>
      </c>
      <c r="E689" s="738" t="s">
        <v>2252</v>
      </c>
      <c r="F689" s="741">
        <f>'[1]PLAN DE DESARROLLO 2024 - 2027'!$K$87</f>
        <v>0.45795641025641026</v>
      </c>
      <c r="G689" s="738" t="s">
        <v>658</v>
      </c>
      <c r="H689" s="738" t="s">
        <v>659</v>
      </c>
      <c r="I689" s="770">
        <f>+'Vida Digna'!AK191</f>
        <v>0.9930461538461538</v>
      </c>
      <c r="J689" s="738" t="s">
        <v>620</v>
      </c>
      <c r="K689" s="742" t="s">
        <v>1996</v>
      </c>
      <c r="P689" s="732"/>
    </row>
    <row r="690" spans="1:16" ht="29.4" thickBot="1" x14ac:dyDescent="0.35">
      <c r="A690" s="738" t="s">
        <v>2197</v>
      </c>
      <c r="B690" s="741">
        <f>'[1]PLAN DE DESARROLLO 2024 - 2027'!$K$46</f>
        <v>0.28357478219025023</v>
      </c>
      <c r="C690" s="738" t="s">
        <v>2253</v>
      </c>
      <c r="D690" s="741">
        <f>'[1]PLAN DE DESARROLLO 2024 - 2027'!$K$88</f>
        <v>0.37093448209382435</v>
      </c>
      <c r="E690" s="738" t="s">
        <v>2254</v>
      </c>
      <c r="F690" s="741">
        <f>'[1]PLAN DE DESARROLLO 2024 - 2027'!$K$89</f>
        <v>0.36938472000473066</v>
      </c>
      <c r="G690" s="738" t="s">
        <v>660</v>
      </c>
      <c r="H690" s="738" t="s">
        <v>661</v>
      </c>
      <c r="I690" s="770">
        <f>+'Vida Digna'!AK194</f>
        <v>0.78214285714285714</v>
      </c>
      <c r="J690" s="738" t="s">
        <v>58</v>
      </c>
      <c r="K690" s="742" t="s">
        <v>1996</v>
      </c>
      <c r="P690" s="732"/>
    </row>
    <row r="691" spans="1:16" ht="58.2" thickBot="1" x14ac:dyDescent="0.35">
      <c r="A691" s="738" t="s">
        <v>2197</v>
      </c>
      <c r="B691" s="741">
        <f>'[1]PLAN DE DESARROLLO 2024 - 2027'!$K$46</f>
        <v>0.28357478219025023</v>
      </c>
      <c r="C691" s="738" t="s">
        <v>2253</v>
      </c>
      <c r="D691" s="741">
        <f>'[1]PLAN DE DESARROLLO 2024 - 2027'!$K$88</f>
        <v>0.37093448209382435</v>
      </c>
      <c r="E691" s="738" t="s">
        <v>2254</v>
      </c>
      <c r="F691" s="741">
        <f>'[1]PLAN DE DESARROLLO 2024 - 2027'!$K$89</f>
        <v>0.36938472000473066</v>
      </c>
      <c r="G691" s="738" t="s">
        <v>663</v>
      </c>
      <c r="H691" s="738" t="s">
        <v>2255</v>
      </c>
      <c r="I691" s="770">
        <f>+'Vida Digna'!AK195</f>
        <v>0.5411270770504405</v>
      </c>
      <c r="J691" s="738" t="s">
        <v>58</v>
      </c>
      <c r="K691" s="742" t="s">
        <v>1996</v>
      </c>
      <c r="P691" s="732"/>
    </row>
    <row r="692" spans="1:16" ht="29.4" thickBot="1" x14ac:dyDescent="0.35">
      <c r="A692" s="738" t="s">
        <v>2197</v>
      </c>
      <c r="B692" s="741">
        <f>'[1]PLAN DE DESARROLLO 2024 - 2027'!$K$46</f>
        <v>0.28357478219025023</v>
      </c>
      <c r="C692" s="738" t="s">
        <v>2253</v>
      </c>
      <c r="D692" s="741">
        <f>'[1]PLAN DE DESARROLLO 2024 - 2027'!$K$88</f>
        <v>0.37093448209382435</v>
      </c>
      <c r="E692" s="738" t="s">
        <v>2254</v>
      </c>
      <c r="F692" s="741">
        <f>'[1]PLAN DE DESARROLLO 2024 - 2027'!$K$89</f>
        <v>0.36938472000473066</v>
      </c>
      <c r="G692" s="738" t="s">
        <v>665</v>
      </c>
      <c r="H692" s="738" t="s">
        <v>666</v>
      </c>
      <c r="I692" s="771">
        <f>+'Vida Digna'!AK196</f>
        <v>1</v>
      </c>
      <c r="J692" s="738" t="s">
        <v>58</v>
      </c>
      <c r="K692" s="742" t="s">
        <v>1996</v>
      </c>
      <c r="P692" s="732"/>
    </row>
    <row r="693" spans="1:16" ht="38.4" customHeight="1" thickBot="1" x14ac:dyDescent="0.35">
      <c r="A693" s="738" t="s">
        <v>2197</v>
      </c>
      <c r="B693" s="741">
        <f>'[1]PLAN DE DESARROLLO 2024 - 2027'!$K$46</f>
        <v>0.28357478219025023</v>
      </c>
      <c r="C693" s="738" t="s">
        <v>2253</v>
      </c>
      <c r="D693" s="741">
        <f>'[1]PLAN DE DESARROLLO 2024 - 2027'!$K$88</f>
        <v>0.37093448209382435</v>
      </c>
      <c r="E693" s="738" t="s">
        <v>2254</v>
      </c>
      <c r="F693" s="741">
        <f>'[1]PLAN DE DESARROLLO 2024 - 2027'!$K$89</f>
        <v>0.36938472000473066</v>
      </c>
      <c r="G693" s="738" t="s">
        <v>667</v>
      </c>
      <c r="H693" s="738" t="s">
        <v>668</v>
      </c>
      <c r="I693" s="770">
        <f>+'Vida Digna'!AK197</f>
        <v>0.66666666666666663</v>
      </c>
      <c r="J693" s="738" t="s">
        <v>58</v>
      </c>
      <c r="K693" s="742" t="s">
        <v>1996</v>
      </c>
      <c r="P693" s="732"/>
    </row>
    <row r="694" spans="1:16" ht="43.8" thickBot="1" x14ac:dyDescent="0.35">
      <c r="A694" s="738" t="s">
        <v>2197</v>
      </c>
      <c r="B694" s="741">
        <f>'[1]PLAN DE DESARROLLO 2024 - 2027'!$K$46</f>
        <v>0.28357478219025023</v>
      </c>
      <c r="C694" s="738" t="s">
        <v>2253</v>
      </c>
      <c r="D694" s="741">
        <f>'[1]PLAN DE DESARROLLO 2024 - 2027'!$K$88</f>
        <v>0.37093448209382435</v>
      </c>
      <c r="E694" s="738" t="s">
        <v>1681</v>
      </c>
      <c r="F694" s="741">
        <f>'[1]PLAN DE DESARROLLO 2024 - 2027'!$K$90</f>
        <v>0.26897048611111107</v>
      </c>
      <c r="G694" s="738" t="s">
        <v>669</v>
      </c>
      <c r="H694" s="738" t="s">
        <v>670</v>
      </c>
      <c r="I694" s="770">
        <f>+'Vida Digna'!AK199</f>
        <v>0.65847222222222224</v>
      </c>
      <c r="J694" s="738" t="s">
        <v>58</v>
      </c>
      <c r="K694" s="742" t="s">
        <v>1996</v>
      </c>
      <c r="P694" s="732"/>
    </row>
    <row r="695" spans="1:16" ht="43.8" thickBot="1" x14ac:dyDescent="0.35">
      <c r="A695" s="738" t="s">
        <v>2197</v>
      </c>
      <c r="B695" s="741">
        <f>'[1]PLAN DE DESARROLLO 2024 - 2027'!$K$46</f>
        <v>0.28357478219025023</v>
      </c>
      <c r="C695" s="738" t="s">
        <v>2253</v>
      </c>
      <c r="D695" s="741">
        <f>'[1]PLAN DE DESARROLLO 2024 - 2027'!$K$88</f>
        <v>0.37093448209382435</v>
      </c>
      <c r="E695" s="738" t="s">
        <v>1681</v>
      </c>
      <c r="F695" s="741">
        <f>'[1]PLAN DE DESARROLLO 2024 - 2027'!$K$90</f>
        <v>0.26897048611111107</v>
      </c>
      <c r="G695" s="738" t="s">
        <v>671</v>
      </c>
      <c r="H695" s="738" t="s">
        <v>672</v>
      </c>
      <c r="I695" s="770">
        <f>+'Vida Digna'!AK200</f>
        <v>0.27812500000000001</v>
      </c>
      <c r="J695" s="738" t="s">
        <v>58</v>
      </c>
      <c r="K695" s="742" t="s">
        <v>1996</v>
      </c>
      <c r="P695" s="732"/>
    </row>
    <row r="696" spans="1:16" ht="43.8" thickBot="1" x14ac:dyDescent="0.35">
      <c r="A696" s="738" t="s">
        <v>2197</v>
      </c>
      <c r="B696" s="741">
        <f>'[1]PLAN DE DESARROLLO 2024 - 2027'!$K$46</f>
        <v>0.28357478219025023</v>
      </c>
      <c r="C696" s="738" t="s">
        <v>2253</v>
      </c>
      <c r="D696" s="741">
        <f>'[1]PLAN DE DESARROLLO 2024 - 2027'!$K$88</f>
        <v>0.37093448209382435</v>
      </c>
      <c r="E696" s="738" t="s">
        <v>1681</v>
      </c>
      <c r="F696" s="741">
        <f>'[1]PLAN DE DESARROLLO 2024 - 2027'!$K$90</f>
        <v>0.26897048611111107</v>
      </c>
      <c r="G696" s="738" t="s">
        <v>673</v>
      </c>
      <c r="H696" s="738" t="s">
        <v>674</v>
      </c>
      <c r="I696" s="770">
        <f>+'Vida Digna'!AK201</f>
        <v>1</v>
      </c>
      <c r="J696" s="738" t="s">
        <v>58</v>
      </c>
      <c r="K696" s="742" t="s">
        <v>1996</v>
      </c>
      <c r="P696" s="732"/>
    </row>
    <row r="697" spans="1:16" ht="29.4" thickBot="1" x14ac:dyDescent="0.35">
      <c r="A697" s="738" t="s">
        <v>2197</v>
      </c>
      <c r="B697" s="741">
        <f>'[1]PLAN DE DESARROLLO 2024 - 2027'!$K$46</f>
        <v>0.28357478219025023</v>
      </c>
      <c r="C697" s="738" t="s">
        <v>2253</v>
      </c>
      <c r="D697" s="741">
        <f>'[1]PLAN DE DESARROLLO 2024 - 2027'!$K$88</f>
        <v>0.37093448209382435</v>
      </c>
      <c r="E697" s="738" t="s">
        <v>1681</v>
      </c>
      <c r="F697" s="741">
        <f>'[1]PLAN DE DESARROLLO 2024 - 2027'!$K$90</f>
        <v>0.26897048611111107</v>
      </c>
      <c r="G697" s="738" t="s">
        <v>675</v>
      </c>
      <c r="H697" s="738" t="s">
        <v>676</v>
      </c>
      <c r="I697" s="770">
        <f>+'Vida Digna'!AK202</f>
        <v>0.47925000000000001</v>
      </c>
      <c r="J697" s="738" t="s">
        <v>58</v>
      </c>
      <c r="K697" s="742" t="s">
        <v>1996</v>
      </c>
      <c r="P697" s="732"/>
    </row>
    <row r="698" spans="1:16" ht="43.8" thickBot="1" x14ac:dyDescent="0.35">
      <c r="A698" s="738" t="s">
        <v>2197</v>
      </c>
      <c r="B698" s="741">
        <f>'[1]PLAN DE DESARROLLO 2024 - 2027'!$K$46</f>
        <v>0.28357478219025023</v>
      </c>
      <c r="C698" s="738" t="s">
        <v>2253</v>
      </c>
      <c r="D698" s="741">
        <f>'[1]PLAN DE DESARROLLO 2024 - 2027'!$K$88</f>
        <v>0.37093448209382435</v>
      </c>
      <c r="E698" s="738" t="s">
        <v>1682</v>
      </c>
      <c r="F698" s="741">
        <f>'[1]PLAN DE DESARROLLO 2024 - 2027'!$K$91</f>
        <v>0.47444824016563147</v>
      </c>
      <c r="G698" s="738" t="s">
        <v>677</v>
      </c>
      <c r="H698" s="738" t="s">
        <v>678</v>
      </c>
      <c r="I698" s="770">
        <f>+'Vida Digna'!AK204</f>
        <v>0.92112698412698413</v>
      </c>
      <c r="J698" s="738" t="s">
        <v>58</v>
      </c>
      <c r="K698" s="742" t="s">
        <v>1996</v>
      </c>
      <c r="P698" s="732"/>
    </row>
    <row r="699" spans="1:16" ht="29.4" thickBot="1" x14ac:dyDescent="0.35">
      <c r="A699" s="738" t="s">
        <v>2197</v>
      </c>
      <c r="B699" s="741">
        <f>'[1]PLAN DE DESARROLLO 2024 - 2027'!$K$46</f>
        <v>0.28357478219025023</v>
      </c>
      <c r="C699" s="738" t="s">
        <v>2253</v>
      </c>
      <c r="D699" s="741">
        <f>'[1]PLAN DE DESARROLLO 2024 - 2027'!$J$88</f>
        <v>0.33997892066194169</v>
      </c>
      <c r="E699" s="738" t="s">
        <v>1682</v>
      </c>
      <c r="F699" s="741">
        <f>'[1]PLAN DE DESARROLLO 2024 - 2027'!$K$91</f>
        <v>0.47444824016563147</v>
      </c>
      <c r="G699" s="738" t="s">
        <v>679</v>
      </c>
      <c r="H699" s="738" t="s">
        <v>680</v>
      </c>
      <c r="I699" s="770">
        <f>+'Vida Digna'!AK205</f>
        <v>0.87304347826086959</v>
      </c>
      <c r="J699" s="738" t="s">
        <v>58</v>
      </c>
      <c r="K699" s="742" t="s">
        <v>1996</v>
      </c>
      <c r="P699" s="732"/>
    </row>
    <row r="700" spans="1:16" s="734" customFormat="1" ht="43.2" x14ac:dyDescent="0.3">
      <c r="A700" s="738" t="s">
        <v>2143</v>
      </c>
      <c r="B700" s="746">
        <f>'[1]PLAN DE DESARROLLO 2024 - 2027'!$M$4</f>
        <v>0.24028917333263158</v>
      </c>
      <c r="C700" s="738" t="s">
        <v>2144</v>
      </c>
      <c r="D700" s="747">
        <f>'[1]PLAN DE DESARROLLO 2024 - 2027'!$M$26</f>
        <v>0.20558940382884341</v>
      </c>
      <c r="E700" s="738" t="s">
        <v>2162</v>
      </c>
      <c r="F700" s="748">
        <f>[2]Hoja1!$B$6</f>
        <v>0.24820393974507535</v>
      </c>
      <c r="G700" s="738" t="s">
        <v>246</v>
      </c>
      <c r="H700" s="738" t="s">
        <v>247</v>
      </c>
      <c r="I700" s="738"/>
      <c r="J700" s="738" t="s">
        <v>58</v>
      </c>
      <c r="K700" s="749" t="s">
        <v>2256</v>
      </c>
    </row>
    <row r="701" spans="1:16" s="734" customFormat="1" ht="43.2" x14ac:dyDescent="0.3">
      <c r="A701" s="738" t="s">
        <v>2143</v>
      </c>
      <c r="B701" s="746">
        <f>'[1]PLAN DE DESARROLLO 2024 - 2027'!$M$4</f>
        <v>0.24028917333263158</v>
      </c>
      <c r="C701" s="738" t="s">
        <v>2144</v>
      </c>
      <c r="D701" s="747">
        <f>'[1]PLAN DE DESARROLLO 2024 - 2027'!$M$26</f>
        <v>0.20558940382884341</v>
      </c>
      <c r="E701" s="738" t="s">
        <v>2162</v>
      </c>
      <c r="F701" s="748">
        <f>[2]Hoja1!$B$6</f>
        <v>0.24820393974507535</v>
      </c>
      <c r="G701" s="738" t="s">
        <v>248</v>
      </c>
      <c r="H701" s="738" t="s">
        <v>2163</v>
      </c>
      <c r="I701" s="738"/>
      <c r="J701" s="738" t="s">
        <v>58</v>
      </c>
      <c r="K701" s="749" t="s">
        <v>2256</v>
      </c>
    </row>
    <row r="702" spans="1:16" s="734" customFormat="1" ht="28.8" x14ac:dyDescent="0.3">
      <c r="A702" s="738" t="s">
        <v>2197</v>
      </c>
      <c r="B702" s="746">
        <f>'[1]PLAN DE DESARROLLO 2024 - 2027'!$M$46</f>
        <v>0.25251661967012345</v>
      </c>
      <c r="C702" s="738" t="s">
        <v>2229</v>
      </c>
      <c r="D702" s="747">
        <f>'[1]PLAN DE DESARROLLO 2024 - 2027'!$M$64</f>
        <v>0.21558039327044773</v>
      </c>
      <c r="E702" s="738" t="s">
        <v>1656</v>
      </c>
      <c r="F702" s="748">
        <f>[2]Hoja1!$B$3</f>
        <v>0.39456388039163154</v>
      </c>
      <c r="G702" s="738" t="s">
        <v>499</v>
      </c>
      <c r="H702" s="738" t="s">
        <v>500</v>
      </c>
      <c r="I702" s="738"/>
      <c r="J702" s="738" t="s">
        <v>2230</v>
      </c>
      <c r="K702" s="749" t="s">
        <v>2256</v>
      </c>
    </row>
    <row r="703" spans="1:16" s="734" customFormat="1" ht="28.8" x14ac:dyDescent="0.3">
      <c r="A703" s="738" t="s">
        <v>2197</v>
      </c>
      <c r="B703" s="746">
        <f>'[1]PLAN DE DESARROLLO 2024 - 2027'!$M$46</f>
        <v>0.25251661967012345</v>
      </c>
      <c r="C703" s="738" t="s">
        <v>2229</v>
      </c>
      <c r="D703" s="747">
        <f>'[1]PLAN DE DESARROLLO 2024 - 2027'!$M$64</f>
        <v>0.21558039327044773</v>
      </c>
      <c r="E703" s="738" t="s">
        <v>1656</v>
      </c>
      <c r="F703" s="748">
        <f>[2]Hoja1!$B$3</f>
        <v>0.39456388039163154</v>
      </c>
      <c r="G703" s="738" t="s">
        <v>502</v>
      </c>
      <c r="H703" s="738" t="s">
        <v>503</v>
      </c>
      <c r="I703" s="738"/>
      <c r="J703" s="738" t="s">
        <v>2230</v>
      </c>
      <c r="K703" s="749" t="s">
        <v>2256</v>
      </c>
    </row>
    <row r="704" spans="1:16" s="734" customFormat="1" ht="28.8" x14ac:dyDescent="0.3">
      <c r="A704" s="738" t="s">
        <v>2197</v>
      </c>
      <c r="B704" s="746">
        <f>'[1]PLAN DE DESARROLLO 2024 - 2027'!$M$46</f>
        <v>0.25251661967012345</v>
      </c>
      <c r="C704" s="738" t="s">
        <v>2229</v>
      </c>
      <c r="D704" s="747">
        <f>'[1]PLAN DE DESARROLLO 2024 - 2027'!$M$64</f>
        <v>0.21558039327044773</v>
      </c>
      <c r="E704" s="738" t="s">
        <v>1656</v>
      </c>
      <c r="F704" s="748">
        <f>[2]Hoja1!$B$3</f>
        <v>0.39456388039163154</v>
      </c>
      <c r="G704" s="738" t="s">
        <v>504</v>
      </c>
      <c r="H704" s="738" t="s">
        <v>505</v>
      </c>
      <c r="I704" s="738"/>
      <c r="J704" s="738" t="s">
        <v>2230</v>
      </c>
      <c r="K704" s="749" t="s">
        <v>2256</v>
      </c>
    </row>
    <row r="705" spans="1:11" s="734" customFormat="1" ht="43.2" x14ac:dyDescent="0.3">
      <c r="A705" s="738" t="s">
        <v>2197</v>
      </c>
      <c r="B705" s="746">
        <f>'[1]PLAN DE DESARROLLO 2024 - 2027'!$M$46</f>
        <v>0.25251661967012345</v>
      </c>
      <c r="C705" s="738" t="s">
        <v>2229</v>
      </c>
      <c r="D705" s="747">
        <f>'[1]PLAN DE DESARROLLO 2024 - 2027'!$M$64</f>
        <v>0.21558039327044773</v>
      </c>
      <c r="E705" s="738" t="s">
        <v>1656</v>
      </c>
      <c r="F705" s="748">
        <f>[2]Hoja1!$B$3</f>
        <v>0.39456388039163154</v>
      </c>
      <c r="G705" s="738" t="s">
        <v>506</v>
      </c>
      <c r="H705" s="738" t="s">
        <v>507</v>
      </c>
      <c r="I705" s="738"/>
      <c r="J705" s="738" t="s">
        <v>2230</v>
      </c>
      <c r="K705" s="749" t="s">
        <v>2256</v>
      </c>
    </row>
    <row r="706" spans="1:11" s="734" customFormat="1" ht="28.8" x14ac:dyDescent="0.3">
      <c r="A706" s="738" t="s">
        <v>2197</v>
      </c>
      <c r="B706" s="746">
        <f>'[1]PLAN DE DESARROLLO 2024 - 2027'!$M$46</f>
        <v>0.25251661967012345</v>
      </c>
      <c r="C706" s="738" t="s">
        <v>2229</v>
      </c>
      <c r="D706" s="747">
        <f>'[1]PLAN DE DESARROLLO 2024 - 2027'!$M$64</f>
        <v>0.21558039327044773</v>
      </c>
      <c r="E706" s="738" t="s">
        <v>1656</v>
      </c>
      <c r="F706" s="748">
        <f>[2]Hoja1!$B$3</f>
        <v>0.39456388039163154</v>
      </c>
      <c r="G706" s="738" t="s">
        <v>508</v>
      </c>
      <c r="H706" s="738" t="s">
        <v>509</v>
      </c>
      <c r="I706" s="738"/>
      <c r="J706" s="738" t="s">
        <v>2230</v>
      </c>
      <c r="K706" s="749" t="s">
        <v>2256</v>
      </c>
    </row>
    <row r="707" spans="1:11" s="734" customFormat="1" ht="28.8" x14ac:dyDescent="0.3">
      <c r="A707" s="738" t="s">
        <v>2197</v>
      </c>
      <c r="B707" s="746">
        <f>'[1]PLAN DE DESARROLLO 2024 - 2027'!$M$46</f>
        <v>0.25251661967012345</v>
      </c>
      <c r="C707" s="738" t="s">
        <v>2229</v>
      </c>
      <c r="D707" s="747">
        <f>'[1]PLAN DE DESARROLLO 2024 - 2027'!$M$64</f>
        <v>0.21558039327044773</v>
      </c>
      <c r="E707" s="738" t="s">
        <v>1656</v>
      </c>
      <c r="F707" s="748">
        <f>[2]Hoja1!$B$3</f>
        <v>0.39456388039163154</v>
      </c>
      <c r="G707" s="738" t="s">
        <v>510</v>
      </c>
      <c r="H707" s="738" t="s">
        <v>511</v>
      </c>
      <c r="I707" s="738"/>
      <c r="J707" s="738" t="s">
        <v>2230</v>
      </c>
      <c r="K707" s="749" t="s">
        <v>2256</v>
      </c>
    </row>
    <row r="708" spans="1:11" s="734" customFormat="1" ht="28.8" x14ac:dyDescent="0.3">
      <c r="A708" s="738" t="s">
        <v>2197</v>
      </c>
      <c r="B708" s="746">
        <f>'[1]PLAN DE DESARROLLO 2024 - 2027'!$M$46</f>
        <v>0.25251661967012345</v>
      </c>
      <c r="C708" s="738" t="s">
        <v>2229</v>
      </c>
      <c r="D708" s="747">
        <f>'[1]PLAN DE DESARROLLO 2024 - 2027'!$M$64</f>
        <v>0.21558039327044773</v>
      </c>
      <c r="E708" s="738" t="s">
        <v>1656</v>
      </c>
      <c r="F708" s="748">
        <f>[2]Hoja1!$B$3</f>
        <v>0.39456388039163154</v>
      </c>
      <c r="G708" s="738" t="s">
        <v>512</v>
      </c>
      <c r="H708" s="738" t="s">
        <v>513</v>
      </c>
      <c r="I708" s="738"/>
      <c r="J708" s="738" t="s">
        <v>2230</v>
      </c>
      <c r="K708" s="749" t="s">
        <v>2256</v>
      </c>
    </row>
    <row r="709" spans="1:11" s="734" customFormat="1" ht="72" x14ac:dyDescent="0.3">
      <c r="A709" s="738" t="s">
        <v>2197</v>
      </c>
      <c r="B709" s="746">
        <f>'[1]PLAN DE DESARROLLO 2024 - 2027'!$M$46</f>
        <v>0.25251661967012345</v>
      </c>
      <c r="C709" s="738" t="s">
        <v>2229</v>
      </c>
      <c r="D709" s="747">
        <f>'[1]PLAN DE DESARROLLO 2024 - 2027'!$M$64</f>
        <v>0.21558039327044773</v>
      </c>
      <c r="E709" s="738" t="s">
        <v>1656</v>
      </c>
      <c r="F709" s="748">
        <f>[2]Hoja1!$B$3</f>
        <v>0.39456388039163154</v>
      </c>
      <c r="G709" s="738" t="s">
        <v>514</v>
      </c>
      <c r="H709" s="738" t="s">
        <v>2231</v>
      </c>
      <c r="I709" s="738"/>
      <c r="J709" s="738" t="s">
        <v>516</v>
      </c>
      <c r="K709" s="749" t="s">
        <v>2256</v>
      </c>
    </row>
    <row r="710" spans="1:11" s="734" customFormat="1" ht="28.8" x14ac:dyDescent="0.3">
      <c r="A710" s="738" t="s">
        <v>2017</v>
      </c>
      <c r="B710" s="750">
        <f>'[1]PLAN DE DESARROLLO 2024 - 2027'!$M$123</f>
        <v>0.20174333228533195</v>
      </c>
      <c r="C710" s="738" t="s">
        <v>2054</v>
      </c>
      <c r="D710" s="747">
        <f>'[1]PLAN DE DESARROLLO 2024 - 2027'!$M$136</f>
        <v>0.3779372351486594</v>
      </c>
      <c r="E710" s="738" t="s">
        <v>2060</v>
      </c>
      <c r="F710" s="751">
        <f>[2]Hoja1!$B$4</f>
        <v>0.78099999999999992</v>
      </c>
      <c r="G710" s="738" t="s">
        <v>864</v>
      </c>
      <c r="H710" s="738" t="s">
        <v>1318</v>
      </c>
      <c r="I710" s="738"/>
      <c r="J710" s="738" t="s">
        <v>2061</v>
      </c>
      <c r="K710" s="749" t="s">
        <v>2256</v>
      </c>
    </row>
    <row r="711" spans="1:11" s="734" customFormat="1" ht="28.8" x14ac:dyDescent="0.3">
      <c r="A711" s="738" t="s">
        <v>2017</v>
      </c>
      <c r="B711" s="750">
        <f>'[1]PLAN DE DESARROLLO 2024 - 2027'!$M$123</f>
        <v>0.20174333228533195</v>
      </c>
      <c r="C711" s="738" t="s">
        <v>2054</v>
      </c>
      <c r="D711" s="747">
        <f>'[1]PLAN DE DESARROLLO 2024 - 2027'!$M$136</f>
        <v>0.3779372351486594</v>
      </c>
      <c r="E711" s="738" t="s">
        <v>2060</v>
      </c>
      <c r="F711" s="751">
        <f>[2]Hoja1!$B$4</f>
        <v>0.78099999999999992</v>
      </c>
      <c r="G711" s="738" t="s">
        <v>865</v>
      </c>
      <c r="H711" s="738" t="s">
        <v>1319</v>
      </c>
      <c r="I711" s="738"/>
      <c r="J711" s="738" t="s">
        <v>1540</v>
      </c>
      <c r="K711" s="749" t="s">
        <v>2256</v>
      </c>
    </row>
    <row r="712" spans="1:11" s="734" customFormat="1" ht="28.8" x14ac:dyDescent="0.3">
      <c r="A712" s="738" t="s">
        <v>2017</v>
      </c>
      <c r="B712" s="750">
        <f>'[1]PLAN DE DESARROLLO 2024 - 2027'!$M$123</f>
        <v>0.20174333228533195</v>
      </c>
      <c r="C712" s="738" t="s">
        <v>2054</v>
      </c>
      <c r="D712" s="747">
        <f>'[1]PLAN DE DESARROLLO 2024 - 2027'!$M$136</f>
        <v>0.3779372351486594</v>
      </c>
      <c r="E712" s="738" t="s">
        <v>2056</v>
      </c>
      <c r="F712" s="748">
        <f>[2]Hoja1!$B$40</f>
        <v>0.35532727272727277</v>
      </c>
      <c r="G712" s="738" t="s">
        <v>851</v>
      </c>
      <c r="H712" s="738" t="s">
        <v>1307</v>
      </c>
      <c r="I712" s="738"/>
      <c r="J712" s="738" t="s">
        <v>852</v>
      </c>
      <c r="K712" s="749" t="s">
        <v>2256</v>
      </c>
    </row>
    <row r="713" spans="1:11" s="734" customFormat="1" ht="54.75" customHeight="1" x14ac:dyDescent="0.3">
      <c r="A713" s="738" t="s">
        <v>2017</v>
      </c>
      <c r="B713" s="750">
        <f>'[1]PLAN DE DESARROLLO 2024 - 2027'!$M$123</f>
        <v>0.20174333228533195</v>
      </c>
      <c r="C713" s="738" t="s">
        <v>2054</v>
      </c>
      <c r="D713" s="747">
        <f>'[1]PLAN DE DESARROLLO 2024 - 2027'!$M$136</f>
        <v>0.3779372351486594</v>
      </c>
      <c r="E713" s="738" t="s">
        <v>2056</v>
      </c>
      <c r="F713" s="748">
        <f>[2]Hoja1!$B$40</f>
        <v>0.35532727272727277</v>
      </c>
      <c r="G713" s="738" t="s">
        <v>853</v>
      </c>
      <c r="H713" s="738" t="s">
        <v>1308</v>
      </c>
      <c r="I713" s="738"/>
      <c r="J713" s="738" t="s">
        <v>2057</v>
      </c>
      <c r="K713" s="749" t="s">
        <v>2256</v>
      </c>
    </row>
    <row r="714" spans="1:11" s="734" customFormat="1" x14ac:dyDescent="0.3">
      <c r="A714" s="738" t="s">
        <v>2143</v>
      </c>
      <c r="B714" s="746">
        <f>'[1]PLAN DE DESARROLLO 2024 - 2027'!$M$4</f>
        <v>0.24028917333263158</v>
      </c>
      <c r="C714" s="738" t="s">
        <v>2144</v>
      </c>
      <c r="D714" s="747">
        <f>'[1]PLAN DE DESARROLLO 2024 - 2027'!$M$26</f>
        <v>0.20558940382884341</v>
      </c>
      <c r="E714" s="738" t="s">
        <v>1615</v>
      </c>
      <c r="F714" s="748">
        <f>[2]Hoja1!$B$9</f>
        <v>2.5000000000000001E-2</v>
      </c>
      <c r="G714" s="738" t="s">
        <v>264</v>
      </c>
      <c r="H714" s="738" t="s">
        <v>265</v>
      </c>
      <c r="I714" s="738"/>
      <c r="J714" s="738" t="s">
        <v>12</v>
      </c>
      <c r="K714" s="749" t="s">
        <v>2256</v>
      </c>
    </row>
    <row r="715" spans="1:11" s="734" customFormat="1" ht="28.8" x14ac:dyDescent="0.3">
      <c r="A715" s="738" t="s">
        <v>2143</v>
      </c>
      <c r="B715" s="746">
        <f>'[1]PLAN DE DESARROLLO 2024 - 2027'!$M$4</f>
        <v>0.24028917333263158</v>
      </c>
      <c r="C715" s="738" t="s">
        <v>2144</v>
      </c>
      <c r="D715" s="747">
        <f>'[1]PLAN DE DESARROLLO 2024 - 2027'!$M$26</f>
        <v>0.20558940382884341</v>
      </c>
      <c r="E715" s="738" t="s">
        <v>1615</v>
      </c>
      <c r="F715" s="748">
        <f>[2]Hoja1!$B$9</f>
        <v>2.5000000000000001E-2</v>
      </c>
      <c r="G715" s="738" t="s">
        <v>266</v>
      </c>
      <c r="H715" s="738" t="s">
        <v>267</v>
      </c>
      <c r="I715" s="738"/>
      <c r="J715" s="738" t="s">
        <v>12</v>
      </c>
      <c r="K715" s="749" t="s">
        <v>2256</v>
      </c>
    </row>
    <row r="716" spans="1:11" s="734" customFormat="1" ht="43.2" x14ac:dyDescent="0.3">
      <c r="A716" s="738" t="s">
        <v>2143</v>
      </c>
      <c r="B716" s="746">
        <f>'[1]PLAN DE DESARROLLO 2024 - 2027'!$M$4</f>
        <v>0.24028917333263158</v>
      </c>
      <c r="C716" s="738" t="s">
        <v>2144</v>
      </c>
      <c r="D716" s="747">
        <f>'[1]PLAN DE DESARROLLO 2024 - 2027'!$M$26</f>
        <v>0.20558940382884341</v>
      </c>
      <c r="E716" s="738" t="s">
        <v>1615</v>
      </c>
      <c r="F716" s="748">
        <f>[2]Hoja1!$B$9</f>
        <v>2.5000000000000001E-2</v>
      </c>
      <c r="G716" s="738" t="s">
        <v>268</v>
      </c>
      <c r="H716" s="738" t="s">
        <v>269</v>
      </c>
      <c r="I716" s="738"/>
      <c r="J716" s="738" t="s">
        <v>2166</v>
      </c>
      <c r="K716" s="749" t="s">
        <v>2256</v>
      </c>
    </row>
    <row r="717" spans="1:11" s="734" customFormat="1" ht="28.8" x14ac:dyDescent="0.3">
      <c r="A717" s="738" t="s">
        <v>2143</v>
      </c>
      <c r="B717" s="746">
        <f>'[1]PLAN DE DESARROLLO 2024 - 2027'!$M$4</f>
        <v>0.24028917333263158</v>
      </c>
      <c r="C717" s="738" t="s">
        <v>2144</v>
      </c>
      <c r="D717" s="747">
        <f>'[1]PLAN DE DESARROLLO 2024 - 2027'!$M$26</f>
        <v>0.20558940382884341</v>
      </c>
      <c r="E717" s="738" t="s">
        <v>1615</v>
      </c>
      <c r="F717" s="748">
        <f>[2]Hoja1!$B$9</f>
        <v>2.5000000000000001E-2</v>
      </c>
      <c r="G717" s="738" t="s">
        <v>270</v>
      </c>
      <c r="H717" s="738" t="s">
        <v>271</v>
      </c>
      <c r="I717" s="738"/>
      <c r="J717" s="738" t="s">
        <v>12</v>
      </c>
      <c r="K717" s="749" t="s">
        <v>2256</v>
      </c>
    </row>
    <row r="718" spans="1:11" s="734" customFormat="1" ht="28.8" x14ac:dyDescent="0.3">
      <c r="A718" s="738" t="s">
        <v>2143</v>
      </c>
      <c r="B718" s="746">
        <f>'[1]PLAN DE DESARROLLO 2024 - 2027'!$M$4</f>
        <v>0.24028917333263158</v>
      </c>
      <c r="C718" s="738" t="s">
        <v>2144</v>
      </c>
      <c r="D718" s="747">
        <f>'[1]PLAN DE DESARROLLO 2024 - 2027'!$M$26</f>
        <v>0.20558940382884341</v>
      </c>
      <c r="E718" s="738" t="s">
        <v>1615</v>
      </c>
      <c r="F718" s="748">
        <f>[2]Hoja1!$B$9</f>
        <v>2.5000000000000001E-2</v>
      </c>
      <c r="G718" s="738" t="s">
        <v>272</v>
      </c>
      <c r="H718" s="738" t="s">
        <v>273</v>
      </c>
      <c r="I718" s="738"/>
      <c r="J718" s="738" t="s">
        <v>162</v>
      </c>
      <c r="K718" s="749" t="s">
        <v>2256</v>
      </c>
    </row>
    <row r="719" spans="1:11" s="734" customFormat="1" ht="28.8" x14ac:dyDescent="0.3">
      <c r="A719" s="738" t="s">
        <v>2143</v>
      </c>
      <c r="B719" s="746">
        <f>'[1]PLAN DE DESARROLLO 2024 - 2027'!$M$4</f>
        <v>0.24028917333263158</v>
      </c>
      <c r="C719" s="738" t="s">
        <v>2144</v>
      </c>
      <c r="D719" s="747">
        <f>'[1]PLAN DE DESARROLLO 2024 - 2027'!$M$26</f>
        <v>0.20558940382884341</v>
      </c>
      <c r="E719" s="738" t="s">
        <v>1615</v>
      </c>
      <c r="F719" s="748">
        <f>[2]Hoja1!$B$9</f>
        <v>2.5000000000000001E-2</v>
      </c>
      <c r="G719" s="738" t="s">
        <v>274</v>
      </c>
      <c r="H719" s="738" t="s">
        <v>275</v>
      </c>
      <c r="I719" s="738"/>
      <c r="J719" s="738" t="s">
        <v>516</v>
      </c>
      <c r="K719" s="749" t="s">
        <v>2256</v>
      </c>
    </row>
    <row r="720" spans="1:11" s="734" customFormat="1" ht="43.2" x14ac:dyDescent="0.3">
      <c r="A720" s="738" t="s">
        <v>2143</v>
      </c>
      <c r="B720" s="746">
        <f>'[1]PLAN DE DESARROLLO 2024 - 2027'!$M$4</f>
        <v>0.24028917333263158</v>
      </c>
      <c r="C720" s="738" t="s">
        <v>2144</v>
      </c>
      <c r="D720" s="747">
        <f>'[1]PLAN DE DESARROLLO 2024 - 2027'!$M$26</f>
        <v>0.20558940382884341</v>
      </c>
      <c r="E720" s="738" t="s">
        <v>1616</v>
      </c>
      <c r="F720" s="748">
        <f>[2]Hoja1!$B$28</f>
        <v>0.19040000000000001</v>
      </c>
      <c r="G720" s="738" t="s">
        <v>276</v>
      </c>
      <c r="H720" s="738" t="s">
        <v>277</v>
      </c>
      <c r="I720" s="738"/>
      <c r="J720" s="738" t="s">
        <v>58</v>
      </c>
      <c r="K720" s="749" t="s">
        <v>2256</v>
      </c>
    </row>
    <row r="721" spans="1:11" s="734" customFormat="1" ht="43.2" x14ac:dyDescent="0.3">
      <c r="A721" s="738" t="s">
        <v>2143</v>
      </c>
      <c r="B721" s="746">
        <f>'[1]PLAN DE DESARROLLO 2024 - 2027'!$M$4</f>
        <v>0.24028917333263158</v>
      </c>
      <c r="C721" s="738" t="s">
        <v>2144</v>
      </c>
      <c r="D721" s="747">
        <f>'[1]PLAN DE DESARROLLO 2024 - 2027'!$M$26</f>
        <v>0.20558940382884341</v>
      </c>
      <c r="E721" s="738" t="s">
        <v>1616</v>
      </c>
      <c r="F721" s="748">
        <f>[2]Hoja1!$B$28</f>
        <v>0.19040000000000001</v>
      </c>
      <c r="G721" s="738" t="s">
        <v>278</v>
      </c>
      <c r="H721" s="738" t="s">
        <v>279</v>
      </c>
      <c r="I721" s="738"/>
      <c r="J721" s="738" t="s">
        <v>58</v>
      </c>
      <c r="K721" s="749" t="s">
        <v>2256</v>
      </c>
    </row>
    <row r="722" spans="1:11" s="734" customFormat="1" ht="28.8" x14ac:dyDescent="0.3">
      <c r="A722" s="738" t="s">
        <v>2143</v>
      </c>
      <c r="B722" s="746">
        <f>'[1]PLAN DE DESARROLLO 2024 - 2027'!$M$4</f>
        <v>0.24028917333263158</v>
      </c>
      <c r="C722" s="738" t="s">
        <v>2144</v>
      </c>
      <c r="D722" s="747">
        <f>'[1]PLAN DE DESARROLLO 2024 - 2027'!$M$26</f>
        <v>0.20558940382884341</v>
      </c>
      <c r="E722" s="738" t="s">
        <v>1616</v>
      </c>
      <c r="F722" s="748">
        <f>[2]Hoja1!$B$28</f>
        <v>0.19040000000000001</v>
      </c>
      <c r="G722" s="738" t="s">
        <v>280</v>
      </c>
      <c r="H722" s="738" t="s">
        <v>281</v>
      </c>
      <c r="I722" s="738"/>
      <c r="J722" s="738" t="s">
        <v>58</v>
      </c>
      <c r="K722" s="749" t="s">
        <v>2256</v>
      </c>
    </row>
    <row r="723" spans="1:11" s="734" customFormat="1" ht="57.6" x14ac:dyDescent="0.3">
      <c r="A723" s="738" t="s">
        <v>2143</v>
      </c>
      <c r="B723" s="746">
        <f>'[1]PLAN DE DESARROLLO 2024 - 2027'!$M$4</f>
        <v>0.24028917333263158</v>
      </c>
      <c r="C723" s="738" t="s">
        <v>2144</v>
      </c>
      <c r="D723" s="747">
        <f>'[1]PLAN DE DESARROLLO 2024 - 2027'!$M$26</f>
        <v>0.20558940382884341</v>
      </c>
      <c r="E723" s="738" t="s">
        <v>1616</v>
      </c>
      <c r="F723" s="748">
        <f>[2]Hoja1!$B$28</f>
        <v>0.19040000000000001</v>
      </c>
      <c r="G723" s="738" t="s">
        <v>2167</v>
      </c>
      <c r="H723" s="738" t="s">
        <v>283</v>
      </c>
      <c r="I723" s="738"/>
      <c r="J723" s="738" t="s">
        <v>58</v>
      </c>
      <c r="K723" s="749" t="s">
        <v>2256</v>
      </c>
    </row>
    <row r="724" spans="1:11" s="734" customFormat="1" ht="57.6" x14ac:dyDescent="0.3">
      <c r="A724" s="738" t="s">
        <v>2143</v>
      </c>
      <c r="B724" s="746">
        <f>'[1]PLAN DE DESARROLLO 2024 - 2027'!$M$4</f>
        <v>0.24028917333263158</v>
      </c>
      <c r="C724" s="738" t="s">
        <v>2144</v>
      </c>
      <c r="D724" s="747">
        <f>'[1]PLAN DE DESARROLLO 2024 - 2027'!$M$26</f>
        <v>0.20558940382884341</v>
      </c>
      <c r="E724" s="738" t="s">
        <v>1616</v>
      </c>
      <c r="F724" s="748">
        <f>[2]Hoja1!$B$28</f>
        <v>0.19040000000000001</v>
      </c>
      <c r="G724" s="738" t="s">
        <v>284</v>
      </c>
      <c r="H724" s="738" t="s">
        <v>285</v>
      </c>
      <c r="I724" s="738"/>
      <c r="J724" s="738" t="s">
        <v>58</v>
      </c>
      <c r="K724" s="749" t="s">
        <v>2256</v>
      </c>
    </row>
    <row r="725" spans="1:11" s="734" customFormat="1" ht="28.8" x14ac:dyDescent="0.3">
      <c r="A725" s="738" t="s">
        <v>2143</v>
      </c>
      <c r="B725" s="746">
        <f>'[1]PLAN DE DESARROLLO 2024 - 2027'!$M$4</f>
        <v>0.24028917333263158</v>
      </c>
      <c r="C725" s="738" t="s">
        <v>2144</v>
      </c>
      <c r="D725" s="747">
        <f>'[1]PLAN DE DESARROLLO 2024 - 2027'!$M$26</f>
        <v>0.20558940382884341</v>
      </c>
      <c r="E725" s="738" t="s">
        <v>2165</v>
      </c>
      <c r="F725" s="748">
        <f>[2]Hoja1!$B$38</f>
        <v>0.26875000000000004</v>
      </c>
      <c r="G725" s="738" t="s">
        <v>256</v>
      </c>
      <c r="H725" s="738" t="s">
        <v>257</v>
      </c>
      <c r="I725" s="738"/>
      <c r="J725" s="738" t="s">
        <v>58</v>
      </c>
      <c r="K725" s="749" t="s">
        <v>2256</v>
      </c>
    </row>
    <row r="726" spans="1:11" s="734" customFormat="1" ht="28.8" x14ac:dyDescent="0.3">
      <c r="A726" s="738" t="s">
        <v>2143</v>
      </c>
      <c r="B726" s="746">
        <f>'[1]PLAN DE DESARROLLO 2024 - 2027'!$M$4</f>
        <v>0.24028917333263158</v>
      </c>
      <c r="C726" s="738" t="s">
        <v>2144</v>
      </c>
      <c r="D726" s="747">
        <f>'[1]PLAN DE DESARROLLO 2024 - 2027'!$M$26</f>
        <v>0.20558940382884341</v>
      </c>
      <c r="E726" s="738" t="s">
        <v>2165</v>
      </c>
      <c r="F726" s="748">
        <f>[2]Hoja1!$B$38</f>
        <v>0.26875000000000004</v>
      </c>
      <c r="G726" s="738" t="s">
        <v>258</v>
      </c>
      <c r="H726" s="738" t="s">
        <v>259</v>
      </c>
      <c r="I726" s="738"/>
      <c r="J726" s="738" t="s">
        <v>58</v>
      </c>
      <c r="K726" s="749" t="s">
        <v>2256</v>
      </c>
    </row>
    <row r="727" spans="1:11" s="734" customFormat="1" ht="28.8" x14ac:dyDescent="0.3">
      <c r="A727" s="738" t="s">
        <v>2143</v>
      </c>
      <c r="B727" s="746">
        <f>'[1]PLAN DE DESARROLLO 2024 - 2027'!$M$4</f>
        <v>0.24028917333263158</v>
      </c>
      <c r="C727" s="738" t="s">
        <v>2144</v>
      </c>
      <c r="D727" s="747">
        <f>'[1]PLAN DE DESARROLLO 2024 - 2027'!$M$26</f>
        <v>0.20558940382884341</v>
      </c>
      <c r="E727" s="738" t="s">
        <v>2165</v>
      </c>
      <c r="F727" s="748">
        <f>[2]Hoja1!$B$38</f>
        <v>0.26875000000000004</v>
      </c>
      <c r="G727" s="738" t="s">
        <v>260</v>
      </c>
      <c r="H727" s="738" t="s">
        <v>261</v>
      </c>
      <c r="I727" s="738"/>
      <c r="J727" s="738" t="s">
        <v>58</v>
      </c>
      <c r="K727" s="749" t="s">
        <v>2256</v>
      </c>
    </row>
    <row r="728" spans="1:11" s="734" customFormat="1" ht="28.8" x14ac:dyDescent="0.3">
      <c r="A728" s="738" t="s">
        <v>2143</v>
      </c>
      <c r="B728" s="746">
        <f>'[1]PLAN DE DESARROLLO 2024 - 2027'!$M$4</f>
        <v>0.24028917333263158</v>
      </c>
      <c r="C728" s="738" t="s">
        <v>2144</v>
      </c>
      <c r="D728" s="747">
        <f>'[1]PLAN DE DESARROLLO 2024 - 2027'!$M$26</f>
        <v>0.20558940382884341</v>
      </c>
      <c r="E728" s="738" t="s">
        <v>2165</v>
      </c>
      <c r="F728" s="748">
        <f>[2]Hoja1!$B$38</f>
        <v>0.26875000000000004</v>
      </c>
      <c r="G728" s="738" t="s">
        <v>262</v>
      </c>
      <c r="H728" s="738" t="s">
        <v>263</v>
      </c>
      <c r="I728" s="738"/>
      <c r="J728" s="738" t="s">
        <v>58</v>
      </c>
      <c r="K728" s="749" t="s">
        <v>2256</v>
      </c>
    </row>
    <row r="729" spans="1:11" s="734" customFormat="1" ht="28.8" x14ac:dyDescent="0.3">
      <c r="A729" s="738" t="s">
        <v>2143</v>
      </c>
      <c r="B729" s="746">
        <f>'[1]PLAN DE DESARROLLO 2024 - 2027'!$M$4</f>
        <v>0.24028917333263158</v>
      </c>
      <c r="C729" s="738" t="s">
        <v>2144</v>
      </c>
      <c r="D729" s="747">
        <f>'[1]PLAN DE DESARROLLO 2024 - 2027'!$M$26</f>
        <v>0.20558940382884341</v>
      </c>
      <c r="E729" s="738" t="s">
        <v>2159</v>
      </c>
      <c r="F729" s="748">
        <f>[2]Hoja1!$B$69</f>
        <v>0.2153430793991416</v>
      </c>
      <c r="G729" s="738" t="s">
        <v>230</v>
      </c>
      <c r="H729" s="738" t="s">
        <v>231</v>
      </c>
      <c r="I729" s="738"/>
      <c r="J729" s="738" t="s">
        <v>58</v>
      </c>
      <c r="K729" s="749" t="s">
        <v>2256</v>
      </c>
    </row>
    <row r="730" spans="1:11" s="734" customFormat="1" ht="28.8" x14ac:dyDescent="0.3">
      <c r="A730" s="738" t="s">
        <v>2143</v>
      </c>
      <c r="B730" s="746">
        <f>'[1]PLAN DE DESARROLLO 2024 - 2027'!$M$4</f>
        <v>0.24028917333263158</v>
      </c>
      <c r="C730" s="738" t="s">
        <v>2144</v>
      </c>
      <c r="D730" s="747">
        <f>'[1]PLAN DE DESARROLLO 2024 - 2027'!$M$26</f>
        <v>0.20558940382884341</v>
      </c>
      <c r="E730" s="738" t="s">
        <v>2159</v>
      </c>
      <c r="F730" s="748">
        <f>[2]Hoja1!$B$69</f>
        <v>0.2153430793991416</v>
      </c>
      <c r="G730" s="738" t="s">
        <v>232</v>
      </c>
      <c r="H730" s="738" t="s">
        <v>233</v>
      </c>
      <c r="I730" s="738"/>
      <c r="J730" s="738" t="s">
        <v>58</v>
      </c>
      <c r="K730" s="749" t="s">
        <v>2256</v>
      </c>
    </row>
    <row r="731" spans="1:11" s="734" customFormat="1" ht="28.8" x14ac:dyDescent="0.3">
      <c r="A731" s="738" t="s">
        <v>2143</v>
      </c>
      <c r="B731" s="746">
        <f>'[1]PLAN DE DESARROLLO 2024 - 2027'!$M$4</f>
        <v>0.24028917333263158</v>
      </c>
      <c r="C731" s="738" t="s">
        <v>2144</v>
      </c>
      <c r="D731" s="747">
        <f>'[1]PLAN DE DESARROLLO 2024 - 2027'!$M$26</f>
        <v>0.20558940382884341</v>
      </c>
      <c r="E731" s="738" t="s">
        <v>2159</v>
      </c>
      <c r="F731" s="748">
        <f>[2]Hoja1!$B$69</f>
        <v>0.2153430793991416</v>
      </c>
      <c r="G731" s="738" t="s">
        <v>234</v>
      </c>
      <c r="H731" s="738" t="s">
        <v>235</v>
      </c>
      <c r="I731" s="738"/>
      <c r="J731" s="738" t="s">
        <v>58</v>
      </c>
      <c r="K731" s="749" t="s">
        <v>2256</v>
      </c>
    </row>
    <row r="732" spans="1:11" s="734" customFormat="1" ht="28.8" x14ac:dyDescent="0.3">
      <c r="A732" s="738" t="s">
        <v>2143</v>
      </c>
      <c r="B732" s="746">
        <f>'[1]PLAN DE DESARROLLO 2024 - 2027'!$M$4</f>
        <v>0.24028917333263158</v>
      </c>
      <c r="C732" s="738" t="s">
        <v>2144</v>
      </c>
      <c r="D732" s="747">
        <f>'[1]PLAN DE DESARROLLO 2024 - 2027'!$M$26</f>
        <v>0.20558940382884341</v>
      </c>
      <c r="E732" s="738" t="s">
        <v>2159</v>
      </c>
      <c r="F732" s="748">
        <f>[2]Hoja1!$B$69</f>
        <v>0.2153430793991416</v>
      </c>
      <c r="G732" s="738" t="s">
        <v>236</v>
      </c>
      <c r="H732" s="738" t="s">
        <v>237</v>
      </c>
      <c r="I732" s="738"/>
      <c r="J732" s="738" t="s">
        <v>58</v>
      </c>
      <c r="K732" s="749" t="s">
        <v>2256</v>
      </c>
    </row>
    <row r="733" spans="1:11" s="734" customFormat="1" ht="28.8" x14ac:dyDescent="0.3">
      <c r="A733" s="738" t="s">
        <v>2143</v>
      </c>
      <c r="B733" s="746">
        <f>'[1]PLAN DE DESARROLLO 2024 - 2027'!$M$4</f>
        <v>0.24028917333263158</v>
      </c>
      <c r="C733" s="738" t="s">
        <v>2144</v>
      </c>
      <c r="D733" s="747">
        <f>'[1]PLAN DE DESARROLLO 2024 - 2027'!$M$26</f>
        <v>0.20558940382884341</v>
      </c>
      <c r="E733" s="738" t="s">
        <v>2159</v>
      </c>
      <c r="F733" s="748">
        <f>[2]Hoja1!$B$69</f>
        <v>0.2153430793991416</v>
      </c>
      <c r="G733" s="738" t="s">
        <v>238</v>
      </c>
      <c r="H733" s="738" t="s">
        <v>239</v>
      </c>
      <c r="I733" s="738"/>
      <c r="J733" s="738" t="s">
        <v>58</v>
      </c>
      <c r="K733" s="749" t="s">
        <v>2256</v>
      </c>
    </row>
    <row r="734" spans="1:11" s="734" customFormat="1" ht="28.8" x14ac:dyDescent="0.3">
      <c r="A734" s="738" t="s">
        <v>2143</v>
      </c>
      <c r="B734" s="746">
        <f>'[1]PLAN DE DESARROLLO 2024 - 2027'!$M$4</f>
        <v>0.24028917333263158</v>
      </c>
      <c r="C734" s="738" t="s">
        <v>2144</v>
      </c>
      <c r="D734" s="747">
        <f>'[1]PLAN DE DESARROLLO 2024 - 2027'!$M$26</f>
        <v>0.20558940382884341</v>
      </c>
      <c r="E734" s="738" t="s">
        <v>2159</v>
      </c>
      <c r="F734" s="748">
        <f>[2]Hoja1!$B$69</f>
        <v>0.2153430793991416</v>
      </c>
      <c r="G734" s="738" t="s">
        <v>240</v>
      </c>
      <c r="H734" s="738" t="s">
        <v>241</v>
      </c>
      <c r="I734" s="738"/>
      <c r="J734" s="738" t="s">
        <v>58</v>
      </c>
      <c r="K734" s="749" t="s">
        <v>2256</v>
      </c>
    </row>
    <row r="735" spans="1:11" s="734" customFormat="1" ht="28.8" x14ac:dyDescent="0.3">
      <c r="A735" s="738" t="s">
        <v>2143</v>
      </c>
      <c r="B735" s="746">
        <f>'[1]PLAN DE DESARROLLO 2024 - 2027'!$M$4</f>
        <v>0.24028917333263158</v>
      </c>
      <c r="C735" s="738" t="s">
        <v>2144</v>
      </c>
      <c r="D735" s="747">
        <f>'[1]PLAN DE DESARROLLO 2024 - 2027'!$M$26</f>
        <v>0.20558940382884341</v>
      </c>
      <c r="E735" s="738" t="s">
        <v>2159</v>
      </c>
      <c r="F735" s="748">
        <f>[2]Hoja1!$B$69</f>
        <v>0.2153430793991416</v>
      </c>
      <c r="G735" s="738" t="s">
        <v>2160</v>
      </c>
      <c r="H735" s="738" t="s">
        <v>2161</v>
      </c>
      <c r="I735" s="738"/>
      <c r="J735" s="738" t="s">
        <v>58</v>
      </c>
      <c r="K735" s="749" t="s">
        <v>2256</v>
      </c>
    </row>
    <row r="736" spans="1:11" s="734" customFormat="1" ht="28.8" x14ac:dyDescent="0.3">
      <c r="A736" s="738" t="s">
        <v>2143</v>
      </c>
      <c r="B736" s="746">
        <f>'[1]PLAN DE DESARROLLO 2024 - 2027'!$M$4</f>
        <v>0.24028917333263158</v>
      </c>
      <c r="C736" s="738" t="s">
        <v>2144</v>
      </c>
      <c r="D736" s="747">
        <f>'[1]PLAN DE DESARROLLO 2024 - 2027'!$M$26</f>
        <v>0.20558940382884341</v>
      </c>
      <c r="E736" s="738" t="s">
        <v>2159</v>
      </c>
      <c r="F736" s="748">
        <f>[2]Hoja1!$B$69</f>
        <v>0.2153430793991416</v>
      </c>
      <c r="G736" s="738" t="s">
        <v>244</v>
      </c>
      <c r="H736" s="738" t="s">
        <v>245</v>
      </c>
      <c r="I736" s="738"/>
      <c r="J736" s="738" t="s">
        <v>58</v>
      </c>
      <c r="K736" s="749" t="s">
        <v>2256</v>
      </c>
    </row>
    <row r="737" spans="1:11" s="734" customFormat="1" ht="28.8" x14ac:dyDescent="0.3">
      <c r="A737" s="738" t="s">
        <v>2143</v>
      </c>
      <c r="B737" s="746">
        <f>'[1]PLAN DE DESARROLLO 2024 - 2027'!$M$4</f>
        <v>0.24028917333263158</v>
      </c>
      <c r="C737" s="738" t="s">
        <v>2144</v>
      </c>
      <c r="D737" s="747">
        <f>'[1]PLAN DE DESARROLLO 2024 - 2027'!$M$26</f>
        <v>0.20558940382884341</v>
      </c>
      <c r="E737" s="738" t="s">
        <v>1617</v>
      </c>
      <c r="F737" s="748">
        <f>[2]Hoja1!$B$146</f>
        <v>0</v>
      </c>
      <c r="G737" s="738" t="s">
        <v>286</v>
      </c>
      <c r="H737" s="738" t="s">
        <v>287</v>
      </c>
      <c r="I737" s="738"/>
      <c r="J737" s="738" t="s">
        <v>58</v>
      </c>
      <c r="K737" s="749" t="s">
        <v>2256</v>
      </c>
    </row>
    <row r="738" spans="1:11" s="734" customFormat="1" ht="43.2" x14ac:dyDescent="0.3">
      <c r="A738" s="738" t="s">
        <v>2143</v>
      </c>
      <c r="B738" s="746">
        <f>'[1]PLAN DE DESARROLLO 2024 - 2027'!$M$4</f>
        <v>0.24028917333263158</v>
      </c>
      <c r="C738" s="738" t="s">
        <v>2144</v>
      </c>
      <c r="D738" s="747">
        <f>'[1]PLAN DE DESARROLLO 2024 - 2027'!$M$26</f>
        <v>0.20558940382884341</v>
      </c>
      <c r="E738" s="738" t="s">
        <v>1617</v>
      </c>
      <c r="F738" s="748">
        <f>[2]Hoja1!$B$146</f>
        <v>0</v>
      </c>
      <c r="G738" s="738" t="s">
        <v>288</v>
      </c>
      <c r="H738" s="738" t="s">
        <v>289</v>
      </c>
      <c r="I738" s="738"/>
      <c r="J738" s="738" t="s">
        <v>58</v>
      </c>
      <c r="K738" s="749" t="s">
        <v>2256</v>
      </c>
    </row>
    <row r="739" spans="1:11" s="734" customFormat="1" ht="28.8" x14ac:dyDescent="0.3">
      <c r="A739" s="738" t="s">
        <v>2143</v>
      </c>
      <c r="B739" s="746">
        <f>'[1]PLAN DE DESARROLLO 2024 - 2027'!$M$4</f>
        <v>0.24028917333263158</v>
      </c>
      <c r="C739" s="738" t="s">
        <v>2144</v>
      </c>
      <c r="D739" s="747">
        <f>'[1]PLAN DE DESARROLLO 2024 - 2027'!$M$26</f>
        <v>0.20558940382884341</v>
      </c>
      <c r="E739" s="738" t="s">
        <v>1617</v>
      </c>
      <c r="F739" s="748">
        <f>[2]Hoja1!$B$146</f>
        <v>0</v>
      </c>
      <c r="G739" s="738" t="s">
        <v>290</v>
      </c>
      <c r="H739" s="738" t="s">
        <v>291</v>
      </c>
      <c r="I739" s="738"/>
      <c r="J739" s="738" t="s">
        <v>58</v>
      </c>
      <c r="K739" s="749" t="s">
        <v>2256</v>
      </c>
    </row>
    <row r="740" spans="1:11" s="734" customFormat="1" ht="28.8" x14ac:dyDescent="0.3">
      <c r="A740" s="738" t="s">
        <v>2143</v>
      </c>
      <c r="B740" s="746">
        <f>'[1]PLAN DE DESARROLLO 2024 - 2027'!$M$4</f>
        <v>0.24028917333263158</v>
      </c>
      <c r="C740" s="738" t="s">
        <v>2144</v>
      </c>
      <c r="D740" s="747">
        <f>'[1]PLAN DE DESARROLLO 2024 - 2027'!$M$26</f>
        <v>0.20558940382884341</v>
      </c>
      <c r="E740" s="738" t="s">
        <v>1617</v>
      </c>
      <c r="F740" s="748">
        <f>[2]Hoja1!$B$146</f>
        <v>0</v>
      </c>
      <c r="G740" s="738" t="s">
        <v>292</v>
      </c>
      <c r="H740" s="738" t="s">
        <v>293</v>
      </c>
      <c r="I740" s="738"/>
      <c r="J740" s="738" t="s">
        <v>58</v>
      </c>
      <c r="K740" s="749" t="s">
        <v>2256</v>
      </c>
    </row>
    <row r="741" spans="1:11" s="734" customFormat="1" ht="28.8" x14ac:dyDescent="0.3">
      <c r="A741" s="738" t="s">
        <v>2143</v>
      </c>
      <c r="B741" s="746">
        <f>'[1]PLAN DE DESARROLLO 2024 - 2027'!$M$4</f>
        <v>0.24028917333263158</v>
      </c>
      <c r="C741" s="738" t="s">
        <v>2144</v>
      </c>
      <c r="D741" s="747">
        <f>'[1]PLAN DE DESARROLLO 2024 - 2027'!$M$26</f>
        <v>0.20558940382884341</v>
      </c>
      <c r="E741" s="738" t="s">
        <v>2164</v>
      </c>
      <c r="F741" s="748">
        <f>[2]Hoja1!$B$158</f>
        <v>0.19800000000000001</v>
      </c>
      <c r="G741" s="738" t="s">
        <v>250</v>
      </c>
      <c r="H741" s="738" t="s">
        <v>251</v>
      </c>
      <c r="I741" s="738"/>
      <c r="J741" s="738" t="s">
        <v>58</v>
      </c>
      <c r="K741" s="749" t="s">
        <v>2256</v>
      </c>
    </row>
    <row r="742" spans="1:11" s="734" customFormat="1" ht="28.8" x14ac:dyDescent="0.3">
      <c r="A742" s="738" t="s">
        <v>2143</v>
      </c>
      <c r="B742" s="746">
        <f>'[1]PLAN DE DESARROLLO 2024 - 2027'!$M$4</f>
        <v>0.24028917333263158</v>
      </c>
      <c r="C742" s="738" t="s">
        <v>2144</v>
      </c>
      <c r="D742" s="747">
        <f>'[1]PLAN DE DESARROLLO 2024 - 2027'!$M$26</f>
        <v>0.20558940382884341</v>
      </c>
      <c r="E742" s="738" t="s">
        <v>2164</v>
      </c>
      <c r="F742" s="748">
        <f>[2]Hoja1!$B$158</f>
        <v>0.19800000000000001</v>
      </c>
      <c r="G742" s="738" t="s">
        <v>252</v>
      </c>
      <c r="H742" s="738" t="s">
        <v>253</v>
      </c>
      <c r="I742" s="738"/>
      <c r="J742" s="738" t="s">
        <v>58</v>
      </c>
      <c r="K742" s="749" t="s">
        <v>2256</v>
      </c>
    </row>
    <row r="743" spans="1:11" s="734" customFormat="1" ht="28.8" x14ac:dyDescent="0.3">
      <c r="A743" s="738" t="s">
        <v>2143</v>
      </c>
      <c r="B743" s="746">
        <f>'[1]PLAN DE DESARROLLO 2024 - 2027'!$M$4</f>
        <v>0.24028917333263158</v>
      </c>
      <c r="C743" s="738" t="s">
        <v>2144</v>
      </c>
      <c r="D743" s="747">
        <f>'[1]PLAN DE DESARROLLO 2024 - 2027'!$M$26</f>
        <v>0.20558940382884341</v>
      </c>
      <c r="E743" s="738" t="s">
        <v>2164</v>
      </c>
      <c r="F743" s="748">
        <f>[2]Hoja1!$B$158</f>
        <v>0.19800000000000001</v>
      </c>
      <c r="G743" s="738" t="s">
        <v>254</v>
      </c>
      <c r="H743" s="738" t="s">
        <v>255</v>
      </c>
      <c r="I743" s="738"/>
      <c r="J743" s="738" t="s">
        <v>58</v>
      </c>
      <c r="K743" s="749" t="s">
        <v>2256</v>
      </c>
    </row>
    <row r="744" spans="1:11" s="734" customFormat="1" ht="28.8" x14ac:dyDescent="0.3">
      <c r="A744" s="738" t="s">
        <v>2143</v>
      </c>
      <c r="B744" s="746">
        <f>'[1]PLAN DE DESARROLLO 2024 - 2027'!$M$4</f>
        <v>0.24028917333263158</v>
      </c>
      <c r="C744" s="738" t="s">
        <v>2144</v>
      </c>
      <c r="D744" s="747">
        <f>'[1]PLAN DE DESARROLLO 2024 - 2027'!$M$26</f>
        <v>0.20558940382884341</v>
      </c>
      <c r="E744" s="738" t="s">
        <v>2164</v>
      </c>
      <c r="F744" s="748">
        <f>[2]Hoja1!$B$158</f>
        <v>0.19800000000000001</v>
      </c>
      <c r="G744" s="738" t="s">
        <v>1561</v>
      </c>
      <c r="H744" s="738" t="s">
        <v>1562</v>
      </c>
      <c r="I744" s="738"/>
      <c r="J744" s="738" t="s">
        <v>58</v>
      </c>
      <c r="K744" s="749" t="s">
        <v>2256</v>
      </c>
    </row>
    <row r="745" spans="1:11" s="734" customFormat="1" ht="43.2" x14ac:dyDescent="0.3">
      <c r="A745" s="738" t="s">
        <v>1993</v>
      </c>
      <c r="B745" s="750">
        <f>'[1]PLAN DE DESARROLLO 2024 - 2027'!$M$198</f>
        <v>3.4556250000000004E-2</v>
      </c>
      <c r="C745" s="738" t="s">
        <v>1997</v>
      </c>
      <c r="D745" s="752">
        <f>'[1]PLAN DE DESARROLLO 2024 - 2027'!$M$203</f>
        <v>3.0624999999999999E-2</v>
      </c>
      <c r="E745" s="738" t="s">
        <v>1840</v>
      </c>
      <c r="F745" s="748">
        <f>[2]Hoja1!$B$10</f>
        <v>0</v>
      </c>
      <c r="G745" s="738" t="s">
        <v>1130</v>
      </c>
      <c r="H745" s="738" t="s">
        <v>1131</v>
      </c>
      <c r="I745" s="738"/>
      <c r="J745" s="738" t="s">
        <v>162</v>
      </c>
      <c r="K745" s="749" t="s">
        <v>2256</v>
      </c>
    </row>
    <row r="746" spans="1:11" s="734" customFormat="1" ht="28.8" x14ac:dyDescent="0.3">
      <c r="A746" s="738" t="s">
        <v>1993</v>
      </c>
      <c r="B746" s="750">
        <f>'[1]PLAN DE DESARROLLO 2024 - 2027'!$M$198</f>
        <v>3.4556250000000004E-2</v>
      </c>
      <c r="C746" s="738" t="s">
        <v>1997</v>
      </c>
      <c r="D746" s="752">
        <f>'[1]PLAN DE DESARROLLO 2024 - 2027'!$M$203</f>
        <v>3.0624999999999999E-2</v>
      </c>
      <c r="E746" s="738" t="s">
        <v>1840</v>
      </c>
      <c r="F746" s="748">
        <f>[2]Hoja1!$B$10</f>
        <v>0</v>
      </c>
      <c r="G746" s="738" t="s">
        <v>1132</v>
      </c>
      <c r="H746" s="738" t="s">
        <v>1133</v>
      </c>
      <c r="I746" s="738"/>
      <c r="J746" s="738" t="s">
        <v>162</v>
      </c>
      <c r="K746" s="749" t="s">
        <v>2256</v>
      </c>
    </row>
    <row r="747" spans="1:11" s="734" customFormat="1" ht="28.8" x14ac:dyDescent="0.3">
      <c r="A747" s="738" t="s">
        <v>1993</v>
      </c>
      <c r="B747" s="750">
        <f>'[1]PLAN DE DESARROLLO 2024 - 2027'!$M$198</f>
        <v>3.4556250000000004E-2</v>
      </c>
      <c r="C747" s="738" t="s">
        <v>1997</v>
      </c>
      <c r="D747" s="752">
        <f>'[1]PLAN DE DESARROLLO 2024 - 2027'!$M$203</f>
        <v>3.0624999999999999E-2</v>
      </c>
      <c r="E747" s="738" t="s">
        <v>1840</v>
      </c>
      <c r="F747" s="748">
        <f>[2]Hoja1!$B$10</f>
        <v>0</v>
      </c>
      <c r="G747" s="738" t="s">
        <v>1134</v>
      </c>
      <c r="H747" s="738" t="s">
        <v>1135</v>
      </c>
      <c r="I747" s="738"/>
      <c r="J747" s="738" t="s">
        <v>58</v>
      </c>
      <c r="K747" s="749" t="s">
        <v>2256</v>
      </c>
    </row>
    <row r="748" spans="1:11" s="734" customFormat="1" ht="43.2" x14ac:dyDescent="0.3">
      <c r="A748" s="738" t="s">
        <v>1993</v>
      </c>
      <c r="B748" s="750">
        <f>'[1]PLAN DE DESARROLLO 2024 - 2027'!$M$198</f>
        <v>3.4556250000000004E-2</v>
      </c>
      <c r="C748" s="738" t="s">
        <v>1997</v>
      </c>
      <c r="D748" s="752">
        <f>'[1]PLAN DE DESARROLLO 2024 - 2027'!$M$203</f>
        <v>3.0624999999999999E-2</v>
      </c>
      <c r="E748" s="738" t="s">
        <v>1840</v>
      </c>
      <c r="F748" s="748">
        <f>[2]Hoja1!$B$10</f>
        <v>0</v>
      </c>
      <c r="G748" s="738" t="s">
        <v>1136</v>
      </c>
      <c r="H748" s="738" t="s">
        <v>1137</v>
      </c>
      <c r="I748" s="738"/>
      <c r="J748" s="738" t="s">
        <v>620</v>
      </c>
      <c r="K748" s="749" t="s">
        <v>2256</v>
      </c>
    </row>
    <row r="749" spans="1:11" s="734" customFormat="1" ht="57.6" x14ac:dyDescent="0.3">
      <c r="A749" s="738" t="s">
        <v>1993</v>
      </c>
      <c r="B749" s="750">
        <f>'[1]PLAN DE DESARROLLO 2024 - 2027'!$M$198</f>
        <v>3.4556250000000004E-2</v>
      </c>
      <c r="C749" s="738" t="s">
        <v>1997</v>
      </c>
      <c r="D749" s="752">
        <f>'[1]PLAN DE DESARROLLO 2024 - 2027'!$M$203</f>
        <v>3.0624999999999999E-2</v>
      </c>
      <c r="E749" s="738" t="s">
        <v>1840</v>
      </c>
      <c r="F749" s="748">
        <f>[2]Hoja1!$B$10</f>
        <v>0</v>
      </c>
      <c r="G749" s="738" t="s">
        <v>1138</v>
      </c>
      <c r="H749" s="738" t="s">
        <v>1139</v>
      </c>
      <c r="I749" s="738"/>
      <c r="J749" s="738" t="s">
        <v>565</v>
      </c>
      <c r="K749" s="749" t="s">
        <v>2256</v>
      </c>
    </row>
    <row r="750" spans="1:11" s="734" customFormat="1" ht="28.8" x14ac:dyDescent="0.3">
      <c r="A750" s="738" t="s">
        <v>1993</v>
      </c>
      <c r="B750" s="750">
        <f>'[1]PLAN DE DESARROLLO 2024 - 2027'!$M$198</f>
        <v>3.4556250000000004E-2</v>
      </c>
      <c r="C750" s="738" t="s">
        <v>1997</v>
      </c>
      <c r="D750" s="752">
        <f>'[1]PLAN DE DESARROLLO 2024 - 2027'!$M$203</f>
        <v>3.0624999999999999E-2</v>
      </c>
      <c r="E750" s="738" t="s">
        <v>1840</v>
      </c>
      <c r="F750" s="748">
        <f>[2]Hoja1!$B$10</f>
        <v>0</v>
      </c>
      <c r="G750" s="738" t="s">
        <v>1140</v>
      </c>
      <c r="H750" s="738" t="s">
        <v>1141</v>
      </c>
      <c r="I750" s="738"/>
      <c r="J750" s="738" t="s">
        <v>707</v>
      </c>
      <c r="K750" s="749" t="s">
        <v>2256</v>
      </c>
    </row>
    <row r="751" spans="1:11" s="734" customFormat="1" ht="28.8" x14ac:dyDescent="0.3">
      <c r="A751" s="738" t="s">
        <v>2197</v>
      </c>
      <c r="B751" s="746">
        <f>'[1]PLAN DE DESARROLLO 2024 - 2027'!$M$46</f>
        <v>0.25251661967012345</v>
      </c>
      <c r="C751" s="738" t="s">
        <v>2229</v>
      </c>
      <c r="D751" s="747">
        <f>'[1]PLAN DE DESARROLLO 2024 - 2027'!$M$64</f>
        <v>0.21558039327044773</v>
      </c>
      <c r="E751" s="738" t="s">
        <v>1657</v>
      </c>
      <c r="F751" s="748">
        <f>[2]Hoja1!$B$15</f>
        <v>0.10614285714285715</v>
      </c>
      <c r="G751" s="738" t="s">
        <v>517</v>
      </c>
      <c r="H751" s="738" t="s">
        <v>518</v>
      </c>
      <c r="I751" s="738"/>
      <c r="J751" s="738" t="s">
        <v>2230</v>
      </c>
      <c r="K751" s="749" t="s">
        <v>2256</v>
      </c>
    </row>
    <row r="752" spans="1:11" s="734" customFormat="1" ht="28.8" x14ac:dyDescent="0.3">
      <c r="A752" s="738" t="s">
        <v>2197</v>
      </c>
      <c r="B752" s="746">
        <f>'[1]PLAN DE DESARROLLO 2024 - 2027'!$M$46</f>
        <v>0.25251661967012345</v>
      </c>
      <c r="C752" s="738" t="s">
        <v>2229</v>
      </c>
      <c r="D752" s="747">
        <f>'[1]PLAN DE DESARROLLO 2024 - 2027'!$M$64</f>
        <v>0.21558039327044773</v>
      </c>
      <c r="E752" s="738" t="s">
        <v>1657</v>
      </c>
      <c r="F752" s="748">
        <f>[2]Hoja1!$B$15</f>
        <v>0.10614285714285715</v>
      </c>
      <c r="G752" s="738" t="s">
        <v>519</v>
      </c>
      <c r="H752" s="738" t="s">
        <v>520</v>
      </c>
      <c r="I752" s="738"/>
      <c r="J752" s="738" t="s">
        <v>2230</v>
      </c>
      <c r="K752" s="749" t="s">
        <v>2256</v>
      </c>
    </row>
    <row r="753" spans="1:11" s="734" customFormat="1" ht="28.8" x14ac:dyDescent="0.3">
      <c r="A753" s="738" t="s">
        <v>2068</v>
      </c>
      <c r="B753" s="750">
        <f>'[1]PLAN DE DESARROLLO 2024 - 2027'!$M$92</f>
        <v>0.25050860314981654</v>
      </c>
      <c r="C753" s="738" t="s">
        <v>2076</v>
      </c>
      <c r="D753" s="747">
        <f>'[1]PLAN DE DESARROLLO 2024 - 2027'!$M$93</f>
        <v>0.32850000000000001</v>
      </c>
      <c r="E753" s="738" t="s">
        <v>2079</v>
      </c>
      <c r="F753" s="748">
        <f>[2]Hoja1!$B$30</f>
        <v>0.24750000000000003</v>
      </c>
      <c r="G753" s="738" t="s">
        <v>687</v>
      </c>
      <c r="H753" s="738" t="s">
        <v>1396</v>
      </c>
      <c r="I753" s="738"/>
      <c r="J753" s="738" t="s">
        <v>683</v>
      </c>
      <c r="K753" s="749" t="s">
        <v>2256</v>
      </c>
    </row>
    <row r="754" spans="1:11" s="734" customFormat="1" x14ac:dyDescent="0.3">
      <c r="A754" s="738" t="s">
        <v>2068</v>
      </c>
      <c r="B754" s="750">
        <f>'[1]PLAN DE DESARROLLO 2024 - 2027'!$M$92</f>
        <v>0.25050860314981654</v>
      </c>
      <c r="C754" s="738" t="s">
        <v>2076</v>
      </c>
      <c r="D754" s="747">
        <f>'[1]PLAN DE DESARROLLO 2024 - 2027'!$M$93</f>
        <v>0.32850000000000001</v>
      </c>
      <c r="E754" s="738" t="s">
        <v>2079</v>
      </c>
      <c r="F754" s="748">
        <f>[2]Hoja1!$B$30</f>
        <v>0.24750000000000003</v>
      </c>
      <c r="G754" s="738" t="s">
        <v>688</v>
      </c>
      <c r="H754" s="738" t="s">
        <v>1397</v>
      </c>
      <c r="I754" s="738"/>
      <c r="J754" s="738" t="s">
        <v>683</v>
      </c>
      <c r="K754" s="749" t="s">
        <v>2256</v>
      </c>
    </row>
    <row r="755" spans="1:11" s="734" customFormat="1" ht="28.8" x14ac:dyDescent="0.3">
      <c r="A755" s="738" t="s">
        <v>2068</v>
      </c>
      <c r="B755" s="750">
        <f>'[1]PLAN DE DESARROLLO 2024 - 2027'!$M$92</f>
        <v>0.25050860314981654</v>
      </c>
      <c r="C755" s="738" t="s">
        <v>2076</v>
      </c>
      <c r="D755" s="747">
        <f>'[1]PLAN DE DESARROLLO 2024 - 2027'!$M$93</f>
        <v>0.32850000000000001</v>
      </c>
      <c r="E755" s="738" t="s">
        <v>2079</v>
      </c>
      <c r="F755" s="748">
        <f>[2]Hoja1!$B$30</f>
        <v>0.24750000000000003</v>
      </c>
      <c r="G755" s="738" t="s">
        <v>689</v>
      </c>
      <c r="H755" s="738" t="s">
        <v>1398</v>
      </c>
      <c r="I755" s="738"/>
      <c r="J755" s="738" t="s">
        <v>683</v>
      </c>
      <c r="K755" s="749" t="s">
        <v>2256</v>
      </c>
    </row>
    <row r="756" spans="1:11" s="734" customFormat="1" x14ac:dyDescent="0.3">
      <c r="A756" s="738" t="s">
        <v>2068</v>
      </c>
      <c r="B756" s="750">
        <f>'[1]PLAN DE DESARROLLO 2024 - 2027'!$M$92</f>
        <v>0.25050860314981654</v>
      </c>
      <c r="C756" s="738" t="s">
        <v>2076</v>
      </c>
      <c r="D756" s="747">
        <f>'[1]PLAN DE DESARROLLO 2024 - 2027'!$M$93</f>
        <v>0.32850000000000001</v>
      </c>
      <c r="E756" s="738" t="s">
        <v>2077</v>
      </c>
      <c r="F756" s="748">
        <f>[2]Hoja1!$B$162</f>
        <v>0.45</v>
      </c>
      <c r="G756" s="738" t="s">
        <v>681</v>
      </c>
      <c r="H756" s="738" t="s">
        <v>1391</v>
      </c>
      <c r="I756" s="738"/>
      <c r="J756" s="738" t="s">
        <v>683</v>
      </c>
      <c r="K756" s="749" t="s">
        <v>2256</v>
      </c>
    </row>
    <row r="757" spans="1:11" s="734" customFormat="1" ht="28.8" x14ac:dyDescent="0.3">
      <c r="A757" s="738" t="s">
        <v>2068</v>
      </c>
      <c r="B757" s="750">
        <f>'[1]PLAN DE DESARROLLO 2024 - 2027'!$M$92</f>
        <v>0.25050860314981654</v>
      </c>
      <c r="C757" s="738" t="s">
        <v>2076</v>
      </c>
      <c r="D757" s="747">
        <f>'[1]PLAN DE DESARROLLO 2024 - 2027'!$M$93</f>
        <v>0.32850000000000001</v>
      </c>
      <c r="E757" s="738" t="s">
        <v>2077</v>
      </c>
      <c r="F757" s="748">
        <f>[2]Hoja1!$B$162</f>
        <v>0.45</v>
      </c>
      <c r="G757" s="738" t="s">
        <v>682</v>
      </c>
      <c r="H757" s="738" t="s">
        <v>1392</v>
      </c>
      <c r="I757" s="738"/>
      <c r="J757" s="738" t="s">
        <v>683</v>
      </c>
      <c r="K757" s="749" t="s">
        <v>2256</v>
      </c>
    </row>
    <row r="758" spans="1:11" s="734" customFormat="1" ht="57.6" x14ac:dyDescent="0.3">
      <c r="A758" s="738" t="s">
        <v>2068</v>
      </c>
      <c r="B758" s="750">
        <f>'[1]PLAN DE DESARROLLO 2024 - 2027'!$M$92</f>
        <v>0.25050860314981654</v>
      </c>
      <c r="C758" s="738" t="s">
        <v>2076</v>
      </c>
      <c r="D758" s="747">
        <f>'[1]PLAN DE DESARROLLO 2024 - 2027'!$M$93</f>
        <v>0.32850000000000001</v>
      </c>
      <c r="E758" s="738" t="s">
        <v>2077</v>
      </c>
      <c r="F758" s="748">
        <f>[2]Hoja1!$B$162</f>
        <v>0.45</v>
      </c>
      <c r="G758" s="738" t="s">
        <v>684</v>
      </c>
      <c r="H758" s="738" t="s">
        <v>1393</v>
      </c>
      <c r="I758" s="738"/>
      <c r="J758" s="738" t="s">
        <v>683</v>
      </c>
      <c r="K758" s="749" t="s">
        <v>2256</v>
      </c>
    </row>
    <row r="759" spans="1:11" s="734" customFormat="1" ht="43.2" x14ac:dyDescent="0.3">
      <c r="A759" s="738" t="s">
        <v>2068</v>
      </c>
      <c r="B759" s="750">
        <f>'[1]PLAN DE DESARROLLO 2024 - 2027'!$M$92</f>
        <v>0.25050860314981654</v>
      </c>
      <c r="C759" s="738" t="s">
        <v>2076</v>
      </c>
      <c r="D759" s="747">
        <f>'[1]PLAN DE DESARROLLO 2024 - 2027'!$M$93</f>
        <v>0.32850000000000001</v>
      </c>
      <c r="E759" s="738" t="s">
        <v>2077</v>
      </c>
      <c r="F759" s="748">
        <f>[2]Hoja1!$B$162</f>
        <v>0.45</v>
      </c>
      <c r="G759" s="738" t="s">
        <v>685</v>
      </c>
      <c r="H759" s="738" t="s">
        <v>2078</v>
      </c>
      <c r="I759" s="738"/>
      <c r="J759" s="738" t="s">
        <v>683</v>
      </c>
      <c r="K759" s="749" t="s">
        <v>2256</v>
      </c>
    </row>
    <row r="760" spans="1:11" s="734" customFormat="1" ht="28.8" x14ac:dyDescent="0.3">
      <c r="A760" s="738" t="s">
        <v>2197</v>
      </c>
      <c r="B760" s="746">
        <f>'[1]PLAN DE DESARROLLO 2024 - 2027'!$M$46</f>
        <v>0.25251661967012345</v>
      </c>
      <c r="C760" s="738" t="s">
        <v>2229</v>
      </c>
      <c r="D760" s="747">
        <f>'[1]PLAN DE DESARROLLO 2024 - 2027'!$M$64</f>
        <v>0.21558039327044773</v>
      </c>
      <c r="E760" s="738" t="s">
        <v>1657</v>
      </c>
      <c r="F760" s="748">
        <f>[2]Hoja1!$B$15</f>
        <v>0.10614285714285715</v>
      </c>
      <c r="G760" s="738" t="s">
        <v>521</v>
      </c>
      <c r="H760" s="738" t="s">
        <v>522</v>
      </c>
      <c r="I760" s="738"/>
      <c r="J760" s="738" t="s">
        <v>516</v>
      </c>
      <c r="K760" s="749" t="s">
        <v>2256</v>
      </c>
    </row>
    <row r="761" spans="1:11" s="734" customFormat="1" ht="28.8" x14ac:dyDescent="0.3">
      <c r="A761" s="738" t="s">
        <v>2197</v>
      </c>
      <c r="B761" s="746">
        <f>'[1]PLAN DE DESARROLLO 2024 - 2027'!$M$46</f>
        <v>0.25251661967012345</v>
      </c>
      <c r="C761" s="738" t="s">
        <v>2229</v>
      </c>
      <c r="D761" s="747">
        <f>'[1]PLAN DE DESARROLLO 2024 - 2027'!$M$64</f>
        <v>0.21558039327044773</v>
      </c>
      <c r="E761" s="738" t="s">
        <v>1657</v>
      </c>
      <c r="F761" s="748">
        <f>[2]Hoja1!$B$15</f>
        <v>0.10614285714285715</v>
      </c>
      <c r="G761" s="738" t="s">
        <v>523</v>
      </c>
      <c r="H761" s="738" t="s">
        <v>524</v>
      </c>
      <c r="I761" s="738"/>
      <c r="J761" s="738" t="s">
        <v>516</v>
      </c>
      <c r="K761" s="749" t="s">
        <v>2256</v>
      </c>
    </row>
    <row r="762" spans="1:11" s="734" customFormat="1" ht="28.8" x14ac:dyDescent="0.3">
      <c r="A762" s="738" t="s">
        <v>2197</v>
      </c>
      <c r="B762" s="746">
        <f>'[1]PLAN DE DESARROLLO 2024 - 2027'!$M$46</f>
        <v>0.25251661967012345</v>
      </c>
      <c r="C762" s="738" t="s">
        <v>2229</v>
      </c>
      <c r="D762" s="747">
        <f>'[1]PLAN DE DESARROLLO 2024 - 2027'!$M$64</f>
        <v>0.21558039327044773</v>
      </c>
      <c r="E762" s="738" t="s">
        <v>1658</v>
      </c>
      <c r="F762" s="748">
        <f>[2]Hoja1!$B$161</f>
        <v>0.13333333333333333</v>
      </c>
      <c r="G762" s="738" t="s">
        <v>525</v>
      </c>
      <c r="H762" s="738" t="s">
        <v>526</v>
      </c>
      <c r="I762" s="738"/>
      <c r="J762" s="738" t="s">
        <v>516</v>
      </c>
      <c r="K762" s="749" t="s">
        <v>2256</v>
      </c>
    </row>
    <row r="763" spans="1:11" s="734" customFormat="1" ht="43.2" x14ac:dyDescent="0.3">
      <c r="A763" s="738" t="s">
        <v>2197</v>
      </c>
      <c r="B763" s="746">
        <f>'[1]PLAN DE DESARROLLO 2024 - 2027'!$M$46</f>
        <v>0.25251661967012345</v>
      </c>
      <c r="C763" s="738" t="s">
        <v>2229</v>
      </c>
      <c r="D763" s="747">
        <f>'[1]PLAN DE DESARROLLO 2024 - 2027'!$M$64</f>
        <v>0.21558039327044773</v>
      </c>
      <c r="E763" s="738" t="s">
        <v>1658</v>
      </c>
      <c r="F763" s="748">
        <f>[2]Hoja1!$B$161</f>
        <v>0.13333333333333333</v>
      </c>
      <c r="G763" s="738" t="s">
        <v>527</v>
      </c>
      <c r="H763" s="738" t="s">
        <v>528</v>
      </c>
      <c r="I763" s="738"/>
      <c r="J763" s="738" t="s">
        <v>516</v>
      </c>
      <c r="K763" s="749" t="s">
        <v>2256</v>
      </c>
    </row>
    <row r="764" spans="1:11" s="734" customFormat="1" x14ac:dyDescent="0.3">
      <c r="A764" s="738" t="s">
        <v>2068</v>
      </c>
      <c r="B764" s="750">
        <f>'[1]PLAN DE DESARROLLO 2024 - 2027'!$M$92</f>
        <v>0.25050860314981654</v>
      </c>
      <c r="C764" s="738" t="s">
        <v>2076</v>
      </c>
      <c r="D764" s="747">
        <f>'[1]PLAN DE DESARROLLO 2024 - 2027'!$M$93</f>
        <v>0.32850000000000001</v>
      </c>
      <c r="E764" s="738" t="s">
        <v>2077</v>
      </c>
      <c r="F764" s="748">
        <f>[2]Hoja1!$B$162</f>
        <v>0.45</v>
      </c>
      <c r="G764" s="738" t="s">
        <v>686</v>
      </c>
      <c r="H764" s="738" t="s">
        <v>1395</v>
      </c>
      <c r="I764" s="738"/>
      <c r="J764" s="738" t="s">
        <v>683</v>
      </c>
      <c r="K764" s="749" t="s">
        <v>2256</v>
      </c>
    </row>
    <row r="765" spans="1:11" s="734" customFormat="1" x14ac:dyDescent="0.3">
      <c r="A765" s="738" t="s">
        <v>2068</v>
      </c>
      <c r="B765" s="750">
        <f>'[1]PLAN DE DESARROLLO 2024 - 2027'!$M$92</f>
        <v>0.25050860314981654</v>
      </c>
      <c r="C765" s="738" t="s">
        <v>2097</v>
      </c>
      <c r="D765" s="747">
        <f>'[1]PLAN DE DESARROLLO 2024 - 2027'!$M$116</f>
        <v>0.21525263088160634</v>
      </c>
      <c r="E765" s="738" t="s">
        <v>2102</v>
      </c>
      <c r="F765" s="748">
        <f>[2]Hoja1!$B$25</f>
        <v>0.33749999999999997</v>
      </c>
      <c r="G765" s="738" t="s">
        <v>784</v>
      </c>
      <c r="H765" s="738" t="s">
        <v>1478</v>
      </c>
      <c r="I765" s="738"/>
      <c r="J765" s="738" t="s">
        <v>767</v>
      </c>
      <c r="K765" s="749" t="s">
        <v>2256</v>
      </c>
    </row>
    <row r="766" spans="1:11" s="734" customFormat="1" ht="28.8" x14ac:dyDescent="0.3">
      <c r="A766" s="738" t="s">
        <v>2068</v>
      </c>
      <c r="B766" s="750">
        <f>'[1]PLAN DE DESARROLLO 2024 - 2027'!$M$92</f>
        <v>0.25050860314981654</v>
      </c>
      <c r="C766" s="738" t="s">
        <v>2097</v>
      </c>
      <c r="D766" s="747">
        <f>'[1]PLAN DE DESARROLLO 2024 - 2027'!$M$116</f>
        <v>0.21525263088160634</v>
      </c>
      <c r="E766" s="738" t="s">
        <v>2102</v>
      </c>
      <c r="F766" s="748">
        <f>[2]Hoja1!$B$25</f>
        <v>0.33749999999999997</v>
      </c>
      <c r="G766" s="738" t="s">
        <v>785</v>
      </c>
      <c r="H766" s="738" t="s">
        <v>1479</v>
      </c>
      <c r="I766" s="738"/>
      <c r="J766" s="738" t="s">
        <v>767</v>
      </c>
      <c r="K766" s="749" t="s">
        <v>2256</v>
      </c>
    </row>
    <row r="767" spans="1:11" s="734" customFormat="1" x14ac:dyDescent="0.3">
      <c r="A767" s="738" t="s">
        <v>2068</v>
      </c>
      <c r="B767" s="750">
        <f>'[1]PLAN DE DESARROLLO 2024 - 2027'!$M$92</f>
        <v>0.25050860314981654</v>
      </c>
      <c r="C767" s="738" t="s">
        <v>2097</v>
      </c>
      <c r="D767" s="747">
        <f>'[1]PLAN DE DESARROLLO 2024 - 2027'!$M$116</f>
        <v>0.21525263088160634</v>
      </c>
      <c r="E767" s="738" t="s">
        <v>2102</v>
      </c>
      <c r="F767" s="748">
        <f>[2]Hoja1!$B$25</f>
        <v>0.33749999999999997</v>
      </c>
      <c r="G767" s="738" t="s">
        <v>786</v>
      </c>
      <c r="H767" s="738" t="s">
        <v>1480</v>
      </c>
      <c r="I767" s="738"/>
      <c r="J767" s="738" t="s">
        <v>767</v>
      </c>
      <c r="K767" s="749" t="s">
        <v>2256</v>
      </c>
    </row>
    <row r="768" spans="1:11" s="734" customFormat="1" ht="28.8" x14ac:dyDescent="0.3">
      <c r="A768" s="738" t="s">
        <v>2197</v>
      </c>
      <c r="B768" s="746">
        <f>'[1]PLAN DE DESARROLLO 2024 - 2027'!$M$46</f>
        <v>0.25251661967012345</v>
      </c>
      <c r="C768" s="738" t="s">
        <v>2229</v>
      </c>
      <c r="D768" s="747">
        <f>'[1]PLAN DE DESARROLLO 2024 - 2027'!$M$64</f>
        <v>0.21558039327044773</v>
      </c>
      <c r="E768" s="738" t="s">
        <v>1658</v>
      </c>
      <c r="F768" s="748">
        <f>[2]Hoja1!$B$161</f>
        <v>0.13333333333333333</v>
      </c>
      <c r="G768" s="738" t="s">
        <v>529</v>
      </c>
      <c r="H768" s="738" t="s">
        <v>530</v>
      </c>
      <c r="I768" s="738"/>
      <c r="J768" s="738" t="s">
        <v>516</v>
      </c>
      <c r="K768" s="749" t="s">
        <v>2256</v>
      </c>
    </row>
    <row r="769" spans="1:11" s="734" customFormat="1" ht="28.8" x14ac:dyDescent="0.3">
      <c r="A769" s="738" t="s">
        <v>2197</v>
      </c>
      <c r="B769" s="746">
        <f>'[1]PLAN DE DESARROLLO 2024 - 2027'!$M$46</f>
        <v>0.25251661967012345</v>
      </c>
      <c r="C769" s="738" t="s">
        <v>2229</v>
      </c>
      <c r="D769" s="747">
        <f>'[1]PLAN DE DESARROLLO 2024 - 2027'!$M$64</f>
        <v>0.21558039327044773</v>
      </c>
      <c r="E769" s="738" t="s">
        <v>1658</v>
      </c>
      <c r="F769" s="748">
        <f>[2]Hoja1!$B$161</f>
        <v>0.13333333333333333</v>
      </c>
      <c r="G769" s="738" t="s">
        <v>531</v>
      </c>
      <c r="H769" s="738" t="s">
        <v>532</v>
      </c>
      <c r="I769" s="738"/>
      <c r="J769" s="738" t="s">
        <v>516</v>
      </c>
      <c r="K769" s="749" t="s">
        <v>2256</v>
      </c>
    </row>
    <row r="770" spans="1:11" s="734" customFormat="1" ht="28.8" x14ac:dyDescent="0.3">
      <c r="A770" s="738" t="s">
        <v>2197</v>
      </c>
      <c r="B770" s="746">
        <f>'[1]PLAN DE DESARROLLO 2024 - 2027'!$M$46</f>
        <v>0.25251661967012345</v>
      </c>
      <c r="C770" s="738" t="s">
        <v>2229</v>
      </c>
      <c r="D770" s="747">
        <f>'[1]PLAN DE DESARROLLO 2024 - 2027'!$M$64</f>
        <v>0.21558039327044773</v>
      </c>
      <c r="E770" s="738" t="s">
        <v>1658</v>
      </c>
      <c r="F770" s="748">
        <f>[2]Hoja1!$B$161</f>
        <v>0.13333333333333333</v>
      </c>
      <c r="G770" s="738" t="s">
        <v>533</v>
      </c>
      <c r="H770" s="738" t="s">
        <v>534</v>
      </c>
      <c r="I770" s="738"/>
      <c r="J770" s="738" t="s">
        <v>516</v>
      </c>
      <c r="K770" s="749" t="s">
        <v>2256</v>
      </c>
    </row>
    <row r="771" spans="1:11" s="734" customFormat="1" ht="28.8" x14ac:dyDescent="0.3">
      <c r="A771" s="738" t="s">
        <v>2197</v>
      </c>
      <c r="B771" s="746">
        <f>'[1]PLAN DE DESARROLLO 2024 - 2027'!$M$46</f>
        <v>0.25251661967012345</v>
      </c>
      <c r="C771" s="738" t="s">
        <v>2229</v>
      </c>
      <c r="D771" s="747">
        <f>'[1]PLAN DE DESARROLLO 2024 - 2027'!$M$64</f>
        <v>0.21558039327044773</v>
      </c>
      <c r="E771" s="738" t="s">
        <v>1658</v>
      </c>
      <c r="F771" s="748">
        <f>[2]Hoja1!$B$161</f>
        <v>0.13333333333333333</v>
      </c>
      <c r="G771" s="738" t="s">
        <v>535</v>
      </c>
      <c r="H771" s="738" t="s">
        <v>536</v>
      </c>
      <c r="I771" s="738"/>
      <c r="J771" s="738" t="s">
        <v>516</v>
      </c>
      <c r="K771" s="749" t="s">
        <v>2256</v>
      </c>
    </row>
    <row r="772" spans="1:11" s="734" customFormat="1" ht="43.2" x14ac:dyDescent="0.3">
      <c r="A772" s="738" t="s">
        <v>2197</v>
      </c>
      <c r="B772" s="746">
        <f>'[1]PLAN DE DESARROLLO 2024 - 2027'!$M$46</f>
        <v>0.25251661967012345</v>
      </c>
      <c r="C772" s="738" t="s">
        <v>2229</v>
      </c>
      <c r="D772" s="747">
        <f>'[1]PLAN DE DESARROLLO 2024 - 2027'!$M$64</f>
        <v>0.21558039327044773</v>
      </c>
      <c r="E772" s="738" t="s">
        <v>1658</v>
      </c>
      <c r="F772" s="748">
        <f>[2]Hoja1!$B$161</f>
        <v>0.13333333333333333</v>
      </c>
      <c r="G772" s="738" t="s">
        <v>537</v>
      </c>
      <c r="H772" s="738" t="s">
        <v>538</v>
      </c>
      <c r="I772" s="738"/>
      <c r="J772" s="738" t="s">
        <v>516</v>
      </c>
      <c r="K772" s="749" t="s">
        <v>2256</v>
      </c>
    </row>
    <row r="773" spans="1:11" s="734" customFormat="1" ht="28.8" x14ac:dyDescent="0.3">
      <c r="A773" s="738" t="s">
        <v>2197</v>
      </c>
      <c r="B773" s="746">
        <f>'[1]PLAN DE DESARROLLO 2024 - 2027'!$M$46</f>
        <v>0.25251661967012345</v>
      </c>
      <c r="C773" s="738" t="s">
        <v>2229</v>
      </c>
      <c r="D773" s="747">
        <f>'[1]PLAN DE DESARROLLO 2024 - 2027'!$M$64</f>
        <v>0.21558039327044773</v>
      </c>
      <c r="E773" s="738" t="s">
        <v>1658</v>
      </c>
      <c r="F773" s="748">
        <f>[2]Hoja1!$B$161</f>
        <v>0.13333333333333333</v>
      </c>
      <c r="G773" s="738" t="s">
        <v>539</v>
      </c>
      <c r="H773" s="738" t="s">
        <v>540</v>
      </c>
      <c r="I773" s="738"/>
      <c r="J773" s="738" t="s">
        <v>516</v>
      </c>
      <c r="K773" s="749" t="s">
        <v>2256</v>
      </c>
    </row>
    <row r="774" spans="1:11" s="734" customFormat="1" ht="28.8" x14ac:dyDescent="0.3">
      <c r="A774" s="738" t="s">
        <v>2143</v>
      </c>
      <c r="B774" s="746">
        <f>'[1]PLAN DE DESARROLLO 2024 - 2027'!$M$4</f>
        <v>0.24028917333263158</v>
      </c>
      <c r="C774" s="738" t="s">
        <v>2146</v>
      </c>
      <c r="D774" s="747">
        <f>'[1]PLAN DE DESARROLLO 2024 - 2027'!$M$11</f>
        <v>0.24196521875000004</v>
      </c>
      <c r="E774" s="738" t="s">
        <v>1603</v>
      </c>
      <c r="F774" s="748">
        <f>[2]Hoja1!$B$7</f>
        <v>0.14335000000000001</v>
      </c>
      <c r="G774" s="738" t="s">
        <v>101</v>
      </c>
      <c r="H774" s="738" t="s">
        <v>2147</v>
      </c>
      <c r="I774" s="738"/>
      <c r="J774" s="738" t="s">
        <v>12</v>
      </c>
      <c r="K774" s="749" t="s">
        <v>2256</v>
      </c>
    </row>
    <row r="775" spans="1:11" s="734" customFormat="1" ht="28.8" x14ac:dyDescent="0.3">
      <c r="A775" s="738" t="s">
        <v>2143</v>
      </c>
      <c r="B775" s="746">
        <f>'[1]PLAN DE DESARROLLO 2024 - 2027'!$M$4</f>
        <v>0.24028917333263158</v>
      </c>
      <c r="C775" s="738" t="s">
        <v>2146</v>
      </c>
      <c r="D775" s="747">
        <f>'[1]PLAN DE DESARROLLO 2024 - 2027'!$M$11</f>
        <v>0.24196521875000004</v>
      </c>
      <c r="E775" s="738" t="s">
        <v>1603</v>
      </c>
      <c r="F775" s="748">
        <f>[2]Hoja1!$B$7</f>
        <v>0.14335000000000001</v>
      </c>
      <c r="G775" s="738" t="s">
        <v>103</v>
      </c>
      <c r="H775" s="738" t="s">
        <v>2148</v>
      </c>
      <c r="I775" s="738"/>
      <c r="J775" s="738" t="s">
        <v>12</v>
      </c>
      <c r="K775" s="749" t="s">
        <v>2256</v>
      </c>
    </row>
    <row r="776" spans="1:11" s="734" customFormat="1" ht="43.2" x14ac:dyDescent="0.3">
      <c r="A776" s="738" t="s">
        <v>2143</v>
      </c>
      <c r="B776" s="746">
        <f>'[1]PLAN DE DESARROLLO 2024 - 2027'!$M$4</f>
        <v>0.24028917333263158</v>
      </c>
      <c r="C776" s="738" t="s">
        <v>2146</v>
      </c>
      <c r="D776" s="747">
        <f>'[1]PLAN DE DESARROLLO 2024 - 2027'!$M$11</f>
        <v>0.24196521875000004</v>
      </c>
      <c r="E776" s="738" t="s">
        <v>1603</v>
      </c>
      <c r="F776" s="748">
        <f>[2]Hoja1!$B$7</f>
        <v>0.14335000000000001</v>
      </c>
      <c r="G776" s="738" t="s">
        <v>105</v>
      </c>
      <c r="H776" s="738" t="s">
        <v>106</v>
      </c>
      <c r="I776" s="738"/>
      <c r="J776" s="738" t="s">
        <v>12</v>
      </c>
      <c r="K776" s="749" t="s">
        <v>2256</v>
      </c>
    </row>
    <row r="777" spans="1:11" s="734" customFormat="1" ht="28.8" x14ac:dyDescent="0.3">
      <c r="A777" s="738" t="s">
        <v>2143</v>
      </c>
      <c r="B777" s="746">
        <f>'[1]PLAN DE DESARROLLO 2024 - 2027'!$M$4</f>
        <v>0.24028917333263158</v>
      </c>
      <c r="C777" s="738" t="s">
        <v>2146</v>
      </c>
      <c r="D777" s="747">
        <f>'[1]PLAN DE DESARROLLO 2024 - 2027'!$M$11</f>
        <v>0.24196521875000004</v>
      </c>
      <c r="E777" s="738" t="s">
        <v>1603</v>
      </c>
      <c r="F777" s="748">
        <f>[2]Hoja1!$B$7</f>
        <v>0.14335000000000001</v>
      </c>
      <c r="G777" s="738" t="s">
        <v>107</v>
      </c>
      <c r="H777" s="738" t="s">
        <v>108</v>
      </c>
      <c r="I777" s="738"/>
      <c r="J777" s="738" t="s">
        <v>12</v>
      </c>
      <c r="K777" s="749" t="s">
        <v>2256</v>
      </c>
    </row>
    <row r="778" spans="1:11" s="734" customFormat="1" ht="28.8" x14ac:dyDescent="0.3">
      <c r="A778" s="738" t="s">
        <v>2143</v>
      </c>
      <c r="B778" s="746">
        <f>'[1]PLAN DE DESARROLLO 2024 - 2027'!$M$4</f>
        <v>0.24028917333263158</v>
      </c>
      <c r="C778" s="738" t="s">
        <v>2146</v>
      </c>
      <c r="D778" s="747">
        <f>'[1]PLAN DE DESARROLLO 2024 - 2027'!$M$11</f>
        <v>0.24196521875000004</v>
      </c>
      <c r="E778" s="738" t="s">
        <v>1603</v>
      </c>
      <c r="F778" s="748">
        <f>[2]Hoja1!$B$7</f>
        <v>0.14335000000000001</v>
      </c>
      <c r="G778" s="738" t="s">
        <v>109</v>
      </c>
      <c r="H778" s="738" t="s">
        <v>110</v>
      </c>
      <c r="I778" s="738"/>
      <c r="J778" s="738" t="s">
        <v>12</v>
      </c>
      <c r="K778" s="749" t="s">
        <v>2256</v>
      </c>
    </row>
    <row r="779" spans="1:11" s="734" customFormat="1" ht="28.8" x14ac:dyDescent="0.3">
      <c r="A779" s="738" t="s">
        <v>2143</v>
      </c>
      <c r="B779" s="746">
        <f>'[1]PLAN DE DESARROLLO 2024 - 2027'!$M$4</f>
        <v>0.24028917333263158</v>
      </c>
      <c r="C779" s="738" t="s">
        <v>2146</v>
      </c>
      <c r="D779" s="747">
        <f>'[1]PLAN DE DESARROLLO 2024 - 2027'!$M$11</f>
        <v>0.24196521875000004</v>
      </c>
      <c r="E779" s="738" t="s">
        <v>1603</v>
      </c>
      <c r="F779" s="748">
        <f>[2]Hoja1!$B$7</f>
        <v>0.14335000000000001</v>
      </c>
      <c r="G779" s="738" t="s">
        <v>111</v>
      </c>
      <c r="H779" s="738" t="s">
        <v>112</v>
      </c>
      <c r="I779" s="738"/>
      <c r="J779" s="738" t="s">
        <v>12</v>
      </c>
      <c r="K779" s="749" t="s">
        <v>2256</v>
      </c>
    </row>
    <row r="780" spans="1:11" s="734" customFormat="1" ht="43.2" x14ac:dyDescent="0.3">
      <c r="A780" s="738" t="s">
        <v>2143</v>
      </c>
      <c r="B780" s="746">
        <f>'[1]PLAN DE DESARROLLO 2024 - 2027'!$M$4</f>
        <v>0.24028917333263158</v>
      </c>
      <c r="C780" s="738" t="s">
        <v>2146</v>
      </c>
      <c r="D780" s="747">
        <f>'[1]PLAN DE DESARROLLO 2024 - 2027'!$M$11</f>
        <v>0.24196521875000004</v>
      </c>
      <c r="E780" s="738" t="s">
        <v>1603</v>
      </c>
      <c r="F780" s="748">
        <f>[2]Hoja1!$B$7</f>
        <v>0.14335000000000001</v>
      </c>
      <c r="G780" s="738" t="s">
        <v>113</v>
      </c>
      <c r="H780" s="738" t="s">
        <v>114</v>
      </c>
      <c r="I780" s="738"/>
      <c r="J780" s="738" t="s">
        <v>12</v>
      </c>
      <c r="K780" s="749" t="s">
        <v>2256</v>
      </c>
    </row>
    <row r="781" spans="1:11" s="734" customFormat="1" ht="28.8" x14ac:dyDescent="0.3">
      <c r="A781" s="738" t="s">
        <v>2197</v>
      </c>
      <c r="B781" s="746">
        <f>'[1]PLAN DE DESARROLLO 2024 - 2027'!$M$46</f>
        <v>0.25251661967012345</v>
      </c>
      <c r="C781" s="738" t="s">
        <v>2229</v>
      </c>
      <c r="D781" s="747">
        <f>'[1]PLAN DE DESARROLLO 2024 - 2027'!$M$64</f>
        <v>0.21558039327044773</v>
      </c>
      <c r="E781" s="738" t="s">
        <v>1658</v>
      </c>
      <c r="F781" s="748">
        <f>[2]Hoja1!$B$161</f>
        <v>0.13333333333333333</v>
      </c>
      <c r="G781" s="738" t="s">
        <v>541</v>
      </c>
      <c r="H781" s="738" t="s">
        <v>542</v>
      </c>
      <c r="I781" s="738"/>
      <c r="J781" s="738" t="s">
        <v>516</v>
      </c>
      <c r="K781" s="749" t="s">
        <v>2256</v>
      </c>
    </row>
    <row r="782" spans="1:11" s="734" customFormat="1" ht="28.8" x14ac:dyDescent="0.3">
      <c r="A782" s="738" t="s">
        <v>2197</v>
      </c>
      <c r="B782" s="746">
        <f>'[1]PLAN DE DESARROLLO 2024 - 2027'!$M$46</f>
        <v>0.25251661967012345</v>
      </c>
      <c r="C782" s="738" t="s">
        <v>2229</v>
      </c>
      <c r="D782" s="747">
        <f>'[1]PLAN DE DESARROLLO 2024 - 2027'!$M$64</f>
        <v>0.21558039327044773</v>
      </c>
      <c r="E782" s="738" t="s">
        <v>1658</v>
      </c>
      <c r="F782" s="748">
        <f>[2]Hoja1!$B$161</f>
        <v>0.13333333333333333</v>
      </c>
      <c r="G782" s="738" t="s">
        <v>543</v>
      </c>
      <c r="H782" s="738" t="s">
        <v>544</v>
      </c>
      <c r="I782" s="738"/>
      <c r="J782" s="738" t="s">
        <v>516</v>
      </c>
      <c r="K782" s="749" t="s">
        <v>2256</v>
      </c>
    </row>
    <row r="783" spans="1:11" s="734" customFormat="1" ht="28.8" x14ac:dyDescent="0.3">
      <c r="A783" s="738" t="s">
        <v>2197</v>
      </c>
      <c r="B783" s="746">
        <f>'[1]PLAN DE DESARROLLO 2024 - 2027'!$M$46</f>
        <v>0.25251661967012345</v>
      </c>
      <c r="C783" s="738" t="s">
        <v>2229</v>
      </c>
      <c r="D783" s="747">
        <f>'[1]PLAN DE DESARROLLO 2024 - 2027'!$M$64</f>
        <v>0.21558039327044773</v>
      </c>
      <c r="E783" s="738" t="s">
        <v>1658</v>
      </c>
      <c r="F783" s="748">
        <f>[2]Hoja1!$B$161</f>
        <v>0.13333333333333333</v>
      </c>
      <c r="G783" s="738" t="s">
        <v>545</v>
      </c>
      <c r="H783" s="738" t="s">
        <v>546</v>
      </c>
      <c r="I783" s="738"/>
      <c r="J783" s="738" t="s">
        <v>516</v>
      </c>
      <c r="K783" s="749" t="s">
        <v>2256</v>
      </c>
    </row>
    <row r="784" spans="1:11" s="734" customFormat="1" ht="28.8" x14ac:dyDescent="0.3">
      <c r="A784" s="738" t="s">
        <v>2197</v>
      </c>
      <c r="B784" s="746">
        <f>'[1]PLAN DE DESARROLLO 2024 - 2027'!$M$46</f>
        <v>0.25251661967012345</v>
      </c>
      <c r="C784" s="738" t="s">
        <v>2229</v>
      </c>
      <c r="D784" s="747">
        <f>'[1]PLAN DE DESARROLLO 2024 - 2027'!$M$64</f>
        <v>0.21558039327044773</v>
      </c>
      <c r="E784" s="738" t="s">
        <v>1658</v>
      </c>
      <c r="F784" s="748">
        <f>[2]Hoja1!$B$161</f>
        <v>0.13333333333333333</v>
      </c>
      <c r="G784" s="738" t="s">
        <v>547</v>
      </c>
      <c r="H784" s="738" t="s">
        <v>548</v>
      </c>
      <c r="I784" s="738"/>
      <c r="J784" s="738" t="s">
        <v>516</v>
      </c>
      <c r="K784" s="749" t="s">
        <v>2256</v>
      </c>
    </row>
    <row r="785" spans="1:11" s="734" customFormat="1" ht="28.8" x14ac:dyDescent="0.3">
      <c r="A785" s="738" t="s">
        <v>2143</v>
      </c>
      <c r="B785" s="746">
        <f>'[1]PLAN DE DESARROLLO 2024 - 2027'!$M$4</f>
        <v>0.24028917333263158</v>
      </c>
      <c r="C785" s="738" t="s">
        <v>2146</v>
      </c>
      <c r="D785" s="747">
        <f>'[1]PLAN DE DESARROLLO 2024 - 2027'!$M$11</f>
        <v>0.24196521875000004</v>
      </c>
      <c r="E785" s="738" t="s">
        <v>1603</v>
      </c>
      <c r="F785" s="748">
        <f>[2]Hoja1!$B$7</f>
        <v>0.14335000000000001</v>
      </c>
      <c r="G785" s="738" t="s">
        <v>115</v>
      </c>
      <c r="H785" s="738" t="s">
        <v>116</v>
      </c>
      <c r="I785" s="738"/>
      <c r="J785" s="738" t="s">
        <v>12</v>
      </c>
      <c r="K785" s="749" t="s">
        <v>2256</v>
      </c>
    </row>
    <row r="786" spans="1:11" s="734" customFormat="1" ht="28.8" x14ac:dyDescent="0.3">
      <c r="A786" s="738" t="s">
        <v>2143</v>
      </c>
      <c r="B786" s="746">
        <f>'[1]PLAN DE DESARROLLO 2024 - 2027'!$M$4</f>
        <v>0.24028917333263158</v>
      </c>
      <c r="C786" s="738" t="s">
        <v>2146</v>
      </c>
      <c r="D786" s="747">
        <f>'[1]PLAN DE DESARROLLO 2024 - 2027'!$M$11</f>
        <v>0.24196521875000004</v>
      </c>
      <c r="E786" s="738" t="s">
        <v>1603</v>
      </c>
      <c r="F786" s="748">
        <f>[2]Hoja1!$B$7</f>
        <v>0.14335000000000001</v>
      </c>
      <c r="G786" s="738" t="s">
        <v>117</v>
      </c>
      <c r="H786" s="738" t="s">
        <v>118</v>
      </c>
      <c r="I786" s="738"/>
      <c r="J786" s="738" t="s">
        <v>12</v>
      </c>
      <c r="K786" s="749" t="s">
        <v>2256</v>
      </c>
    </row>
    <row r="787" spans="1:11" s="734" customFormat="1" ht="28.8" x14ac:dyDescent="0.3">
      <c r="A787" s="738" t="s">
        <v>2017</v>
      </c>
      <c r="B787" s="750">
        <f>'[1]PLAN DE DESARROLLO 2024 - 2027'!$M$123</f>
        <v>0.20174333228533195</v>
      </c>
      <c r="C787" s="738" t="s">
        <v>2054</v>
      </c>
      <c r="D787" s="747">
        <f>'[1]PLAN DE DESARROLLO 2024 - 2027'!$M$136</f>
        <v>0.3779372351486594</v>
      </c>
      <c r="E787" s="738" t="s">
        <v>2056</v>
      </c>
      <c r="F787" s="748">
        <f>[2]Hoja1!$B$40</f>
        <v>0.35532727272727277</v>
      </c>
      <c r="G787" s="738" t="s">
        <v>854</v>
      </c>
      <c r="H787" s="738" t="s">
        <v>1309</v>
      </c>
      <c r="I787" s="738"/>
      <c r="J787" s="738" t="s">
        <v>852</v>
      </c>
      <c r="K787" s="749" t="s">
        <v>2256</v>
      </c>
    </row>
    <row r="788" spans="1:11" s="734" customFormat="1" ht="28.8" x14ac:dyDescent="0.3">
      <c r="A788" s="738" t="s">
        <v>2017</v>
      </c>
      <c r="B788" s="750">
        <f>'[1]PLAN DE DESARROLLO 2024 - 2027'!$M$123</f>
        <v>0.20174333228533195</v>
      </c>
      <c r="C788" s="738" t="s">
        <v>2054</v>
      </c>
      <c r="D788" s="747">
        <f>'[1]PLAN DE DESARROLLO 2024 - 2027'!$M$136</f>
        <v>0.3779372351486594</v>
      </c>
      <c r="E788" s="738" t="s">
        <v>2056</v>
      </c>
      <c r="F788" s="748">
        <f>[2]Hoja1!$B$40</f>
        <v>0.35532727272727277</v>
      </c>
      <c r="G788" s="738" t="s">
        <v>855</v>
      </c>
      <c r="H788" s="738" t="s">
        <v>1310</v>
      </c>
      <c r="I788" s="738"/>
      <c r="J788" s="738" t="s">
        <v>852</v>
      </c>
      <c r="K788" s="749" t="s">
        <v>2256</v>
      </c>
    </row>
    <row r="789" spans="1:11" s="734" customFormat="1" ht="28.8" x14ac:dyDescent="0.3">
      <c r="A789" s="738" t="s">
        <v>2017</v>
      </c>
      <c r="B789" s="750">
        <f>'[1]PLAN DE DESARROLLO 2024 - 2027'!$M$123</f>
        <v>0.20174333228533195</v>
      </c>
      <c r="C789" s="738" t="s">
        <v>2054</v>
      </c>
      <c r="D789" s="747">
        <f>'[1]PLAN DE DESARROLLO 2024 - 2027'!$M$136</f>
        <v>0.3779372351486594</v>
      </c>
      <c r="E789" s="738" t="s">
        <v>2059</v>
      </c>
      <c r="F789" s="748">
        <f>[2]Hoja1!$B$101</f>
        <v>0.34100862068965521</v>
      </c>
      <c r="G789" s="738" t="s">
        <v>859</v>
      </c>
      <c r="H789" s="738" t="s">
        <v>1314</v>
      </c>
      <c r="I789" s="738"/>
      <c r="J789" s="738" t="s">
        <v>852</v>
      </c>
      <c r="K789" s="749" t="s">
        <v>2256</v>
      </c>
    </row>
    <row r="790" spans="1:11" s="734" customFormat="1" ht="28.8" x14ac:dyDescent="0.3">
      <c r="A790" s="738" t="s">
        <v>2017</v>
      </c>
      <c r="B790" s="750">
        <f>'[1]PLAN DE DESARROLLO 2024 - 2027'!$M$123</f>
        <v>0.20174333228533195</v>
      </c>
      <c r="C790" s="738" t="s">
        <v>2054</v>
      </c>
      <c r="D790" s="747">
        <f>'[1]PLAN DE DESARROLLO 2024 - 2027'!$M$136</f>
        <v>0.3779372351486594</v>
      </c>
      <c r="E790" s="738" t="s">
        <v>2059</v>
      </c>
      <c r="F790" s="748">
        <f>[2]Hoja1!$B$101</f>
        <v>0.34100862068965521</v>
      </c>
      <c r="G790" s="738" t="s">
        <v>860</v>
      </c>
      <c r="H790" s="738" t="s">
        <v>1315</v>
      </c>
      <c r="I790" s="738"/>
      <c r="J790" s="738" t="s">
        <v>852</v>
      </c>
      <c r="K790" s="749" t="s">
        <v>2256</v>
      </c>
    </row>
    <row r="791" spans="1:11" s="734" customFormat="1" ht="43.2" x14ac:dyDescent="0.3">
      <c r="A791" s="738" t="s">
        <v>2017</v>
      </c>
      <c r="B791" s="750">
        <f>'[1]PLAN DE DESARROLLO 2024 - 2027'!$M$123</f>
        <v>0.20174333228533195</v>
      </c>
      <c r="C791" s="738" t="s">
        <v>2054</v>
      </c>
      <c r="D791" s="747">
        <f>'[1]PLAN DE DESARROLLO 2024 - 2027'!$M$136</f>
        <v>0.3779372351486594</v>
      </c>
      <c r="E791" s="738" t="s">
        <v>2059</v>
      </c>
      <c r="F791" s="748">
        <f>[2]Hoja1!$B$101</f>
        <v>0.34100862068965521</v>
      </c>
      <c r="G791" s="738" t="s">
        <v>861</v>
      </c>
      <c r="H791" s="738" t="s">
        <v>1316</v>
      </c>
      <c r="I791" s="738"/>
      <c r="J791" s="738" t="s">
        <v>852</v>
      </c>
      <c r="K791" s="749" t="s">
        <v>2256</v>
      </c>
    </row>
    <row r="792" spans="1:11" s="734" customFormat="1" ht="28.8" x14ac:dyDescent="0.3">
      <c r="A792" s="738" t="s">
        <v>2017</v>
      </c>
      <c r="B792" s="750">
        <f>'[1]PLAN DE DESARROLLO 2024 - 2027'!$M$123</f>
        <v>0.20174333228533195</v>
      </c>
      <c r="C792" s="738" t="s">
        <v>2054</v>
      </c>
      <c r="D792" s="747">
        <f>'[1]PLAN DE DESARROLLO 2024 - 2027'!$M$136</f>
        <v>0.3779372351486594</v>
      </c>
      <c r="E792" s="738" t="s">
        <v>1808</v>
      </c>
      <c r="F792" s="748">
        <f>[2]Hoja1!$B$115</f>
        <v>9.7500000000000003E-2</v>
      </c>
      <c r="G792" s="738" t="s">
        <v>849</v>
      </c>
      <c r="H792" s="738" t="s">
        <v>1305</v>
      </c>
      <c r="I792" s="738"/>
      <c r="J792" s="738" t="s">
        <v>698</v>
      </c>
      <c r="K792" s="749" t="s">
        <v>2256</v>
      </c>
    </row>
    <row r="793" spans="1:11" s="734" customFormat="1" ht="28.8" x14ac:dyDescent="0.3">
      <c r="A793" s="738" t="s">
        <v>2017</v>
      </c>
      <c r="B793" s="750">
        <f>'[1]PLAN DE DESARROLLO 2024 - 2027'!$M$123</f>
        <v>0.20174333228533195</v>
      </c>
      <c r="C793" s="738" t="s">
        <v>2054</v>
      </c>
      <c r="D793" s="747">
        <f>'[1]PLAN DE DESARROLLO 2024 - 2027'!$M$136</f>
        <v>0.3779372351486594</v>
      </c>
      <c r="E793" s="738" t="s">
        <v>1808</v>
      </c>
      <c r="F793" s="748">
        <f>[2]Hoja1!$B$115</f>
        <v>9.7500000000000003E-2</v>
      </c>
      <c r="G793" s="738" t="s">
        <v>850</v>
      </c>
      <c r="H793" s="738" t="s">
        <v>1306</v>
      </c>
      <c r="I793" s="738"/>
      <c r="J793" s="738" t="s">
        <v>2055</v>
      </c>
      <c r="K793" s="749" t="s">
        <v>2256</v>
      </c>
    </row>
    <row r="794" spans="1:11" s="734" customFormat="1" ht="28.8" x14ac:dyDescent="0.3">
      <c r="A794" s="738" t="s">
        <v>2143</v>
      </c>
      <c r="B794" s="746">
        <f>'[1]PLAN DE DESARROLLO 2024 - 2027'!$M$4</f>
        <v>0.24028917333263158</v>
      </c>
      <c r="C794" s="738" t="s">
        <v>2146</v>
      </c>
      <c r="D794" s="747">
        <f>'[1]PLAN DE DESARROLLO 2024 - 2027'!$M$11</f>
        <v>0.24196521875000004</v>
      </c>
      <c r="E794" s="738" t="s">
        <v>1603</v>
      </c>
      <c r="F794" s="748">
        <f>[2]Hoja1!$B$7</f>
        <v>0.14335000000000001</v>
      </c>
      <c r="G794" s="738" t="s">
        <v>119</v>
      </c>
      <c r="H794" s="738" t="s">
        <v>120</v>
      </c>
      <c r="I794" s="738"/>
      <c r="J794" s="738" t="s">
        <v>12</v>
      </c>
      <c r="K794" s="749" t="s">
        <v>2256</v>
      </c>
    </row>
    <row r="795" spans="1:11" s="734" customFormat="1" ht="28.8" x14ac:dyDescent="0.3">
      <c r="A795" s="738" t="s">
        <v>2143</v>
      </c>
      <c r="B795" s="746">
        <f>'[1]PLAN DE DESARROLLO 2024 - 2027'!$M$4</f>
        <v>0.24028917333263158</v>
      </c>
      <c r="C795" s="738" t="s">
        <v>2146</v>
      </c>
      <c r="D795" s="747">
        <f>'[1]PLAN DE DESARROLLO 2024 - 2027'!$M$11</f>
        <v>0.24196521875000004</v>
      </c>
      <c r="E795" s="738" t="s">
        <v>1603</v>
      </c>
      <c r="F795" s="748">
        <f>[2]Hoja1!$B$7</f>
        <v>0.14335000000000001</v>
      </c>
      <c r="G795" s="738" t="s">
        <v>121</v>
      </c>
      <c r="H795" s="738" t="s">
        <v>122</v>
      </c>
      <c r="I795" s="738"/>
      <c r="J795" s="738" t="s">
        <v>12</v>
      </c>
      <c r="K795" s="749" t="s">
        <v>2256</v>
      </c>
    </row>
    <row r="796" spans="1:11" s="734" customFormat="1" ht="28.8" x14ac:dyDescent="0.3">
      <c r="A796" s="738" t="s">
        <v>2143</v>
      </c>
      <c r="B796" s="746">
        <f>'[1]PLAN DE DESARROLLO 2024 - 2027'!$M$4</f>
        <v>0.24028917333263158</v>
      </c>
      <c r="C796" s="738" t="s">
        <v>2146</v>
      </c>
      <c r="D796" s="747">
        <f>'[1]PLAN DE DESARROLLO 2024 - 2027'!$M$11</f>
        <v>0.24196521875000004</v>
      </c>
      <c r="E796" s="738" t="s">
        <v>1603</v>
      </c>
      <c r="F796" s="748">
        <f>[2]Hoja1!$B$7</f>
        <v>0.14335000000000001</v>
      </c>
      <c r="G796" s="738" t="s">
        <v>123</v>
      </c>
      <c r="H796" s="738" t="s">
        <v>124</v>
      </c>
      <c r="I796" s="738"/>
      <c r="J796" s="738" t="s">
        <v>12</v>
      </c>
      <c r="K796" s="749" t="s">
        <v>2256</v>
      </c>
    </row>
    <row r="797" spans="1:11" s="734" customFormat="1" ht="43.2" x14ac:dyDescent="0.3">
      <c r="A797" s="738" t="s">
        <v>2143</v>
      </c>
      <c r="B797" s="746">
        <f>'[1]PLAN DE DESARROLLO 2024 - 2027'!$M$4</f>
        <v>0.24028917333263158</v>
      </c>
      <c r="C797" s="738" t="s">
        <v>2146</v>
      </c>
      <c r="D797" s="747">
        <f>'[1]PLAN DE DESARROLLO 2024 - 2027'!$M$11</f>
        <v>0.24196521875000004</v>
      </c>
      <c r="E797" s="738" t="s">
        <v>1603</v>
      </c>
      <c r="F797" s="748">
        <f>[2]Hoja1!$B$7</f>
        <v>0.14335000000000001</v>
      </c>
      <c r="G797" s="738" t="s">
        <v>125</v>
      </c>
      <c r="H797" s="738" t="s">
        <v>126</v>
      </c>
      <c r="I797" s="738"/>
      <c r="J797" s="738" t="s">
        <v>12</v>
      </c>
      <c r="K797" s="749" t="s">
        <v>2256</v>
      </c>
    </row>
    <row r="798" spans="1:11" s="734" customFormat="1" ht="28.8" x14ac:dyDescent="0.3">
      <c r="A798" s="738" t="s">
        <v>2017</v>
      </c>
      <c r="B798" s="750">
        <f>'[1]PLAN DE DESARROLLO 2024 - 2027'!$M$123</f>
        <v>0.20174333228533195</v>
      </c>
      <c r="C798" s="738" t="s">
        <v>2054</v>
      </c>
      <c r="D798" s="747">
        <f>'[1]PLAN DE DESARROLLO 2024 - 2027'!$M$136</f>
        <v>0.3779372351486594</v>
      </c>
      <c r="E798" s="738" t="s">
        <v>1810</v>
      </c>
      <c r="F798" s="748">
        <f>[2]Hoja1!$B$129</f>
        <v>0.14285714285714285</v>
      </c>
      <c r="G798" s="738" t="s">
        <v>862</v>
      </c>
      <c r="H798" s="738" t="s">
        <v>1317</v>
      </c>
      <c r="I798" s="738"/>
      <c r="J798" s="738" t="s">
        <v>863</v>
      </c>
      <c r="K798" s="749" t="s">
        <v>2256</v>
      </c>
    </row>
    <row r="799" spans="1:11" s="734" customFormat="1" ht="28.8" x14ac:dyDescent="0.3">
      <c r="A799" s="738" t="s">
        <v>2017</v>
      </c>
      <c r="B799" s="750">
        <f>'[1]PLAN DE DESARROLLO 2024 - 2027'!$M$123</f>
        <v>0.20174333228533195</v>
      </c>
      <c r="C799" s="738" t="s">
        <v>2054</v>
      </c>
      <c r="D799" s="747">
        <f>'[1]PLAN DE DESARROLLO 2024 - 2027'!$M$136</f>
        <v>0.3779372351486594</v>
      </c>
      <c r="E799" s="738" t="s">
        <v>1809</v>
      </c>
      <c r="F799" s="748">
        <f>[2]Hoja1!$B$135</f>
        <v>0.62548089591567846</v>
      </c>
      <c r="G799" s="738" t="s">
        <v>856</v>
      </c>
      <c r="H799" s="738" t="s">
        <v>1311</v>
      </c>
      <c r="I799" s="738"/>
      <c r="J799" s="738" t="s">
        <v>2058</v>
      </c>
      <c r="K799" s="749" t="s">
        <v>2256</v>
      </c>
    </row>
    <row r="800" spans="1:11" s="734" customFormat="1" ht="28.8" x14ac:dyDescent="0.3">
      <c r="A800" s="738" t="s">
        <v>2017</v>
      </c>
      <c r="B800" s="750">
        <f>'[1]PLAN DE DESARROLLO 2024 - 2027'!$M$123</f>
        <v>0.20174333228533195</v>
      </c>
      <c r="C800" s="738" t="s">
        <v>2054</v>
      </c>
      <c r="D800" s="747">
        <f>'[1]PLAN DE DESARROLLO 2024 - 2027'!$M$136</f>
        <v>0.3779372351486594</v>
      </c>
      <c r="E800" s="738" t="s">
        <v>1809</v>
      </c>
      <c r="F800" s="748">
        <f>[2]Hoja1!$B$135</f>
        <v>0.62548089591567846</v>
      </c>
      <c r="G800" s="738" t="s">
        <v>857</v>
      </c>
      <c r="H800" s="738" t="s">
        <v>1312</v>
      </c>
      <c r="I800" s="738"/>
      <c r="J800" s="738" t="s">
        <v>852</v>
      </c>
      <c r="K800" s="749" t="s">
        <v>2256</v>
      </c>
    </row>
    <row r="801" spans="1:11" s="734" customFormat="1" ht="28.8" x14ac:dyDescent="0.3">
      <c r="A801" s="738" t="s">
        <v>2110</v>
      </c>
      <c r="B801" s="750">
        <f>'[1]PLAN DE DESARROLLO 2024 - 2027'!$M$161</f>
        <v>0.24647581985093744</v>
      </c>
      <c r="C801" s="738" t="s">
        <v>2128</v>
      </c>
      <c r="D801" s="747">
        <f>'[1]PLAN DE DESARROLLO 2024 - 2027'!$M$178</f>
        <v>0.30658085759781617</v>
      </c>
      <c r="E801" s="738" t="s">
        <v>1830</v>
      </c>
      <c r="F801" s="748">
        <f>[2]Hoja1!$B$23</f>
        <v>0.13625000000000004</v>
      </c>
      <c r="G801" s="738" t="s">
        <v>1005</v>
      </c>
      <c r="H801" s="738" t="s">
        <v>1205</v>
      </c>
      <c r="I801" s="738"/>
      <c r="J801" s="738" t="s">
        <v>998</v>
      </c>
      <c r="K801" s="749" t="s">
        <v>2256</v>
      </c>
    </row>
    <row r="802" spans="1:11" s="734" customFormat="1" ht="43.2" x14ac:dyDescent="0.3">
      <c r="A802" s="738" t="s">
        <v>2110</v>
      </c>
      <c r="B802" s="750">
        <f>'[1]PLAN DE DESARROLLO 2024 - 2027'!$M$161</f>
        <v>0.24647581985093744</v>
      </c>
      <c r="C802" s="738" t="s">
        <v>2128</v>
      </c>
      <c r="D802" s="747">
        <f>'[1]PLAN DE DESARROLLO 2024 - 2027'!$M$178</f>
        <v>0.30658085759781617</v>
      </c>
      <c r="E802" s="738" t="s">
        <v>1830</v>
      </c>
      <c r="F802" s="748">
        <f>[2]Hoja1!$B$23</f>
        <v>0.13625000000000004</v>
      </c>
      <c r="G802" s="738" t="s">
        <v>1006</v>
      </c>
      <c r="H802" s="738" t="s">
        <v>1206</v>
      </c>
      <c r="I802" s="738"/>
      <c r="J802" s="738" t="s">
        <v>998</v>
      </c>
      <c r="K802" s="749" t="s">
        <v>2256</v>
      </c>
    </row>
    <row r="803" spans="1:11" s="734" customFormat="1" ht="28.8" x14ac:dyDescent="0.3">
      <c r="A803" s="738" t="s">
        <v>2110</v>
      </c>
      <c r="B803" s="750">
        <f>'[1]PLAN DE DESARROLLO 2024 - 2027'!$M$161</f>
        <v>0.24647581985093744</v>
      </c>
      <c r="C803" s="738" t="s">
        <v>2128</v>
      </c>
      <c r="D803" s="747">
        <f>'[1]PLAN DE DESARROLLO 2024 - 2027'!$M$178</f>
        <v>0.30658085759781617</v>
      </c>
      <c r="E803" s="738" t="s">
        <v>1830</v>
      </c>
      <c r="F803" s="748">
        <f>[2]Hoja1!$B$23</f>
        <v>0.13625000000000004</v>
      </c>
      <c r="G803" s="738" t="s">
        <v>1007</v>
      </c>
      <c r="H803" s="738" t="s">
        <v>1207</v>
      </c>
      <c r="I803" s="738"/>
      <c r="J803" s="738" t="s">
        <v>998</v>
      </c>
      <c r="K803" s="749" t="s">
        <v>2256</v>
      </c>
    </row>
    <row r="804" spans="1:11" s="734" customFormat="1" ht="28.8" x14ac:dyDescent="0.3">
      <c r="A804" s="738" t="s">
        <v>2110</v>
      </c>
      <c r="B804" s="750">
        <f>'[1]PLAN DE DESARROLLO 2024 - 2027'!$M$161</f>
        <v>0.24647581985093744</v>
      </c>
      <c r="C804" s="738" t="s">
        <v>2128</v>
      </c>
      <c r="D804" s="747">
        <f>'[1]PLAN DE DESARROLLO 2024 - 2027'!$M$178</f>
        <v>0.30658085759781617</v>
      </c>
      <c r="E804" s="738" t="s">
        <v>1830</v>
      </c>
      <c r="F804" s="748">
        <f>[2]Hoja1!$B$23</f>
        <v>0.13625000000000004</v>
      </c>
      <c r="G804" s="738" t="s">
        <v>1008</v>
      </c>
      <c r="H804" s="738" t="s">
        <v>1208</v>
      </c>
      <c r="I804" s="738"/>
      <c r="J804" s="738" t="s">
        <v>998</v>
      </c>
      <c r="K804" s="749" t="s">
        <v>2256</v>
      </c>
    </row>
    <row r="805" spans="1:11" s="734" customFormat="1" ht="28.8" x14ac:dyDescent="0.3">
      <c r="A805" s="738" t="s">
        <v>2110</v>
      </c>
      <c r="B805" s="750">
        <f>'[1]PLAN DE DESARROLLO 2024 - 2027'!$M$161</f>
        <v>0.24647581985093744</v>
      </c>
      <c r="C805" s="738" t="s">
        <v>2128</v>
      </c>
      <c r="D805" s="747">
        <f>'[1]PLAN DE DESARROLLO 2024 - 2027'!$M$178</f>
        <v>0.30658085759781617</v>
      </c>
      <c r="E805" s="738" t="s">
        <v>1830</v>
      </c>
      <c r="F805" s="748">
        <f>[2]Hoja1!$B$23</f>
        <v>0.13625000000000004</v>
      </c>
      <c r="G805" s="738" t="s">
        <v>1545</v>
      </c>
      <c r="H805" s="738" t="s">
        <v>1544</v>
      </c>
      <c r="I805" s="738"/>
      <c r="J805" s="738" t="s">
        <v>998</v>
      </c>
      <c r="K805" s="749" t="s">
        <v>2256</v>
      </c>
    </row>
    <row r="806" spans="1:11" s="734" customFormat="1" ht="28.8" x14ac:dyDescent="0.3">
      <c r="A806" s="738" t="s">
        <v>2197</v>
      </c>
      <c r="B806" s="746">
        <f>'[1]PLAN DE DESARROLLO 2024 - 2027'!$M$46</f>
        <v>0.25251661967012345</v>
      </c>
      <c r="C806" s="738" t="s">
        <v>2201</v>
      </c>
      <c r="D806" s="747">
        <f>'[1]PLAN DE DESARROLLO 2024 - 2027'!$M$73</f>
        <v>0.25984040977313172</v>
      </c>
      <c r="E806" s="738" t="s">
        <v>2239</v>
      </c>
      <c r="F806" s="748">
        <f>[2]Hoja1!$B$24</f>
        <v>0.38375000000000004</v>
      </c>
      <c r="G806" s="738" t="s">
        <v>602</v>
      </c>
      <c r="H806" s="738" t="s">
        <v>603</v>
      </c>
      <c r="I806" s="738"/>
      <c r="J806" s="738" t="s">
        <v>565</v>
      </c>
      <c r="K806" s="749" t="s">
        <v>2256</v>
      </c>
    </row>
    <row r="807" spans="1:11" s="734" customFormat="1" ht="28.8" x14ac:dyDescent="0.3">
      <c r="A807" s="738" t="s">
        <v>2197</v>
      </c>
      <c r="B807" s="746">
        <f>'[1]PLAN DE DESARROLLO 2024 - 2027'!$M$46</f>
        <v>0.25251661967012345</v>
      </c>
      <c r="C807" s="738" t="s">
        <v>2201</v>
      </c>
      <c r="D807" s="747">
        <f>'[1]PLAN DE DESARROLLO 2024 - 2027'!$M$73</f>
        <v>0.25984040977313172</v>
      </c>
      <c r="E807" s="738" t="s">
        <v>2239</v>
      </c>
      <c r="F807" s="748">
        <f>[2]Hoja1!$B$24</f>
        <v>0.38375000000000004</v>
      </c>
      <c r="G807" s="738" t="s">
        <v>604</v>
      </c>
      <c r="H807" s="738" t="s">
        <v>605</v>
      </c>
      <c r="I807" s="738"/>
      <c r="J807" s="738" t="s">
        <v>565</v>
      </c>
      <c r="K807" s="749" t="s">
        <v>2256</v>
      </c>
    </row>
    <row r="808" spans="1:11" s="734" customFormat="1" ht="28.8" x14ac:dyDescent="0.3">
      <c r="A808" s="738" t="s">
        <v>2197</v>
      </c>
      <c r="B808" s="746">
        <f>'[1]PLAN DE DESARROLLO 2024 - 2027'!$M$46</f>
        <v>0.25251661967012345</v>
      </c>
      <c r="C808" s="738" t="s">
        <v>2201</v>
      </c>
      <c r="D808" s="747">
        <f>'[1]PLAN DE DESARROLLO 2024 - 2027'!$M$73</f>
        <v>0.25984040977313172</v>
      </c>
      <c r="E808" s="738" t="s">
        <v>2239</v>
      </c>
      <c r="F808" s="748">
        <f>[2]Hoja1!$B$24</f>
        <v>0.38375000000000004</v>
      </c>
      <c r="G808" s="738" t="s">
        <v>606</v>
      </c>
      <c r="H808" s="738" t="s">
        <v>607</v>
      </c>
      <c r="I808" s="738"/>
      <c r="J808" s="738" t="s">
        <v>565</v>
      </c>
      <c r="K808" s="749" t="s">
        <v>2256</v>
      </c>
    </row>
    <row r="809" spans="1:11" s="734" customFormat="1" ht="43.2" x14ac:dyDescent="0.3">
      <c r="A809" s="738" t="s">
        <v>2197</v>
      </c>
      <c r="B809" s="746">
        <f>'[1]PLAN DE DESARROLLO 2024 - 2027'!$M$46</f>
        <v>0.25251661967012345</v>
      </c>
      <c r="C809" s="738" t="s">
        <v>2201</v>
      </c>
      <c r="D809" s="747">
        <f>'[1]PLAN DE DESARROLLO 2024 - 2027'!$M$73</f>
        <v>0.25984040977313172</v>
      </c>
      <c r="E809" s="738" t="s">
        <v>2239</v>
      </c>
      <c r="F809" s="748">
        <f>[2]Hoja1!$B$24</f>
        <v>0.38375000000000004</v>
      </c>
      <c r="G809" s="738" t="s">
        <v>608</v>
      </c>
      <c r="H809" s="738" t="s">
        <v>609</v>
      </c>
      <c r="I809" s="738"/>
      <c r="J809" s="738" t="s">
        <v>565</v>
      </c>
      <c r="K809" s="749" t="s">
        <v>2256</v>
      </c>
    </row>
    <row r="810" spans="1:11" s="734" customFormat="1" ht="28.8" x14ac:dyDescent="0.3">
      <c r="A810" s="738" t="s">
        <v>2197</v>
      </c>
      <c r="B810" s="746">
        <f>'[1]PLAN DE DESARROLLO 2024 - 2027'!$M$46</f>
        <v>0.25251661967012345</v>
      </c>
      <c r="C810" s="738" t="s">
        <v>2201</v>
      </c>
      <c r="D810" s="747">
        <f>'[1]PLAN DE DESARROLLO 2024 - 2027'!$M$73</f>
        <v>0.25984040977313172</v>
      </c>
      <c r="E810" s="738" t="s">
        <v>2239</v>
      </c>
      <c r="F810" s="748">
        <f>[2]Hoja1!$B$24</f>
        <v>0.38375000000000004</v>
      </c>
      <c r="G810" s="738" t="s">
        <v>610</v>
      </c>
      <c r="H810" s="738" t="s">
        <v>611</v>
      </c>
      <c r="I810" s="738"/>
      <c r="J810" s="738" t="s">
        <v>565</v>
      </c>
      <c r="K810" s="749" t="s">
        <v>2256</v>
      </c>
    </row>
    <row r="811" spans="1:11" s="734" customFormat="1" x14ac:dyDescent="0.3">
      <c r="A811" s="738" t="s">
        <v>2068</v>
      </c>
      <c r="B811" s="750">
        <f>'[1]PLAN DE DESARROLLO 2024 - 2027'!$M$92</f>
        <v>0.25050860314981654</v>
      </c>
      <c r="C811" s="738" t="s">
        <v>2097</v>
      </c>
      <c r="D811" s="747">
        <f>'[1]PLAN DE DESARROLLO 2024 - 2027'!$M$116</f>
        <v>0.21525263088160634</v>
      </c>
      <c r="E811" s="738" t="s">
        <v>2102</v>
      </c>
      <c r="F811" s="748">
        <f>[2]Hoja1!$B$25</f>
        <v>0.33749999999999997</v>
      </c>
      <c r="G811" s="738" t="s">
        <v>787</v>
      </c>
      <c r="H811" s="738" t="s">
        <v>1481</v>
      </c>
      <c r="I811" s="738"/>
      <c r="J811" s="738" t="s">
        <v>767</v>
      </c>
      <c r="K811" s="749" t="s">
        <v>2256</v>
      </c>
    </row>
    <row r="812" spans="1:11" s="734" customFormat="1" ht="28.8" x14ac:dyDescent="0.3">
      <c r="A812" s="738" t="s">
        <v>2068</v>
      </c>
      <c r="B812" s="750">
        <f>'[1]PLAN DE DESARROLLO 2024 - 2027'!$M$92</f>
        <v>0.25050860314981654</v>
      </c>
      <c r="C812" s="738" t="s">
        <v>2097</v>
      </c>
      <c r="D812" s="747">
        <f>'[1]PLAN DE DESARROLLO 2024 - 2027'!$M$116</f>
        <v>0.21525263088160634</v>
      </c>
      <c r="E812" s="738" t="s">
        <v>2102</v>
      </c>
      <c r="F812" s="748">
        <f>[2]Hoja1!$B$25</f>
        <v>0.33749999999999997</v>
      </c>
      <c r="G812" s="738" t="s">
        <v>788</v>
      </c>
      <c r="H812" s="738" t="s">
        <v>1482</v>
      </c>
      <c r="I812" s="738"/>
      <c r="J812" s="738" t="s">
        <v>2103</v>
      </c>
      <c r="K812" s="749" t="s">
        <v>2256</v>
      </c>
    </row>
    <row r="813" spans="1:11" s="734" customFormat="1" ht="28.8" x14ac:dyDescent="0.3">
      <c r="A813" s="738" t="s">
        <v>2068</v>
      </c>
      <c r="B813" s="750">
        <f>'[1]PLAN DE DESARROLLO 2024 - 2027'!$M$92</f>
        <v>0.25050860314981654</v>
      </c>
      <c r="C813" s="738" t="s">
        <v>2097</v>
      </c>
      <c r="D813" s="747">
        <f>'[1]PLAN DE DESARROLLO 2024 - 2027'!$M$116</f>
        <v>0.21525263088160634</v>
      </c>
      <c r="E813" s="738" t="s">
        <v>2102</v>
      </c>
      <c r="F813" s="748">
        <f>[2]Hoja1!$B$25</f>
        <v>0.33749999999999997</v>
      </c>
      <c r="G813" s="738" t="s">
        <v>789</v>
      </c>
      <c r="H813" s="738" t="s">
        <v>1483</v>
      </c>
      <c r="I813" s="738"/>
      <c r="J813" s="738" t="s">
        <v>2104</v>
      </c>
      <c r="K813" s="749" t="s">
        <v>2256</v>
      </c>
    </row>
    <row r="814" spans="1:11" s="734" customFormat="1" ht="43.2" x14ac:dyDescent="0.3">
      <c r="A814" s="738" t="s">
        <v>2068</v>
      </c>
      <c r="B814" s="750">
        <f>'[1]PLAN DE DESARROLLO 2024 - 2027'!$M$92</f>
        <v>0.25050860314981654</v>
      </c>
      <c r="C814" s="738" t="s">
        <v>2097</v>
      </c>
      <c r="D814" s="747">
        <f>'[1]PLAN DE DESARROLLO 2024 - 2027'!$M$116</f>
        <v>0.21525263088160634</v>
      </c>
      <c r="E814" s="738" t="s">
        <v>2099</v>
      </c>
      <c r="F814" s="748">
        <f>[2]Hoja1!$B$63</f>
        <v>0.1201949616648412</v>
      </c>
      <c r="G814" s="738" t="s">
        <v>772</v>
      </c>
      <c r="H814" s="738" t="s">
        <v>1469</v>
      </c>
      <c r="I814" s="738"/>
      <c r="J814" s="738" t="s">
        <v>767</v>
      </c>
      <c r="K814" s="749" t="s">
        <v>2256</v>
      </c>
    </row>
    <row r="815" spans="1:11" s="734" customFormat="1" ht="43.2" x14ac:dyDescent="0.3">
      <c r="A815" s="738" t="s">
        <v>2068</v>
      </c>
      <c r="B815" s="750">
        <f>'[1]PLAN DE DESARROLLO 2024 - 2027'!$M$92</f>
        <v>0.25050860314981654</v>
      </c>
      <c r="C815" s="738" t="s">
        <v>2097</v>
      </c>
      <c r="D815" s="747">
        <f>'[1]PLAN DE DESARROLLO 2024 - 2027'!$M$116</f>
        <v>0.21525263088160634</v>
      </c>
      <c r="E815" s="738" t="s">
        <v>2099</v>
      </c>
      <c r="F815" s="748">
        <f>[2]Hoja1!$B$63</f>
        <v>0.1201949616648412</v>
      </c>
      <c r="G815" s="738" t="s">
        <v>773</v>
      </c>
      <c r="H815" s="738" t="s">
        <v>1470</v>
      </c>
      <c r="I815" s="738"/>
      <c r="J815" s="738" t="s">
        <v>767</v>
      </c>
      <c r="K815" s="749" t="s">
        <v>2256</v>
      </c>
    </row>
    <row r="816" spans="1:11" s="734" customFormat="1" ht="43.2" x14ac:dyDescent="0.3">
      <c r="A816" s="738" t="s">
        <v>2068</v>
      </c>
      <c r="B816" s="750">
        <f>'[1]PLAN DE DESARROLLO 2024 - 2027'!$M$92</f>
        <v>0.25050860314981654</v>
      </c>
      <c r="C816" s="738" t="s">
        <v>2097</v>
      </c>
      <c r="D816" s="747">
        <f>'[1]PLAN DE DESARROLLO 2024 - 2027'!$M$116</f>
        <v>0.21525263088160634</v>
      </c>
      <c r="E816" s="738" t="s">
        <v>2099</v>
      </c>
      <c r="F816" s="748">
        <f>[2]Hoja1!$B$63</f>
        <v>0.1201949616648412</v>
      </c>
      <c r="G816" s="738" t="s">
        <v>774</v>
      </c>
      <c r="H816" s="738" t="s">
        <v>1471</v>
      </c>
      <c r="I816" s="738"/>
      <c r="J816" s="738" t="s">
        <v>767</v>
      </c>
      <c r="K816" s="749" t="s">
        <v>2256</v>
      </c>
    </row>
    <row r="817" spans="1:11" s="734" customFormat="1" ht="28.8" x14ac:dyDescent="0.3">
      <c r="A817" s="738" t="s">
        <v>2197</v>
      </c>
      <c r="B817" s="746">
        <f>'[1]PLAN DE DESARROLLO 2024 - 2027'!$M$46</f>
        <v>0.25251661967012345</v>
      </c>
      <c r="C817" s="738" t="s">
        <v>2201</v>
      </c>
      <c r="D817" s="747">
        <f>'[1]PLAN DE DESARROLLO 2024 - 2027'!$M$73</f>
        <v>0.25984040977313172</v>
      </c>
      <c r="E817" s="738" t="s">
        <v>2236</v>
      </c>
      <c r="F817" s="748">
        <f>[2]Hoja1!$B$42</f>
        <v>0.59549999999999992</v>
      </c>
      <c r="G817" s="738" t="s">
        <v>580</v>
      </c>
      <c r="H817" s="738" t="s">
        <v>581</v>
      </c>
      <c r="I817" s="738"/>
      <c r="J817" s="738" t="s">
        <v>565</v>
      </c>
      <c r="K817" s="749" t="s">
        <v>2256</v>
      </c>
    </row>
    <row r="818" spans="1:11" s="734" customFormat="1" ht="28.8" x14ac:dyDescent="0.3">
      <c r="A818" s="738" t="s">
        <v>2197</v>
      </c>
      <c r="B818" s="746">
        <f>'[1]PLAN DE DESARROLLO 2024 - 2027'!$M$46</f>
        <v>0.25251661967012345</v>
      </c>
      <c r="C818" s="738" t="s">
        <v>2201</v>
      </c>
      <c r="D818" s="747">
        <f>'[1]PLAN DE DESARROLLO 2024 - 2027'!$M$73</f>
        <v>0.25984040977313172</v>
      </c>
      <c r="E818" s="738" t="s">
        <v>2236</v>
      </c>
      <c r="F818" s="748">
        <f>[2]Hoja1!$B$42</f>
        <v>0.59549999999999992</v>
      </c>
      <c r="G818" s="738" t="s">
        <v>582</v>
      </c>
      <c r="H818" s="738" t="s">
        <v>583</v>
      </c>
      <c r="I818" s="738"/>
      <c r="J818" s="738" t="s">
        <v>565</v>
      </c>
      <c r="K818" s="749" t="s">
        <v>2256</v>
      </c>
    </row>
    <row r="819" spans="1:11" s="734" customFormat="1" ht="28.8" x14ac:dyDescent="0.3">
      <c r="A819" s="738" t="s">
        <v>2197</v>
      </c>
      <c r="B819" s="746">
        <f>'[1]PLAN DE DESARROLLO 2024 - 2027'!$M$46</f>
        <v>0.25251661967012345</v>
      </c>
      <c r="C819" s="738" t="s">
        <v>2201</v>
      </c>
      <c r="D819" s="747">
        <f>'[1]PLAN DE DESARROLLO 2024 - 2027'!$M$73</f>
        <v>0.25984040977313172</v>
      </c>
      <c r="E819" s="738" t="s">
        <v>2236</v>
      </c>
      <c r="F819" s="748">
        <f>[2]Hoja1!$B$42</f>
        <v>0.59549999999999992</v>
      </c>
      <c r="G819" s="738" t="s">
        <v>584</v>
      </c>
      <c r="H819" s="738" t="s">
        <v>585</v>
      </c>
      <c r="I819" s="738"/>
      <c r="J819" s="738" t="s">
        <v>565</v>
      </c>
      <c r="K819" s="749" t="s">
        <v>2256</v>
      </c>
    </row>
    <row r="820" spans="1:11" s="734" customFormat="1" ht="43.2" x14ac:dyDescent="0.3">
      <c r="A820" s="738" t="s">
        <v>2197</v>
      </c>
      <c r="B820" s="746">
        <f>'[1]PLAN DE DESARROLLO 2024 - 2027'!$M$46</f>
        <v>0.25251661967012345</v>
      </c>
      <c r="C820" s="738" t="s">
        <v>2201</v>
      </c>
      <c r="D820" s="747">
        <f>'[1]PLAN DE DESARROLLO 2024 - 2027'!$M$73</f>
        <v>0.25984040977313172</v>
      </c>
      <c r="E820" s="738" t="s">
        <v>2236</v>
      </c>
      <c r="F820" s="748">
        <f>[2]Hoja1!$B$42</f>
        <v>0.59549999999999992</v>
      </c>
      <c r="G820" s="738" t="s">
        <v>586</v>
      </c>
      <c r="H820" s="738" t="s">
        <v>587</v>
      </c>
      <c r="I820" s="738"/>
      <c r="J820" s="738" t="s">
        <v>565</v>
      </c>
      <c r="K820" s="749" t="s">
        <v>2256</v>
      </c>
    </row>
    <row r="821" spans="1:11" s="734" customFormat="1" ht="28.8" x14ac:dyDescent="0.3">
      <c r="A821" s="738" t="s">
        <v>2110</v>
      </c>
      <c r="B821" s="750">
        <f>'[1]PLAN DE DESARROLLO 2024 - 2027'!$M$161</f>
        <v>0.24647581985093744</v>
      </c>
      <c r="C821" s="738" t="s">
        <v>2111</v>
      </c>
      <c r="D821" s="747">
        <f>'[1]PLAN DE DESARROLLO 2024 - 2027'!$M$162</f>
        <v>0.208125</v>
      </c>
      <c r="E821" s="738" t="s">
        <v>1822</v>
      </c>
      <c r="F821" s="748">
        <f>[2]Hoja1!$B$27</f>
        <v>0.40166666666666662</v>
      </c>
      <c r="G821" s="738" t="s">
        <v>961</v>
      </c>
      <c r="H821" s="738" t="s">
        <v>1167</v>
      </c>
      <c r="I821" s="738"/>
      <c r="J821" s="738" t="s">
        <v>2121</v>
      </c>
      <c r="K821" s="749" t="s">
        <v>2256</v>
      </c>
    </row>
    <row r="822" spans="1:11" s="734" customFormat="1" ht="28.8" x14ac:dyDescent="0.3">
      <c r="A822" s="738" t="s">
        <v>2110</v>
      </c>
      <c r="B822" s="750">
        <f>'[1]PLAN DE DESARROLLO 2024 - 2027'!$M$161</f>
        <v>0.24647581985093744</v>
      </c>
      <c r="C822" s="738" t="s">
        <v>2111</v>
      </c>
      <c r="D822" s="747">
        <f>'[1]PLAN DE DESARROLLO 2024 - 2027'!$M$162</f>
        <v>0.208125</v>
      </c>
      <c r="E822" s="738" t="s">
        <v>1822</v>
      </c>
      <c r="F822" s="748">
        <f>[2]Hoja1!$B$27</f>
        <v>0.40166666666666662</v>
      </c>
      <c r="G822" s="738" t="s">
        <v>963</v>
      </c>
      <c r="H822" s="738" t="s">
        <v>1168</v>
      </c>
      <c r="I822" s="738"/>
      <c r="J822" s="738" t="s">
        <v>2122</v>
      </c>
      <c r="K822" s="749" t="s">
        <v>2256</v>
      </c>
    </row>
    <row r="823" spans="1:11" s="734" customFormat="1" ht="28.8" x14ac:dyDescent="0.3">
      <c r="A823" s="738" t="s">
        <v>2110</v>
      </c>
      <c r="B823" s="750">
        <f>'[1]PLAN DE DESARROLLO 2024 - 2027'!$M$161</f>
        <v>0.24647581985093744</v>
      </c>
      <c r="C823" s="738" t="s">
        <v>2111</v>
      </c>
      <c r="D823" s="747">
        <f>'[1]PLAN DE DESARROLLO 2024 - 2027'!$M$162</f>
        <v>0.208125</v>
      </c>
      <c r="E823" s="738" t="s">
        <v>1822</v>
      </c>
      <c r="F823" s="748">
        <f>[2]Hoja1!$B$27</f>
        <v>0.40166666666666662</v>
      </c>
      <c r="G823" s="738" t="s">
        <v>965</v>
      </c>
      <c r="H823" s="738" t="s">
        <v>1169</v>
      </c>
      <c r="I823" s="738"/>
      <c r="J823" s="738" t="s">
        <v>2122</v>
      </c>
      <c r="K823" s="749" t="s">
        <v>2256</v>
      </c>
    </row>
    <row r="824" spans="1:11" s="734" customFormat="1" ht="28.8" x14ac:dyDescent="0.3">
      <c r="A824" s="738" t="s">
        <v>2110</v>
      </c>
      <c r="B824" s="750">
        <f>'[1]PLAN DE DESARROLLO 2024 - 2027'!$M$161</f>
        <v>0.24647581985093744</v>
      </c>
      <c r="C824" s="738" t="s">
        <v>2111</v>
      </c>
      <c r="D824" s="747">
        <f>'[1]PLAN DE DESARROLLO 2024 - 2027'!$M$162</f>
        <v>0.208125</v>
      </c>
      <c r="E824" s="738" t="s">
        <v>1822</v>
      </c>
      <c r="F824" s="748">
        <f>[2]Hoja1!$B$27</f>
        <v>0.40166666666666662</v>
      </c>
      <c r="G824" s="738" t="s">
        <v>966</v>
      </c>
      <c r="H824" s="738" t="s">
        <v>1170</v>
      </c>
      <c r="I824" s="738"/>
      <c r="J824" s="738" t="s">
        <v>2122</v>
      </c>
      <c r="K824" s="749" t="s">
        <v>2256</v>
      </c>
    </row>
    <row r="825" spans="1:11" s="734" customFormat="1" ht="43.2" x14ac:dyDescent="0.3">
      <c r="A825" s="738" t="s">
        <v>2143</v>
      </c>
      <c r="B825" s="746">
        <f>'[1]PLAN DE DESARROLLO 2024 - 2027'!$M$4</f>
        <v>0.24028917333263158</v>
      </c>
      <c r="C825" s="738" t="s">
        <v>2146</v>
      </c>
      <c r="D825" s="747">
        <f>'[1]PLAN DE DESARROLLO 2024 - 2027'!$M$11</f>
        <v>0.24196521875000004</v>
      </c>
      <c r="E825" s="738" t="s">
        <v>1603</v>
      </c>
      <c r="F825" s="748">
        <f>[2]Hoja1!$B$7</f>
        <v>0.14335000000000001</v>
      </c>
      <c r="G825" s="738" t="s">
        <v>127</v>
      </c>
      <c r="H825" s="738" t="s">
        <v>128</v>
      </c>
      <c r="I825" s="738"/>
      <c r="J825" s="738" t="s">
        <v>12</v>
      </c>
      <c r="K825" s="749" t="s">
        <v>2256</v>
      </c>
    </row>
    <row r="826" spans="1:11" s="734" customFormat="1" ht="28.8" x14ac:dyDescent="0.3">
      <c r="A826" s="738" t="s">
        <v>2143</v>
      </c>
      <c r="B826" s="746">
        <f>'[1]PLAN DE DESARROLLO 2024 - 2027'!$M$4</f>
        <v>0.24028917333263158</v>
      </c>
      <c r="C826" s="738" t="s">
        <v>2146</v>
      </c>
      <c r="D826" s="747">
        <f>'[1]PLAN DE DESARROLLO 2024 - 2027'!$M$11</f>
        <v>0.24196521875000004</v>
      </c>
      <c r="E826" s="738" t="s">
        <v>1603</v>
      </c>
      <c r="F826" s="748">
        <f>[2]Hoja1!$B$7</f>
        <v>0.14335000000000001</v>
      </c>
      <c r="G826" s="738" t="s">
        <v>129</v>
      </c>
      <c r="H826" s="738" t="s">
        <v>130</v>
      </c>
      <c r="I826" s="738"/>
      <c r="J826" s="738" t="s">
        <v>12</v>
      </c>
      <c r="K826" s="749" t="s">
        <v>2256</v>
      </c>
    </row>
    <row r="827" spans="1:11" s="734" customFormat="1" ht="28.8" x14ac:dyDescent="0.3">
      <c r="A827" s="738" t="s">
        <v>2143</v>
      </c>
      <c r="B827" s="746">
        <f>'[1]PLAN DE DESARROLLO 2024 - 2027'!$M$4</f>
        <v>0.24028917333263158</v>
      </c>
      <c r="C827" s="738" t="s">
        <v>2146</v>
      </c>
      <c r="D827" s="747">
        <f>'[1]PLAN DE DESARROLLO 2024 - 2027'!$M$11</f>
        <v>0.24196521875000004</v>
      </c>
      <c r="E827" s="738" t="s">
        <v>1603</v>
      </c>
      <c r="F827" s="748">
        <f>[2]Hoja1!$B$7</f>
        <v>0.14335000000000001</v>
      </c>
      <c r="G827" s="738" t="s">
        <v>131</v>
      </c>
      <c r="H827" s="738" t="s">
        <v>132</v>
      </c>
      <c r="I827" s="738"/>
      <c r="J827" s="738" t="s">
        <v>12</v>
      </c>
      <c r="K827" s="749" t="s">
        <v>2256</v>
      </c>
    </row>
    <row r="828" spans="1:11" s="734" customFormat="1" ht="28.8" x14ac:dyDescent="0.3">
      <c r="A828" s="738" t="s">
        <v>2143</v>
      </c>
      <c r="B828" s="746">
        <f>'[1]PLAN DE DESARROLLO 2024 - 2027'!$M$4</f>
        <v>0.24028917333263158</v>
      </c>
      <c r="C828" s="738" t="s">
        <v>2146</v>
      </c>
      <c r="D828" s="747">
        <f>'[1]PLAN DE DESARROLLO 2024 - 2027'!$M$11</f>
        <v>0.24196521875000004</v>
      </c>
      <c r="E828" s="738" t="s">
        <v>1603</v>
      </c>
      <c r="F828" s="748">
        <f>[2]Hoja1!$B$7</f>
        <v>0.14335000000000001</v>
      </c>
      <c r="G828" s="738" t="s">
        <v>133</v>
      </c>
      <c r="H828" s="738" t="s">
        <v>134</v>
      </c>
      <c r="I828" s="738"/>
      <c r="J828" s="738" t="s">
        <v>12</v>
      </c>
      <c r="K828" s="749" t="s">
        <v>2256</v>
      </c>
    </row>
    <row r="829" spans="1:11" s="734" customFormat="1" ht="28.8" x14ac:dyDescent="0.3">
      <c r="A829" s="738" t="s">
        <v>2143</v>
      </c>
      <c r="B829" s="746">
        <f>'[1]PLAN DE DESARROLLO 2024 - 2027'!$M$4</f>
        <v>0.24028917333263158</v>
      </c>
      <c r="C829" s="738" t="s">
        <v>2146</v>
      </c>
      <c r="D829" s="747">
        <f>'[1]PLAN DE DESARROLLO 2024 - 2027'!$M$11</f>
        <v>0.24196521875000004</v>
      </c>
      <c r="E829" s="738" t="s">
        <v>1603</v>
      </c>
      <c r="F829" s="748">
        <f>[2]Hoja1!$B$7</f>
        <v>0.14335000000000001</v>
      </c>
      <c r="G829" s="738" t="s">
        <v>97</v>
      </c>
      <c r="H829" s="738" t="s">
        <v>98</v>
      </c>
      <c r="I829" s="738"/>
      <c r="J829" s="738" t="s">
        <v>12</v>
      </c>
      <c r="K829" s="749" t="s">
        <v>2256</v>
      </c>
    </row>
    <row r="830" spans="1:11" s="734" customFormat="1" ht="43.2" x14ac:dyDescent="0.3">
      <c r="A830" s="738" t="s">
        <v>2068</v>
      </c>
      <c r="B830" s="750">
        <f>'[1]PLAN DE DESARROLLO 2024 - 2027'!$M$92</f>
        <v>0.25050860314981654</v>
      </c>
      <c r="C830" s="738" t="s">
        <v>2097</v>
      </c>
      <c r="D830" s="747">
        <f>'[1]PLAN DE DESARROLLO 2024 - 2027'!$M$116</f>
        <v>0.21525263088160634</v>
      </c>
      <c r="E830" s="738" t="s">
        <v>2099</v>
      </c>
      <c r="F830" s="748">
        <f>[2]Hoja1!$B$63</f>
        <v>0.1201949616648412</v>
      </c>
      <c r="G830" s="738" t="s">
        <v>775</v>
      </c>
      <c r="H830" s="738" t="s">
        <v>1472</v>
      </c>
      <c r="I830" s="738"/>
      <c r="J830" s="738" t="s">
        <v>767</v>
      </c>
      <c r="K830" s="749" t="s">
        <v>2256</v>
      </c>
    </row>
    <row r="831" spans="1:11" s="734" customFormat="1" ht="43.2" x14ac:dyDescent="0.3">
      <c r="A831" s="738" t="s">
        <v>2068</v>
      </c>
      <c r="B831" s="750">
        <f>'[1]PLAN DE DESARROLLO 2024 - 2027'!$M$92</f>
        <v>0.25050860314981654</v>
      </c>
      <c r="C831" s="738" t="s">
        <v>2097</v>
      </c>
      <c r="D831" s="747">
        <f>'[1]PLAN DE DESARROLLO 2024 - 2027'!$M$116</f>
        <v>0.21525263088160634</v>
      </c>
      <c r="E831" s="738" t="s">
        <v>2099</v>
      </c>
      <c r="F831" s="748">
        <f>[2]Hoja1!$B$63</f>
        <v>0.1201949616648412</v>
      </c>
      <c r="G831" s="738" t="s">
        <v>776</v>
      </c>
      <c r="H831" s="738" t="s">
        <v>1473</v>
      </c>
      <c r="I831" s="738"/>
      <c r="J831" s="738" t="s">
        <v>767</v>
      </c>
      <c r="K831" s="749" t="s">
        <v>2256</v>
      </c>
    </row>
    <row r="832" spans="1:11" s="734" customFormat="1" ht="43.2" x14ac:dyDescent="0.3">
      <c r="A832" s="738" t="s">
        <v>2068</v>
      </c>
      <c r="B832" s="750">
        <f>'[1]PLAN DE DESARROLLO 2024 - 2027'!$M$92</f>
        <v>0.25050860314981654</v>
      </c>
      <c r="C832" s="738" t="s">
        <v>2097</v>
      </c>
      <c r="D832" s="747">
        <f>'[1]PLAN DE DESARROLLO 2024 - 2027'!$M$116</f>
        <v>0.21525263088160634</v>
      </c>
      <c r="E832" s="738" t="s">
        <v>2099</v>
      </c>
      <c r="F832" s="748">
        <f>[2]Hoja1!$B$63</f>
        <v>0.1201949616648412</v>
      </c>
      <c r="G832" s="738" t="s">
        <v>777</v>
      </c>
      <c r="H832" s="738" t="s">
        <v>1474</v>
      </c>
      <c r="I832" s="738"/>
      <c r="J832" s="738" t="s">
        <v>767</v>
      </c>
      <c r="K832" s="749" t="s">
        <v>2256</v>
      </c>
    </row>
    <row r="833" spans="1:11" s="734" customFormat="1" ht="43.2" x14ac:dyDescent="0.3">
      <c r="A833" s="738" t="s">
        <v>2068</v>
      </c>
      <c r="B833" s="750">
        <f>'[1]PLAN DE DESARROLLO 2024 - 2027'!$M$92</f>
        <v>0.25050860314981654</v>
      </c>
      <c r="C833" s="738" t="s">
        <v>2097</v>
      </c>
      <c r="D833" s="747">
        <f>'[1]PLAN DE DESARROLLO 2024 - 2027'!$M$116</f>
        <v>0.21525263088160634</v>
      </c>
      <c r="E833" s="738" t="s">
        <v>2099</v>
      </c>
      <c r="F833" s="748">
        <f>[2]Hoja1!$B$63</f>
        <v>0.1201949616648412</v>
      </c>
      <c r="G833" s="738" t="s">
        <v>778</v>
      </c>
      <c r="H833" s="738" t="s">
        <v>1475</v>
      </c>
      <c r="I833" s="738"/>
      <c r="J833" s="738" t="s">
        <v>767</v>
      </c>
      <c r="K833" s="749" t="s">
        <v>2256</v>
      </c>
    </row>
    <row r="834" spans="1:11" s="734" customFormat="1" ht="43.2" x14ac:dyDescent="0.3">
      <c r="A834" s="738" t="s">
        <v>2068</v>
      </c>
      <c r="B834" s="750">
        <f>'[1]PLAN DE DESARROLLO 2024 - 2027'!$M$92</f>
        <v>0.25050860314981654</v>
      </c>
      <c r="C834" s="738" t="s">
        <v>2097</v>
      </c>
      <c r="D834" s="747">
        <f>'[1]PLAN DE DESARROLLO 2024 - 2027'!$M$116</f>
        <v>0.21525263088160634</v>
      </c>
      <c r="E834" s="738" t="s">
        <v>2099</v>
      </c>
      <c r="F834" s="748">
        <f>[2]Hoja1!$B$63</f>
        <v>0.1201949616648412</v>
      </c>
      <c r="G834" s="738" t="s">
        <v>779</v>
      </c>
      <c r="H834" s="738" t="s">
        <v>1476</v>
      </c>
      <c r="I834" s="738"/>
      <c r="J834" s="738" t="s">
        <v>2100</v>
      </c>
      <c r="K834" s="749" t="s">
        <v>2256</v>
      </c>
    </row>
    <row r="835" spans="1:11" s="734" customFormat="1" ht="43.2" x14ac:dyDescent="0.3">
      <c r="A835" s="738" t="s">
        <v>2068</v>
      </c>
      <c r="B835" s="750">
        <f>'[1]PLAN DE DESARROLLO 2024 - 2027'!$M$92</f>
        <v>0.25050860314981654</v>
      </c>
      <c r="C835" s="738" t="s">
        <v>2097</v>
      </c>
      <c r="D835" s="747">
        <f>'[1]PLAN DE DESARROLLO 2024 - 2027'!$M$116</f>
        <v>0.21525263088160634</v>
      </c>
      <c r="E835" s="738" t="s">
        <v>2099</v>
      </c>
      <c r="F835" s="748">
        <f>[2]Hoja1!$B$63</f>
        <v>0.1201949616648412</v>
      </c>
      <c r="G835" s="738" t="s">
        <v>781</v>
      </c>
      <c r="H835" s="738" t="s">
        <v>1477</v>
      </c>
      <c r="I835" s="738"/>
      <c r="J835" s="738" t="s">
        <v>2101</v>
      </c>
      <c r="K835" s="749" t="s">
        <v>2256</v>
      </c>
    </row>
    <row r="836" spans="1:11" s="734" customFormat="1" ht="28.8" x14ac:dyDescent="0.3">
      <c r="A836" s="738" t="s">
        <v>2068</v>
      </c>
      <c r="B836" s="750">
        <f>'[1]PLAN DE DESARROLLO 2024 - 2027'!$M$92</f>
        <v>0.25050860314981654</v>
      </c>
      <c r="C836" s="738" t="s">
        <v>2097</v>
      </c>
      <c r="D836" s="747">
        <f>'[1]PLAN DE DESARROLLO 2024 - 2027'!$M$116</f>
        <v>0.21525263088160634</v>
      </c>
      <c r="E836" s="738" t="s">
        <v>2098</v>
      </c>
      <c r="F836" s="748">
        <f>[2]Hoja1!$B$92</f>
        <v>0.30715959252971137</v>
      </c>
      <c r="G836" s="738" t="s">
        <v>766</v>
      </c>
      <c r="H836" s="738" t="s">
        <v>1464</v>
      </c>
      <c r="I836" s="738"/>
      <c r="J836" s="738" t="s">
        <v>767</v>
      </c>
      <c r="K836" s="749" t="s">
        <v>2256</v>
      </c>
    </row>
    <row r="837" spans="1:11" s="734" customFormat="1" ht="43.2" x14ac:dyDescent="0.3">
      <c r="A837" s="738" t="s">
        <v>2197</v>
      </c>
      <c r="B837" s="746">
        <f>'[1]PLAN DE DESARROLLO 2024 - 2027'!$M$46</f>
        <v>0.25251661967012345</v>
      </c>
      <c r="C837" s="738" t="s">
        <v>2201</v>
      </c>
      <c r="D837" s="747">
        <f>'[1]PLAN DE DESARROLLO 2024 - 2027'!$M$73</f>
        <v>0.25984040977313172</v>
      </c>
      <c r="E837" s="738" t="s">
        <v>2238</v>
      </c>
      <c r="F837" s="748">
        <f>[2]Hoja1!$B$46</f>
        <v>0.27</v>
      </c>
      <c r="G837" s="738" t="s">
        <v>592</v>
      </c>
      <c r="H837" s="738" t="s">
        <v>593</v>
      </c>
      <c r="I837" s="738"/>
      <c r="J837" s="738" t="s">
        <v>565</v>
      </c>
      <c r="K837" s="749" t="s">
        <v>2256</v>
      </c>
    </row>
    <row r="838" spans="1:11" s="734" customFormat="1" ht="28.8" x14ac:dyDescent="0.3">
      <c r="A838" s="738" t="s">
        <v>2197</v>
      </c>
      <c r="B838" s="746">
        <f>'[1]PLAN DE DESARROLLO 2024 - 2027'!$M$46</f>
        <v>0.25251661967012345</v>
      </c>
      <c r="C838" s="738" t="s">
        <v>2201</v>
      </c>
      <c r="D838" s="747">
        <f>'[1]PLAN DE DESARROLLO 2024 - 2027'!$M$73</f>
        <v>0.25984040977313172</v>
      </c>
      <c r="E838" s="738" t="s">
        <v>2238</v>
      </c>
      <c r="F838" s="748">
        <f>[2]Hoja1!$B$46</f>
        <v>0.27</v>
      </c>
      <c r="G838" s="738" t="s">
        <v>594</v>
      </c>
      <c r="H838" s="738" t="s">
        <v>595</v>
      </c>
      <c r="I838" s="738"/>
      <c r="J838" s="738" t="s">
        <v>565</v>
      </c>
      <c r="K838" s="749" t="s">
        <v>2256</v>
      </c>
    </row>
    <row r="839" spans="1:11" s="734" customFormat="1" ht="43.2" x14ac:dyDescent="0.3">
      <c r="A839" s="738" t="s">
        <v>2197</v>
      </c>
      <c r="B839" s="746">
        <f>'[1]PLAN DE DESARROLLO 2024 - 2027'!$M$46</f>
        <v>0.25251661967012345</v>
      </c>
      <c r="C839" s="738" t="s">
        <v>2201</v>
      </c>
      <c r="D839" s="747">
        <f>'[1]PLAN DE DESARROLLO 2024 - 2027'!$M$73</f>
        <v>0.25984040977313172</v>
      </c>
      <c r="E839" s="738" t="s">
        <v>2238</v>
      </c>
      <c r="F839" s="748">
        <f>[2]Hoja1!$B$46</f>
        <v>0.27</v>
      </c>
      <c r="G839" s="738" t="s">
        <v>596</v>
      </c>
      <c r="H839" s="738" t="s">
        <v>597</v>
      </c>
      <c r="I839" s="738"/>
      <c r="J839" s="738" t="s">
        <v>565</v>
      </c>
      <c r="K839" s="749" t="s">
        <v>2256</v>
      </c>
    </row>
    <row r="840" spans="1:11" s="734" customFormat="1" ht="28.8" x14ac:dyDescent="0.3">
      <c r="A840" s="738" t="s">
        <v>2197</v>
      </c>
      <c r="B840" s="746">
        <f>'[1]PLAN DE DESARROLLO 2024 - 2027'!$M$46</f>
        <v>0.25251661967012345</v>
      </c>
      <c r="C840" s="738" t="s">
        <v>2201</v>
      </c>
      <c r="D840" s="747">
        <f>'[1]PLAN DE DESARROLLO 2024 - 2027'!$M$73</f>
        <v>0.25984040977313172</v>
      </c>
      <c r="E840" s="738" t="s">
        <v>2238</v>
      </c>
      <c r="F840" s="748">
        <f>[2]Hoja1!$B$46</f>
        <v>0.27</v>
      </c>
      <c r="G840" s="738" t="s">
        <v>598</v>
      </c>
      <c r="H840" s="738" t="s">
        <v>599</v>
      </c>
      <c r="I840" s="738"/>
      <c r="J840" s="738" t="s">
        <v>565</v>
      </c>
      <c r="K840" s="749" t="s">
        <v>2256</v>
      </c>
    </row>
    <row r="841" spans="1:11" s="734" customFormat="1" ht="28.8" x14ac:dyDescent="0.3">
      <c r="A841" s="738" t="s">
        <v>2197</v>
      </c>
      <c r="B841" s="746">
        <f>'[1]PLAN DE DESARROLLO 2024 - 2027'!$M$46</f>
        <v>0.25251661967012345</v>
      </c>
      <c r="C841" s="738" t="s">
        <v>2201</v>
      </c>
      <c r="D841" s="747">
        <f>'[1]PLAN DE DESARROLLO 2024 - 2027'!$M$73</f>
        <v>0.25984040977313172</v>
      </c>
      <c r="E841" s="738" t="s">
        <v>2238</v>
      </c>
      <c r="F841" s="748">
        <f>[2]Hoja1!$B$46</f>
        <v>0.27</v>
      </c>
      <c r="G841" s="738" t="s">
        <v>600</v>
      </c>
      <c r="H841" s="738" t="s">
        <v>601</v>
      </c>
      <c r="I841" s="738"/>
      <c r="J841" s="738" t="s">
        <v>565</v>
      </c>
      <c r="K841" s="749" t="s">
        <v>2256</v>
      </c>
    </row>
    <row r="842" spans="1:11" s="734" customFormat="1" ht="28.8" x14ac:dyDescent="0.3">
      <c r="A842" s="738" t="s">
        <v>2197</v>
      </c>
      <c r="B842" s="746">
        <f>'[1]PLAN DE DESARROLLO 2024 - 2027'!$M$46</f>
        <v>0.25251661967012345</v>
      </c>
      <c r="C842" s="738" t="s">
        <v>2201</v>
      </c>
      <c r="D842" s="747">
        <f>'[1]PLAN DE DESARROLLO 2024 - 2027'!$M$73</f>
        <v>0.25984040977313172</v>
      </c>
      <c r="E842" s="738" t="s">
        <v>2235</v>
      </c>
      <c r="F842" s="748">
        <f>[2]Hoja1!$B$60</f>
        <v>0.12517636591043887</v>
      </c>
      <c r="G842" s="738" t="s">
        <v>563</v>
      </c>
      <c r="H842" s="738" t="s">
        <v>564</v>
      </c>
      <c r="I842" s="738"/>
      <c r="J842" s="738" t="s">
        <v>565</v>
      </c>
      <c r="K842" s="749" t="s">
        <v>2256</v>
      </c>
    </row>
    <row r="843" spans="1:11" s="734" customFormat="1" ht="28.8" x14ac:dyDescent="0.3">
      <c r="A843" s="738" t="s">
        <v>2197</v>
      </c>
      <c r="B843" s="746">
        <f>'[1]PLAN DE DESARROLLO 2024 - 2027'!$M$46</f>
        <v>0.25251661967012345</v>
      </c>
      <c r="C843" s="738" t="s">
        <v>2201</v>
      </c>
      <c r="D843" s="747">
        <f>'[1]PLAN DE DESARROLLO 2024 - 2027'!$M$73</f>
        <v>0.25984040977313172</v>
      </c>
      <c r="E843" s="738" t="s">
        <v>2235</v>
      </c>
      <c r="F843" s="748">
        <f>[2]Hoja1!$B$60</f>
        <v>0.12517636591043887</v>
      </c>
      <c r="G843" s="738" t="s">
        <v>566</v>
      </c>
      <c r="H843" s="738" t="s">
        <v>567</v>
      </c>
      <c r="I843" s="738"/>
      <c r="J843" s="738" t="s">
        <v>565</v>
      </c>
      <c r="K843" s="749" t="s">
        <v>2256</v>
      </c>
    </row>
    <row r="844" spans="1:11" s="734" customFormat="1" ht="28.8" x14ac:dyDescent="0.3">
      <c r="A844" s="738" t="s">
        <v>2197</v>
      </c>
      <c r="B844" s="746">
        <f>'[1]PLAN DE DESARROLLO 2024 - 2027'!$M$46</f>
        <v>0.25251661967012345</v>
      </c>
      <c r="C844" s="738" t="s">
        <v>2201</v>
      </c>
      <c r="D844" s="747">
        <f>'[1]PLAN DE DESARROLLO 2024 - 2027'!$M$73</f>
        <v>0.25984040977313172</v>
      </c>
      <c r="E844" s="738" t="s">
        <v>2235</v>
      </c>
      <c r="F844" s="748">
        <f>[2]Hoja1!$B$60</f>
        <v>0.12517636591043887</v>
      </c>
      <c r="G844" s="738" t="s">
        <v>568</v>
      </c>
      <c r="H844" s="738" t="s">
        <v>569</v>
      </c>
      <c r="I844" s="738"/>
      <c r="J844" s="738" t="s">
        <v>565</v>
      </c>
      <c r="K844" s="749" t="s">
        <v>2256</v>
      </c>
    </row>
    <row r="845" spans="1:11" s="734" customFormat="1" ht="28.8" x14ac:dyDescent="0.3">
      <c r="A845" s="738" t="s">
        <v>2197</v>
      </c>
      <c r="B845" s="746">
        <f>'[1]PLAN DE DESARROLLO 2024 - 2027'!$M$46</f>
        <v>0.25251661967012345</v>
      </c>
      <c r="C845" s="738" t="s">
        <v>2201</v>
      </c>
      <c r="D845" s="747">
        <f>'[1]PLAN DE DESARROLLO 2024 - 2027'!$M$73</f>
        <v>0.25984040977313172</v>
      </c>
      <c r="E845" s="738" t="s">
        <v>2235</v>
      </c>
      <c r="F845" s="748">
        <f>[2]Hoja1!$B$60</f>
        <v>0.12517636591043887</v>
      </c>
      <c r="G845" s="738" t="s">
        <v>570</v>
      </c>
      <c r="H845" s="738" t="s">
        <v>571</v>
      </c>
      <c r="I845" s="738"/>
      <c r="J845" s="738" t="s">
        <v>565</v>
      </c>
      <c r="K845" s="749" t="s">
        <v>2256</v>
      </c>
    </row>
    <row r="846" spans="1:11" s="734" customFormat="1" ht="28.8" x14ac:dyDescent="0.3">
      <c r="A846" s="738" t="s">
        <v>2197</v>
      </c>
      <c r="B846" s="746">
        <f>'[1]PLAN DE DESARROLLO 2024 - 2027'!$M$46</f>
        <v>0.25251661967012345</v>
      </c>
      <c r="C846" s="738" t="s">
        <v>2201</v>
      </c>
      <c r="D846" s="747">
        <f>'[1]PLAN DE DESARROLLO 2024 - 2027'!$M$73</f>
        <v>0.25984040977313172</v>
      </c>
      <c r="E846" s="738" t="s">
        <v>2235</v>
      </c>
      <c r="F846" s="748">
        <f>[2]Hoja1!$B$60</f>
        <v>0.12517636591043887</v>
      </c>
      <c r="G846" s="738" t="s">
        <v>572</v>
      </c>
      <c r="H846" s="738" t="s">
        <v>573</v>
      </c>
      <c r="I846" s="738"/>
      <c r="J846" s="738" t="s">
        <v>565</v>
      </c>
      <c r="K846" s="749" t="s">
        <v>2256</v>
      </c>
    </row>
    <row r="847" spans="1:11" s="734" customFormat="1" ht="28.8" x14ac:dyDescent="0.3">
      <c r="A847" s="738" t="s">
        <v>2110</v>
      </c>
      <c r="B847" s="750">
        <f>'[1]PLAN DE DESARROLLO 2024 - 2027'!$M$161</f>
        <v>0.24647581985093744</v>
      </c>
      <c r="C847" s="738" t="s">
        <v>2128</v>
      </c>
      <c r="D847" s="747">
        <f>'[1]PLAN DE DESARROLLO 2024 - 2027'!$M$178</f>
        <v>0.30658085759781617</v>
      </c>
      <c r="E847" s="738" t="s">
        <v>1829</v>
      </c>
      <c r="F847" s="748">
        <f>[2]Hoja1!$B$34</f>
        <v>0.27500000000000002</v>
      </c>
      <c r="G847" s="738" t="s">
        <v>1004</v>
      </c>
      <c r="H847" s="738" t="s">
        <v>1204</v>
      </c>
      <c r="I847" s="738"/>
      <c r="J847" s="738" t="s">
        <v>998</v>
      </c>
      <c r="K847" s="749" t="s">
        <v>2256</v>
      </c>
    </row>
    <row r="848" spans="1:11" s="734" customFormat="1" ht="28.8" x14ac:dyDescent="0.3">
      <c r="A848" s="738" t="s">
        <v>2143</v>
      </c>
      <c r="B848" s="746">
        <f>'[1]PLAN DE DESARROLLO 2024 - 2027'!$M$4</f>
        <v>0.24028917333263158</v>
      </c>
      <c r="C848" s="738" t="s">
        <v>2146</v>
      </c>
      <c r="D848" s="747">
        <f>'[1]PLAN DE DESARROLLO 2024 - 2027'!$M$11</f>
        <v>0.24196521875000004</v>
      </c>
      <c r="E848" s="738" t="s">
        <v>1603</v>
      </c>
      <c r="F848" s="748">
        <f>[2]Hoja1!$B$7</f>
        <v>0.14335000000000001</v>
      </c>
      <c r="G848" s="738" t="s">
        <v>99</v>
      </c>
      <c r="H848" s="738" t="s">
        <v>100</v>
      </c>
      <c r="I848" s="738"/>
      <c r="J848" s="738" t="s">
        <v>12</v>
      </c>
      <c r="K848" s="749" t="s">
        <v>2256</v>
      </c>
    </row>
    <row r="849" spans="1:11" s="734" customFormat="1" ht="43.2" x14ac:dyDescent="0.3">
      <c r="A849" s="738" t="s">
        <v>2143</v>
      </c>
      <c r="B849" s="746">
        <f>'[1]PLAN DE DESARROLLO 2024 - 2027'!$M$4</f>
        <v>0.24028917333263158</v>
      </c>
      <c r="C849" s="738" t="s">
        <v>2146</v>
      </c>
      <c r="D849" s="747">
        <f>'[1]PLAN DE DESARROLLO 2024 - 2027'!$M$11</f>
        <v>0.24196521875000004</v>
      </c>
      <c r="E849" s="738" t="s">
        <v>2196</v>
      </c>
      <c r="F849" s="748">
        <f>[2]Hoja1!$B$8</f>
        <v>0.151</v>
      </c>
      <c r="G849" s="738" t="s">
        <v>89</v>
      </c>
      <c r="H849" s="738" t="s">
        <v>90</v>
      </c>
      <c r="I849" s="738"/>
      <c r="J849" s="738" t="s">
        <v>12</v>
      </c>
      <c r="K849" s="749" t="s">
        <v>2256</v>
      </c>
    </row>
    <row r="850" spans="1:11" s="734" customFormat="1" ht="28.8" x14ac:dyDescent="0.3">
      <c r="A850" s="738" t="s">
        <v>2143</v>
      </c>
      <c r="B850" s="746">
        <f>'[1]PLAN DE DESARROLLO 2024 - 2027'!$M$4</f>
        <v>0.24028917333263158</v>
      </c>
      <c r="C850" s="738" t="s">
        <v>2146</v>
      </c>
      <c r="D850" s="747">
        <f>'[1]PLAN DE DESARROLLO 2024 - 2027'!$M$11</f>
        <v>0.24196521875000004</v>
      </c>
      <c r="E850" s="738" t="s">
        <v>2196</v>
      </c>
      <c r="F850" s="748">
        <f>[2]Hoja1!$B$8</f>
        <v>0.151</v>
      </c>
      <c r="G850" s="738" t="s">
        <v>91</v>
      </c>
      <c r="H850" s="738" t="s">
        <v>92</v>
      </c>
      <c r="I850" s="738"/>
      <c r="J850" s="738" t="s">
        <v>12</v>
      </c>
      <c r="K850" s="749" t="s">
        <v>2256</v>
      </c>
    </row>
    <row r="851" spans="1:11" s="734" customFormat="1" ht="43.2" x14ac:dyDescent="0.3">
      <c r="A851" s="738" t="s">
        <v>2143</v>
      </c>
      <c r="B851" s="746">
        <f>'[1]PLAN DE DESARROLLO 2024 - 2027'!$M$4</f>
        <v>0.24028917333263158</v>
      </c>
      <c r="C851" s="738" t="s">
        <v>2146</v>
      </c>
      <c r="D851" s="747">
        <f>'[1]PLAN DE DESARROLLO 2024 - 2027'!$M$11</f>
        <v>0.24196521875000004</v>
      </c>
      <c r="E851" s="738" t="s">
        <v>2196</v>
      </c>
      <c r="F851" s="748">
        <f>[2]Hoja1!$B$8</f>
        <v>0.151</v>
      </c>
      <c r="G851" s="738" t="s">
        <v>93</v>
      </c>
      <c r="H851" s="738" t="s">
        <v>94</v>
      </c>
      <c r="I851" s="738"/>
      <c r="J851" s="738" t="s">
        <v>12</v>
      </c>
      <c r="K851" s="749" t="s">
        <v>2256</v>
      </c>
    </row>
    <row r="852" spans="1:11" s="734" customFormat="1" ht="28.8" x14ac:dyDescent="0.3">
      <c r="A852" s="738" t="s">
        <v>2110</v>
      </c>
      <c r="B852" s="750">
        <f>'[1]PLAN DE DESARROLLO 2024 - 2027'!$M$161</f>
        <v>0.24647581985093744</v>
      </c>
      <c r="C852" s="738" t="s">
        <v>2134</v>
      </c>
      <c r="D852" s="747">
        <f>'[1]PLAN DE DESARROLLO 2024 - 2027'!$M$191</f>
        <v>0.22981556695992181</v>
      </c>
      <c r="E852" s="738" t="s">
        <v>2135</v>
      </c>
      <c r="F852" s="748">
        <f>[2]Hoja1!$B$36</f>
        <v>1.1966666666666668</v>
      </c>
      <c r="G852" s="738" t="s">
        <v>1038</v>
      </c>
      <c r="H852" s="738" t="s">
        <v>1236</v>
      </c>
      <c r="I852" s="738"/>
      <c r="J852" s="738" t="s">
        <v>560</v>
      </c>
      <c r="K852" s="749" t="s">
        <v>2256</v>
      </c>
    </row>
    <row r="853" spans="1:11" s="734" customFormat="1" ht="28.8" x14ac:dyDescent="0.3">
      <c r="A853" s="738" t="s">
        <v>2110</v>
      </c>
      <c r="B853" s="750">
        <f>'[1]PLAN DE DESARROLLO 2024 - 2027'!$M$161</f>
        <v>0.24647581985093744</v>
      </c>
      <c r="C853" s="738" t="s">
        <v>2134</v>
      </c>
      <c r="D853" s="747">
        <f>'[1]PLAN DE DESARROLLO 2024 - 2027'!$M$191</f>
        <v>0.22981556695992181</v>
      </c>
      <c r="E853" s="738" t="s">
        <v>2135</v>
      </c>
      <c r="F853" s="748">
        <f>[2]Hoja1!$B$36</f>
        <v>1.1966666666666668</v>
      </c>
      <c r="G853" s="738" t="s">
        <v>1039</v>
      </c>
      <c r="H853" s="738" t="s">
        <v>1237</v>
      </c>
      <c r="I853" s="738"/>
      <c r="J853" s="738" t="s">
        <v>560</v>
      </c>
      <c r="K853" s="749" t="s">
        <v>2256</v>
      </c>
    </row>
    <row r="854" spans="1:11" s="734" customFormat="1" ht="28.8" x14ac:dyDescent="0.3">
      <c r="A854" s="738" t="s">
        <v>2110</v>
      </c>
      <c r="B854" s="750">
        <f>'[1]PLAN DE DESARROLLO 2024 - 2027'!$M$161</f>
        <v>0.24647581985093744</v>
      </c>
      <c r="C854" s="738" t="s">
        <v>2134</v>
      </c>
      <c r="D854" s="747">
        <f>'[1]PLAN DE DESARROLLO 2024 - 2027'!$M$191</f>
        <v>0.22981556695992181</v>
      </c>
      <c r="E854" s="738" t="s">
        <v>2135</v>
      </c>
      <c r="F854" s="748">
        <f>[2]Hoja1!$B$36</f>
        <v>1.1966666666666668</v>
      </c>
      <c r="G854" s="738" t="s">
        <v>1040</v>
      </c>
      <c r="H854" s="738" t="s">
        <v>1238</v>
      </c>
      <c r="I854" s="738"/>
      <c r="J854" s="738" t="s">
        <v>560</v>
      </c>
      <c r="K854" s="749" t="s">
        <v>2256</v>
      </c>
    </row>
    <row r="855" spans="1:11" s="734" customFormat="1" ht="28.8" x14ac:dyDescent="0.3">
      <c r="A855" s="738" t="s">
        <v>2110</v>
      </c>
      <c r="B855" s="750">
        <f>'[1]PLAN DE DESARROLLO 2024 - 2027'!$M$161</f>
        <v>0.24647581985093744</v>
      </c>
      <c r="C855" s="738" t="s">
        <v>2134</v>
      </c>
      <c r="D855" s="747">
        <f>'[1]PLAN DE DESARROLLO 2024 - 2027'!$M$191</f>
        <v>0.22981556695992181</v>
      </c>
      <c r="E855" s="738" t="s">
        <v>2135</v>
      </c>
      <c r="F855" s="748">
        <f>[2]Hoja1!$B$36</f>
        <v>1.1966666666666668</v>
      </c>
      <c r="G855" s="738" t="s">
        <v>1041</v>
      </c>
      <c r="H855" s="738" t="s">
        <v>1239</v>
      </c>
      <c r="I855" s="738"/>
      <c r="J855" s="738" t="s">
        <v>560</v>
      </c>
      <c r="K855" s="749" t="s">
        <v>2256</v>
      </c>
    </row>
    <row r="856" spans="1:11" s="734" customFormat="1" ht="28.8" x14ac:dyDescent="0.3">
      <c r="A856" s="738" t="s">
        <v>2110</v>
      </c>
      <c r="B856" s="750">
        <f>'[1]PLAN DE DESARROLLO 2024 - 2027'!$M$161</f>
        <v>0.24647581985093744</v>
      </c>
      <c r="C856" s="738" t="s">
        <v>2134</v>
      </c>
      <c r="D856" s="747">
        <f>'[1]PLAN DE DESARROLLO 2024 - 2027'!$M$191</f>
        <v>0.22981556695992181</v>
      </c>
      <c r="E856" s="738" t="s">
        <v>2135</v>
      </c>
      <c r="F856" s="748">
        <f>[2]Hoja1!$B$36</f>
        <v>1.1966666666666668</v>
      </c>
      <c r="G856" s="738" t="s">
        <v>1042</v>
      </c>
      <c r="H856" s="738" t="s">
        <v>1240</v>
      </c>
      <c r="I856" s="738"/>
      <c r="J856" s="738" t="s">
        <v>560</v>
      </c>
      <c r="K856" s="749" t="s">
        <v>2256</v>
      </c>
    </row>
    <row r="857" spans="1:11" s="734" customFormat="1" ht="28.8" x14ac:dyDescent="0.3">
      <c r="A857" s="738" t="s">
        <v>2110</v>
      </c>
      <c r="B857" s="750">
        <f>'[1]PLAN DE DESARROLLO 2024 - 2027'!$M$161</f>
        <v>0.24647581985093744</v>
      </c>
      <c r="C857" s="738" t="s">
        <v>2128</v>
      </c>
      <c r="D857" s="747">
        <f>'[1]PLAN DE DESARROLLO 2024 - 2027'!$M$178</f>
        <v>0.30658085759781617</v>
      </c>
      <c r="E857" s="738" t="s">
        <v>1828</v>
      </c>
      <c r="F857" s="748">
        <f>[2]Hoja1!$B$37</f>
        <v>0.36899999999999999</v>
      </c>
      <c r="G857" s="738" t="s">
        <v>1000</v>
      </c>
      <c r="H857" s="738" t="s">
        <v>1200</v>
      </c>
      <c r="I857" s="738"/>
      <c r="J857" s="738" t="s">
        <v>998</v>
      </c>
      <c r="K857" s="749" t="s">
        <v>2256</v>
      </c>
    </row>
    <row r="858" spans="1:11" s="734" customFormat="1" ht="28.8" x14ac:dyDescent="0.3">
      <c r="A858" s="738" t="s">
        <v>2110</v>
      </c>
      <c r="B858" s="750">
        <f>'[1]PLAN DE DESARROLLO 2024 - 2027'!$M$161</f>
        <v>0.24647581985093744</v>
      </c>
      <c r="C858" s="738" t="s">
        <v>2128</v>
      </c>
      <c r="D858" s="747">
        <f>'[1]PLAN DE DESARROLLO 2024 - 2027'!$M$178</f>
        <v>0.30658085759781617</v>
      </c>
      <c r="E858" s="738" t="s">
        <v>1828</v>
      </c>
      <c r="F858" s="748">
        <f>[2]Hoja1!$B$37</f>
        <v>0.36899999999999999</v>
      </c>
      <c r="G858" s="738" t="s">
        <v>1001</v>
      </c>
      <c r="H858" s="738" t="s">
        <v>1201</v>
      </c>
      <c r="I858" s="738"/>
      <c r="J858" s="738" t="s">
        <v>998</v>
      </c>
      <c r="K858" s="749" t="s">
        <v>2256</v>
      </c>
    </row>
    <row r="859" spans="1:11" s="734" customFormat="1" ht="43.2" x14ac:dyDescent="0.3">
      <c r="A859" s="738" t="s">
        <v>2110</v>
      </c>
      <c r="B859" s="750">
        <f>'[1]PLAN DE DESARROLLO 2024 - 2027'!$M$161</f>
        <v>0.24647581985093744</v>
      </c>
      <c r="C859" s="738" t="s">
        <v>2128</v>
      </c>
      <c r="D859" s="747">
        <f>'[1]PLAN DE DESARROLLO 2024 - 2027'!$M$178</f>
        <v>0.30658085759781617</v>
      </c>
      <c r="E859" s="738" t="s">
        <v>1828</v>
      </c>
      <c r="F859" s="748">
        <f>[2]Hoja1!$B$37</f>
        <v>0.36899999999999999</v>
      </c>
      <c r="G859" s="738" t="s">
        <v>1002</v>
      </c>
      <c r="H859" s="738" t="s">
        <v>1202</v>
      </c>
      <c r="I859" s="738"/>
      <c r="J859" s="738" t="s">
        <v>998</v>
      </c>
      <c r="K859" s="749" t="s">
        <v>2256</v>
      </c>
    </row>
    <row r="860" spans="1:11" s="734" customFormat="1" ht="28.8" x14ac:dyDescent="0.3">
      <c r="A860" s="738" t="s">
        <v>2110</v>
      </c>
      <c r="B860" s="750">
        <f>'[1]PLAN DE DESARROLLO 2024 - 2027'!$M$161</f>
        <v>0.24647581985093744</v>
      </c>
      <c r="C860" s="738" t="s">
        <v>2128</v>
      </c>
      <c r="D860" s="747">
        <f>'[1]PLAN DE DESARROLLO 2024 - 2027'!$M$178</f>
        <v>0.30658085759781617</v>
      </c>
      <c r="E860" s="738" t="s">
        <v>1828</v>
      </c>
      <c r="F860" s="748">
        <f>[2]Hoja1!$B$37</f>
        <v>0.36899999999999999</v>
      </c>
      <c r="G860" s="738" t="s">
        <v>1003</v>
      </c>
      <c r="H860" s="738" t="s">
        <v>1203</v>
      </c>
      <c r="I860" s="738"/>
      <c r="J860" s="738" t="s">
        <v>998</v>
      </c>
      <c r="K860" s="749" t="s">
        <v>2256</v>
      </c>
    </row>
    <row r="861" spans="1:11" s="734" customFormat="1" ht="28.8" x14ac:dyDescent="0.3">
      <c r="A861" s="738" t="s">
        <v>2143</v>
      </c>
      <c r="B861" s="746">
        <f>'[1]PLAN DE DESARROLLO 2024 - 2027'!$M$4</f>
        <v>0.24028917333263158</v>
      </c>
      <c r="C861" s="738" t="s">
        <v>2146</v>
      </c>
      <c r="D861" s="747">
        <f>'[1]PLAN DE DESARROLLO 2024 - 2027'!$M$11</f>
        <v>0.24196521875000004</v>
      </c>
      <c r="E861" s="738" t="s">
        <v>2196</v>
      </c>
      <c r="F861" s="748">
        <f>[2]Hoja1!$B$8</f>
        <v>0.151</v>
      </c>
      <c r="G861" s="738" t="s">
        <v>95</v>
      </c>
      <c r="H861" s="738" t="s">
        <v>96</v>
      </c>
      <c r="I861" s="738"/>
      <c r="J861" s="738" t="s">
        <v>12</v>
      </c>
      <c r="K861" s="749" t="s">
        <v>2256</v>
      </c>
    </row>
    <row r="862" spans="1:11" s="734" customFormat="1" ht="28.8" x14ac:dyDescent="0.3">
      <c r="A862" s="738" t="s">
        <v>2143</v>
      </c>
      <c r="B862" s="746">
        <f>'[1]PLAN DE DESARROLLO 2024 - 2027'!$M$4</f>
        <v>0.24028917333263158</v>
      </c>
      <c r="C862" s="738" t="s">
        <v>2146</v>
      </c>
      <c r="D862" s="747">
        <f>'[1]PLAN DE DESARROLLO 2024 - 2027'!$M$11</f>
        <v>0.24196521875000004</v>
      </c>
      <c r="E862" s="738" t="s">
        <v>2195</v>
      </c>
      <c r="F862" s="748">
        <f>[2]Hoja1!$B$17</f>
        <v>6.6166666666666665E-2</v>
      </c>
      <c r="G862" s="738" t="s">
        <v>75</v>
      </c>
      <c r="H862" s="738" t="s">
        <v>76</v>
      </c>
      <c r="I862" s="738"/>
      <c r="J862" s="738" t="s">
        <v>12</v>
      </c>
      <c r="K862" s="749" t="s">
        <v>2256</v>
      </c>
    </row>
    <row r="863" spans="1:11" s="734" customFormat="1" ht="28.8" x14ac:dyDescent="0.3">
      <c r="A863" s="738" t="s">
        <v>2143</v>
      </c>
      <c r="B863" s="746">
        <f>'[1]PLAN DE DESARROLLO 2024 - 2027'!$M$4</f>
        <v>0.24028917333263158</v>
      </c>
      <c r="C863" s="738" t="s">
        <v>2146</v>
      </c>
      <c r="D863" s="747">
        <f>'[1]PLAN DE DESARROLLO 2024 - 2027'!$M$11</f>
        <v>0.24196521875000004</v>
      </c>
      <c r="E863" s="738" t="s">
        <v>2195</v>
      </c>
      <c r="F863" s="748">
        <f>[2]Hoja1!$B$17</f>
        <v>6.6166666666666665E-2</v>
      </c>
      <c r="G863" s="738" t="s">
        <v>77</v>
      </c>
      <c r="H863" s="738" t="s">
        <v>78</v>
      </c>
      <c r="I863" s="738"/>
      <c r="J863" s="738" t="s">
        <v>12</v>
      </c>
      <c r="K863" s="749" t="s">
        <v>2256</v>
      </c>
    </row>
    <row r="864" spans="1:11" s="734" customFormat="1" ht="28.8" x14ac:dyDescent="0.3">
      <c r="A864" s="738" t="s">
        <v>2143</v>
      </c>
      <c r="B864" s="746">
        <f>'[1]PLAN DE DESARROLLO 2024 - 2027'!$M$4</f>
        <v>0.24028917333263158</v>
      </c>
      <c r="C864" s="738" t="s">
        <v>2146</v>
      </c>
      <c r="D864" s="747">
        <f>'[1]PLAN DE DESARROLLO 2024 - 2027'!$M$11</f>
        <v>0.24196521875000004</v>
      </c>
      <c r="E864" s="738" t="s">
        <v>2195</v>
      </c>
      <c r="F864" s="748">
        <f>[2]Hoja1!$B$17</f>
        <v>6.6166666666666665E-2</v>
      </c>
      <c r="G864" s="738" t="s">
        <v>79</v>
      </c>
      <c r="H864" s="738" t="s">
        <v>80</v>
      </c>
      <c r="I864" s="738"/>
      <c r="J864" s="738" t="s">
        <v>12</v>
      </c>
      <c r="K864" s="749" t="s">
        <v>2256</v>
      </c>
    </row>
    <row r="865" spans="1:11" s="734" customFormat="1" ht="28.8" x14ac:dyDescent="0.3">
      <c r="A865" s="738" t="s">
        <v>2017</v>
      </c>
      <c r="B865" s="750">
        <f>'[1]PLAN DE DESARROLLO 2024 - 2027'!$M$123</f>
        <v>0.20174333228533195</v>
      </c>
      <c r="C865" s="738" t="s">
        <v>2054</v>
      </c>
      <c r="D865" s="747">
        <f>'[1]PLAN DE DESARROLLO 2024 - 2027'!$M$136</f>
        <v>0.3779372351486594</v>
      </c>
      <c r="E865" s="738" t="s">
        <v>1809</v>
      </c>
      <c r="F865" s="748">
        <f>[2]Hoja1!$B$135</f>
        <v>0.62548089591567846</v>
      </c>
      <c r="G865" s="738" t="s">
        <v>858</v>
      </c>
      <c r="H865" s="738" t="s">
        <v>1313</v>
      </c>
      <c r="I865" s="738"/>
      <c r="J865" s="738" t="s">
        <v>825</v>
      </c>
      <c r="K865" s="749" t="s">
        <v>2256</v>
      </c>
    </row>
    <row r="866" spans="1:11" s="734" customFormat="1" ht="28.8" x14ac:dyDescent="0.3">
      <c r="A866" s="738" t="s">
        <v>2017</v>
      </c>
      <c r="B866" s="750">
        <f>'[1]PLAN DE DESARROLLO 2024 - 2027'!$M$123</f>
        <v>0.20174333228533195</v>
      </c>
      <c r="C866" s="738" t="s">
        <v>2047</v>
      </c>
      <c r="D866" s="747">
        <f>'[1]PLAN DE DESARROLLO 2024 - 2027'!$M$130</f>
        <v>9.8146749999999991E-2</v>
      </c>
      <c r="E866" s="738" t="s">
        <v>2052</v>
      </c>
      <c r="F866" s="748">
        <f>[2]Hoja1!$B$5</f>
        <v>0.14800000000000002</v>
      </c>
      <c r="G866" s="738" t="s">
        <v>842</v>
      </c>
      <c r="H866" s="738" t="s">
        <v>1299</v>
      </c>
      <c r="I866" s="738"/>
      <c r="J866" s="738" t="s">
        <v>698</v>
      </c>
      <c r="K866" s="749" t="s">
        <v>2256</v>
      </c>
    </row>
    <row r="867" spans="1:11" s="734" customFormat="1" ht="28.8" x14ac:dyDescent="0.3">
      <c r="A867" s="738" t="s">
        <v>2017</v>
      </c>
      <c r="B867" s="750">
        <f>'[1]PLAN DE DESARROLLO 2024 - 2027'!$M$123</f>
        <v>0.20174333228533195</v>
      </c>
      <c r="C867" s="738" t="s">
        <v>2047</v>
      </c>
      <c r="D867" s="747">
        <f>'[1]PLAN DE DESARROLLO 2024 - 2027'!$M$130</f>
        <v>9.8146749999999991E-2</v>
      </c>
      <c r="E867" s="738" t="s">
        <v>2052</v>
      </c>
      <c r="F867" s="748">
        <f>[2]Hoja1!$B$5</f>
        <v>0.14800000000000002</v>
      </c>
      <c r="G867" s="738" t="s">
        <v>843</v>
      </c>
      <c r="H867" s="738" t="s">
        <v>1300</v>
      </c>
      <c r="I867" s="738"/>
      <c r="J867" s="738" t="s">
        <v>698</v>
      </c>
      <c r="K867" s="749" t="s">
        <v>2256</v>
      </c>
    </row>
    <row r="868" spans="1:11" s="734" customFormat="1" ht="28.8" x14ac:dyDescent="0.3">
      <c r="A868" s="738" t="s">
        <v>2017</v>
      </c>
      <c r="B868" s="750">
        <f>'[1]PLAN DE DESARROLLO 2024 - 2027'!$M$123</f>
        <v>0.20174333228533195</v>
      </c>
      <c r="C868" s="738" t="s">
        <v>2047</v>
      </c>
      <c r="D868" s="747">
        <f>'[1]PLAN DE DESARROLLO 2024 - 2027'!$M$130</f>
        <v>9.8146749999999991E-2</v>
      </c>
      <c r="E868" s="738" t="s">
        <v>2048</v>
      </c>
      <c r="F868" s="748">
        <f>[2]Hoja1!$B$20</f>
        <v>3.3340000000000002E-2</v>
      </c>
      <c r="G868" s="738" t="s">
        <v>830</v>
      </c>
      <c r="H868" s="738" t="s">
        <v>1289</v>
      </c>
      <c r="I868" s="738"/>
      <c r="J868" s="738" t="s">
        <v>767</v>
      </c>
      <c r="K868" s="749" t="s">
        <v>2256</v>
      </c>
    </row>
    <row r="869" spans="1:11" s="734" customFormat="1" ht="28.8" x14ac:dyDescent="0.3">
      <c r="A869" s="738" t="s">
        <v>2017</v>
      </c>
      <c r="B869" s="750">
        <f>'[1]PLAN DE DESARROLLO 2024 - 2027'!$M$123</f>
        <v>0.20174333228533195</v>
      </c>
      <c r="C869" s="738" t="s">
        <v>2047</v>
      </c>
      <c r="D869" s="747">
        <f>'[1]PLAN DE DESARROLLO 2024 - 2027'!$M$130</f>
        <v>9.8146749999999991E-2</v>
      </c>
      <c r="E869" s="738" t="s">
        <v>2048</v>
      </c>
      <c r="F869" s="748">
        <f>[2]Hoja1!$B$20</f>
        <v>3.3340000000000002E-2</v>
      </c>
      <c r="G869" s="738" t="s">
        <v>831</v>
      </c>
      <c r="H869" s="738" t="s">
        <v>1290</v>
      </c>
      <c r="I869" s="738"/>
      <c r="J869" s="738" t="s">
        <v>767</v>
      </c>
      <c r="K869" s="749" t="s">
        <v>2256</v>
      </c>
    </row>
    <row r="870" spans="1:11" s="734" customFormat="1" ht="28.8" x14ac:dyDescent="0.3">
      <c r="A870" s="738" t="s">
        <v>2017</v>
      </c>
      <c r="B870" s="750">
        <f>'[1]PLAN DE DESARROLLO 2024 - 2027'!$M$123</f>
        <v>0.20174333228533195</v>
      </c>
      <c r="C870" s="738" t="s">
        <v>2047</v>
      </c>
      <c r="D870" s="747">
        <f>'[1]PLAN DE DESARROLLO 2024 - 2027'!$M$130</f>
        <v>9.8146749999999991E-2</v>
      </c>
      <c r="E870" s="738" t="s">
        <v>2048</v>
      </c>
      <c r="F870" s="748">
        <f>[2]Hoja1!$B$20</f>
        <v>3.3340000000000002E-2</v>
      </c>
      <c r="G870" s="738" t="s">
        <v>832</v>
      </c>
      <c r="H870" s="738" t="s">
        <v>1291</v>
      </c>
      <c r="I870" s="738"/>
      <c r="J870" s="738" t="s">
        <v>767</v>
      </c>
      <c r="K870" s="749" t="s">
        <v>2256</v>
      </c>
    </row>
    <row r="871" spans="1:11" s="734" customFormat="1" x14ac:dyDescent="0.3">
      <c r="A871" s="738" t="s">
        <v>2017</v>
      </c>
      <c r="B871" s="750">
        <f>'[1]PLAN DE DESARROLLO 2024 - 2027'!$M$123</f>
        <v>0.20174333228533195</v>
      </c>
      <c r="C871" s="738" t="s">
        <v>2047</v>
      </c>
      <c r="D871" s="747">
        <f>'[1]PLAN DE DESARROLLO 2024 - 2027'!$M$130</f>
        <v>9.8146749999999991E-2</v>
      </c>
      <c r="E871" s="738" t="s">
        <v>2048</v>
      </c>
      <c r="F871" s="748">
        <f>[2]Hoja1!$B$20</f>
        <v>3.3340000000000002E-2</v>
      </c>
      <c r="G871" s="738" t="s">
        <v>833</v>
      </c>
      <c r="H871" s="738" t="s">
        <v>1292</v>
      </c>
      <c r="I871" s="738"/>
      <c r="J871" s="738" t="s">
        <v>767</v>
      </c>
      <c r="K871" s="749" t="s">
        <v>2256</v>
      </c>
    </row>
    <row r="872" spans="1:11" s="734" customFormat="1" ht="28.8" x14ac:dyDescent="0.3">
      <c r="A872" s="738" t="s">
        <v>2068</v>
      </c>
      <c r="B872" s="750">
        <f>'[1]PLAN DE DESARROLLO 2024 - 2027'!$M$92</f>
        <v>0.25050860314981654</v>
      </c>
      <c r="C872" s="738" t="s">
        <v>2097</v>
      </c>
      <c r="D872" s="747">
        <f>'[1]PLAN DE DESARROLLO 2024 - 2027'!$M$116</f>
        <v>0.21525263088160634</v>
      </c>
      <c r="E872" s="738" t="s">
        <v>2098</v>
      </c>
      <c r="F872" s="748">
        <f>[2]Hoja1!$B$92</f>
        <v>0.30715959252971137</v>
      </c>
      <c r="G872" s="738" t="s">
        <v>768</v>
      </c>
      <c r="H872" s="738" t="s">
        <v>1465</v>
      </c>
      <c r="I872" s="738"/>
      <c r="J872" s="738" t="s">
        <v>767</v>
      </c>
      <c r="K872" s="749" t="s">
        <v>2256</v>
      </c>
    </row>
    <row r="873" spans="1:11" s="734" customFormat="1" ht="28.8" x14ac:dyDescent="0.3">
      <c r="A873" s="738" t="s">
        <v>2068</v>
      </c>
      <c r="B873" s="750">
        <f>'[1]PLAN DE DESARROLLO 2024 - 2027'!$M$92</f>
        <v>0.25050860314981654</v>
      </c>
      <c r="C873" s="738" t="s">
        <v>2097</v>
      </c>
      <c r="D873" s="747">
        <f>'[1]PLAN DE DESARROLLO 2024 - 2027'!$M$116</f>
        <v>0.21525263088160634</v>
      </c>
      <c r="E873" s="738" t="s">
        <v>2098</v>
      </c>
      <c r="F873" s="748">
        <f>[2]Hoja1!$B$92</f>
        <v>0.30715959252971137</v>
      </c>
      <c r="G873" s="738" t="s">
        <v>769</v>
      </c>
      <c r="H873" s="738" t="s">
        <v>1466</v>
      </c>
      <c r="I873" s="738"/>
      <c r="J873" s="738" t="s">
        <v>767</v>
      </c>
      <c r="K873" s="749" t="s">
        <v>2256</v>
      </c>
    </row>
    <row r="874" spans="1:11" s="734" customFormat="1" ht="28.8" x14ac:dyDescent="0.3">
      <c r="A874" s="738" t="s">
        <v>2197</v>
      </c>
      <c r="B874" s="746">
        <f>'[1]PLAN DE DESARROLLO 2024 - 2027'!$M$46</f>
        <v>0.25251661967012345</v>
      </c>
      <c r="C874" s="738" t="s">
        <v>2201</v>
      </c>
      <c r="D874" s="747">
        <f>'[1]PLAN DE DESARROLLO 2024 - 2027'!$M$73</f>
        <v>0.25984040977313172</v>
      </c>
      <c r="E874" s="738" t="s">
        <v>2235</v>
      </c>
      <c r="F874" s="748">
        <f>[2]Hoja1!$B$60</f>
        <v>0.12517636591043887</v>
      </c>
      <c r="G874" s="738" t="s">
        <v>574</v>
      </c>
      <c r="H874" s="738" t="s">
        <v>575</v>
      </c>
      <c r="I874" s="738"/>
      <c r="J874" s="738" t="s">
        <v>565</v>
      </c>
      <c r="K874" s="749" t="s">
        <v>2256</v>
      </c>
    </row>
    <row r="875" spans="1:11" s="734" customFormat="1" x14ac:dyDescent="0.3">
      <c r="A875" s="738" t="s">
        <v>2197</v>
      </c>
      <c r="B875" s="746">
        <f>'[1]PLAN DE DESARROLLO 2024 - 2027'!$M$46</f>
        <v>0.25251661967012345</v>
      </c>
      <c r="C875" s="738" t="s">
        <v>2201</v>
      </c>
      <c r="D875" s="747">
        <f>'[1]PLAN DE DESARROLLO 2024 - 2027'!$M$73</f>
        <v>0.25984040977313172</v>
      </c>
      <c r="E875" s="738" t="s">
        <v>2235</v>
      </c>
      <c r="F875" s="748">
        <f>[2]Hoja1!$B$60</f>
        <v>0.12517636591043887</v>
      </c>
      <c r="G875" s="738" t="s">
        <v>576</v>
      </c>
      <c r="H875" s="738" t="s">
        <v>577</v>
      </c>
      <c r="I875" s="738"/>
      <c r="J875" s="738" t="s">
        <v>565</v>
      </c>
      <c r="K875" s="749" t="s">
        <v>2256</v>
      </c>
    </row>
    <row r="876" spans="1:11" s="734" customFormat="1" ht="28.8" x14ac:dyDescent="0.3">
      <c r="A876" s="738" t="s">
        <v>2197</v>
      </c>
      <c r="B876" s="746">
        <f>'[1]PLAN DE DESARROLLO 2024 - 2027'!$M$46</f>
        <v>0.25251661967012345</v>
      </c>
      <c r="C876" s="738" t="s">
        <v>2201</v>
      </c>
      <c r="D876" s="747">
        <f>'[1]PLAN DE DESARROLLO 2024 - 2027'!$M$73</f>
        <v>0.25984040977313172</v>
      </c>
      <c r="E876" s="738" t="s">
        <v>2235</v>
      </c>
      <c r="F876" s="748">
        <f>[2]Hoja1!$B$60</f>
        <v>0.12517636591043887</v>
      </c>
      <c r="G876" s="738" t="s">
        <v>578</v>
      </c>
      <c r="H876" s="738" t="s">
        <v>579</v>
      </c>
      <c r="I876" s="738"/>
      <c r="J876" s="738" t="s">
        <v>565</v>
      </c>
      <c r="K876" s="749" t="s">
        <v>2256</v>
      </c>
    </row>
    <row r="877" spans="1:11" s="734" customFormat="1" ht="28.8" x14ac:dyDescent="0.3">
      <c r="A877" s="738" t="s">
        <v>2197</v>
      </c>
      <c r="B877" s="746">
        <f>'[1]PLAN DE DESARROLLO 2024 - 2027'!$M$46</f>
        <v>0.25251661967012345</v>
      </c>
      <c r="C877" s="738" t="s">
        <v>2201</v>
      </c>
      <c r="D877" s="747">
        <f>'[1]PLAN DE DESARROLLO 2024 - 2027'!$M$73</f>
        <v>0.25984040977313172</v>
      </c>
      <c r="E877" s="738" t="s">
        <v>2237</v>
      </c>
      <c r="F877" s="748">
        <f>[2]Hoja1!$B$66</f>
        <v>0.34112500000000001</v>
      </c>
      <c r="G877" s="738" t="s">
        <v>588</v>
      </c>
      <c r="H877" s="738" t="s">
        <v>589</v>
      </c>
      <c r="I877" s="738"/>
      <c r="J877" s="738" t="s">
        <v>565</v>
      </c>
      <c r="K877" s="749" t="s">
        <v>2256</v>
      </c>
    </row>
    <row r="878" spans="1:11" s="734" customFormat="1" ht="28.8" x14ac:dyDescent="0.3">
      <c r="A878" s="738" t="s">
        <v>2110</v>
      </c>
      <c r="B878" s="750">
        <f>'[1]PLAN DE DESARROLLO 2024 - 2027'!$M$161</f>
        <v>0.24647581985093744</v>
      </c>
      <c r="C878" s="738" t="s">
        <v>2118</v>
      </c>
      <c r="D878" s="747">
        <f>'[1]PLAN DE DESARROLLO 2024 - 2027'!$M$184</f>
        <v>0.18265127235728812</v>
      </c>
      <c r="E878" s="738" t="s">
        <v>2133</v>
      </c>
      <c r="F878" s="748">
        <f>[2]Hoja1!$B$43</f>
        <v>7.6466666666666683E-2</v>
      </c>
      <c r="G878" s="738" t="s">
        <v>1035</v>
      </c>
      <c r="H878" s="738" t="s">
        <v>1233</v>
      </c>
      <c r="I878" s="738"/>
      <c r="J878" s="738" t="s">
        <v>58</v>
      </c>
      <c r="K878" s="749" t="s">
        <v>2256</v>
      </c>
    </row>
    <row r="879" spans="1:11" s="734" customFormat="1" ht="28.8" x14ac:dyDescent="0.3">
      <c r="A879" s="738" t="s">
        <v>2110</v>
      </c>
      <c r="B879" s="750">
        <f>'[1]PLAN DE DESARROLLO 2024 - 2027'!$M$161</f>
        <v>0.24647581985093744</v>
      </c>
      <c r="C879" s="738" t="s">
        <v>2118</v>
      </c>
      <c r="D879" s="747">
        <f>'[1]PLAN DE DESARROLLO 2024 - 2027'!$M$184</f>
        <v>0.18265127235728812</v>
      </c>
      <c r="E879" s="738" t="s">
        <v>2133</v>
      </c>
      <c r="F879" s="748">
        <f>[2]Hoja1!$B$43</f>
        <v>7.6466666666666683E-2</v>
      </c>
      <c r="G879" s="738" t="s">
        <v>1036</v>
      </c>
      <c r="H879" s="738" t="s">
        <v>1234</v>
      </c>
      <c r="I879" s="738"/>
      <c r="J879" s="738" t="s">
        <v>58</v>
      </c>
      <c r="K879" s="749" t="s">
        <v>2256</v>
      </c>
    </row>
    <row r="880" spans="1:11" s="734" customFormat="1" ht="28.8" x14ac:dyDescent="0.3">
      <c r="A880" s="738" t="s">
        <v>2110</v>
      </c>
      <c r="B880" s="750">
        <f>'[1]PLAN DE DESARROLLO 2024 - 2027'!$M$161</f>
        <v>0.24647581985093744</v>
      </c>
      <c r="C880" s="738" t="s">
        <v>2118</v>
      </c>
      <c r="D880" s="747">
        <f>'[1]PLAN DE DESARROLLO 2024 - 2027'!$M$184</f>
        <v>0.18265127235728812</v>
      </c>
      <c r="E880" s="738" t="s">
        <v>2133</v>
      </c>
      <c r="F880" s="748">
        <f>[2]Hoja1!$B$43</f>
        <v>7.6466666666666683E-2</v>
      </c>
      <c r="G880" s="738" t="s">
        <v>1037</v>
      </c>
      <c r="H880" s="738" t="s">
        <v>1235</v>
      </c>
      <c r="I880" s="738"/>
      <c r="J880" s="738" t="s">
        <v>58</v>
      </c>
      <c r="K880" s="749" t="s">
        <v>2256</v>
      </c>
    </row>
    <row r="881" spans="1:11" s="734" customFormat="1" ht="28.8" x14ac:dyDescent="0.3">
      <c r="A881" s="738" t="s">
        <v>2143</v>
      </c>
      <c r="B881" s="746">
        <f>'[1]PLAN DE DESARROLLO 2024 - 2027'!$M$4</f>
        <v>0.24028917333263158</v>
      </c>
      <c r="C881" s="738" t="s">
        <v>2146</v>
      </c>
      <c r="D881" s="747">
        <f>'[1]PLAN DE DESARROLLO 2024 - 2027'!$M$11</f>
        <v>0.24196521875000004</v>
      </c>
      <c r="E881" s="738" t="s">
        <v>2195</v>
      </c>
      <c r="F881" s="748">
        <f>[2]Hoja1!$B$17</f>
        <v>6.6166666666666665E-2</v>
      </c>
      <c r="G881" s="738" t="s">
        <v>81</v>
      </c>
      <c r="H881" s="738" t="s">
        <v>82</v>
      </c>
      <c r="I881" s="738"/>
      <c r="J881" s="738" t="s">
        <v>12</v>
      </c>
      <c r="K881" s="749" t="s">
        <v>2256</v>
      </c>
    </row>
    <row r="882" spans="1:11" s="734" customFormat="1" ht="28.8" x14ac:dyDescent="0.3">
      <c r="A882" s="738" t="s">
        <v>2143</v>
      </c>
      <c r="B882" s="746">
        <f>'[1]PLAN DE DESARROLLO 2024 - 2027'!$M$4</f>
        <v>0.24028917333263158</v>
      </c>
      <c r="C882" s="738" t="s">
        <v>2146</v>
      </c>
      <c r="D882" s="747">
        <f>'[1]PLAN DE DESARROLLO 2024 - 2027'!$M$11</f>
        <v>0.24196521875000004</v>
      </c>
      <c r="E882" s="738" t="s">
        <v>2195</v>
      </c>
      <c r="F882" s="748">
        <f>[2]Hoja1!$B$17</f>
        <v>6.6166666666666665E-2</v>
      </c>
      <c r="G882" s="738" t="s">
        <v>83</v>
      </c>
      <c r="H882" s="738" t="s">
        <v>84</v>
      </c>
      <c r="I882" s="738"/>
      <c r="J882" s="738" t="s">
        <v>12</v>
      </c>
      <c r="K882" s="749" t="s">
        <v>2256</v>
      </c>
    </row>
    <row r="883" spans="1:11" s="734" customFormat="1" ht="28.8" x14ac:dyDescent="0.3">
      <c r="A883" s="738" t="s">
        <v>2068</v>
      </c>
      <c r="B883" s="750">
        <f>'[1]PLAN DE DESARROLLO 2024 - 2027'!$M$92</f>
        <v>0.25050860314981654</v>
      </c>
      <c r="C883" s="738" t="s">
        <v>2097</v>
      </c>
      <c r="D883" s="747">
        <f>'[1]PLAN DE DESARROLLO 2024 - 2027'!$M$116</f>
        <v>0.21525263088160634</v>
      </c>
      <c r="E883" s="738" t="s">
        <v>2098</v>
      </c>
      <c r="F883" s="748">
        <f>[2]Hoja1!$B$92</f>
        <v>0.30715959252971137</v>
      </c>
      <c r="G883" s="738" t="s">
        <v>770</v>
      </c>
      <c r="H883" s="738" t="s">
        <v>1467</v>
      </c>
      <c r="I883" s="738"/>
      <c r="J883" s="738" t="s">
        <v>767</v>
      </c>
      <c r="K883" s="749" t="s">
        <v>2256</v>
      </c>
    </row>
    <row r="884" spans="1:11" s="734" customFormat="1" ht="28.8" x14ac:dyDescent="0.3">
      <c r="A884" s="738" t="s">
        <v>2197</v>
      </c>
      <c r="B884" s="746">
        <f>'[1]PLAN DE DESARROLLO 2024 - 2027'!$M$46</f>
        <v>0.25251661967012345</v>
      </c>
      <c r="C884" s="738" t="s">
        <v>2201</v>
      </c>
      <c r="D884" s="747">
        <f>'[1]PLAN DE DESARROLLO 2024 - 2027'!$M$73</f>
        <v>0.25984040977313172</v>
      </c>
      <c r="E884" s="738" t="s">
        <v>2237</v>
      </c>
      <c r="F884" s="748">
        <f>[2]Hoja1!$B$66</f>
        <v>0.34112500000000001</v>
      </c>
      <c r="G884" s="738" t="s">
        <v>590</v>
      </c>
      <c r="H884" s="738" t="s">
        <v>591</v>
      </c>
      <c r="I884" s="738"/>
      <c r="J884" s="738" t="s">
        <v>565</v>
      </c>
      <c r="K884" s="749" t="s">
        <v>2256</v>
      </c>
    </row>
    <row r="885" spans="1:11" s="734" customFormat="1" ht="28.8" x14ac:dyDescent="0.3">
      <c r="A885" s="738" t="s">
        <v>2197</v>
      </c>
      <c r="B885" s="746">
        <f>'[1]PLAN DE DESARROLLO 2024 - 2027'!$M$46</f>
        <v>0.25251661967012345</v>
      </c>
      <c r="C885" s="738" t="s">
        <v>2201</v>
      </c>
      <c r="D885" s="747">
        <f>'[1]PLAN DE DESARROLLO 2024 - 2027'!$M$73</f>
        <v>0.25984040977313172</v>
      </c>
      <c r="E885" s="738" t="s">
        <v>2202</v>
      </c>
      <c r="F885" s="748">
        <f>[2]Hoja1!$B$104</f>
        <v>0</v>
      </c>
      <c r="G885" s="738" t="s">
        <v>612</v>
      </c>
      <c r="H885" s="738" t="s">
        <v>613</v>
      </c>
      <c r="I885" s="738"/>
      <c r="J885" s="738" t="s">
        <v>2203</v>
      </c>
      <c r="K885" s="749" t="s">
        <v>2256</v>
      </c>
    </row>
    <row r="886" spans="1:11" s="734" customFormat="1" ht="28.8" x14ac:dyDescent="0.3">
      <c r="A886" s="738" t="s">
        <v>2197</v>
      </c>
      <c r="B886" s="746">
        <f>'[1]PLAN DE DESARROLLO 2024 - 2027'!$M$46</f>
        <v>0.25251661967012345</v>
      </c>
      <c r="C886" s="738" t="s">
        <v>2201</v>
      </c>
      <c r="D886" s="747">
        <f>'[1]PLAN DE DESARROLLO 2024 - 2027'!$M$73</f>
        <v>0.25984040977313172</v>
      </c>
      <c r="E886" s="738" t="s">
        <v>2202</v>
      </c>
      <c r="F886" s="748">
        <f>[2]Hoja1!$B$104</f>
        <v>0</v>
      </c>
      <c r="G886" s="738" t="s">
        <v>614</v>
      </c>
      <c r="H886" s="738" t="s">
        <v>615</v>
      </c>
      <c r="I886" s="738"/>
      <c r="J886" s="738" t="s">
        <v>2203</v>
      </c>
      <c r="K886" s="749" t="s">
        <v>2256</v>
      </c>
    </row>
    <row r="887" spans="1:11" s="734" customFormat="1" ht="28.8" x14ac:dyDescent="0.3">
      <c r="A887" s="738" t="s">
        <v>2197</v>
      </c>
      <c r="B887" s="746">
        <f>'[1]PLAN DE DESARROLLO 2024 - 2027'!$M$46</f>
        <v>0.25251661967012345</v>
      </c>
      <c r="C887" s="738" t="s">
        <v>2201</v>
      </c>
      <c r="D887" s="747">
        <f>'[1]PLAN DE DESARROLLO 2024 - 2027'!$M$73</f>
        <v>0.25984040977313172</v>
      </c>
      <c r="E887" s="738" t="s">
        <v>2202</v>
      </c>
      <c r="F887" s="748">
        <f>[2]Hoja1!$B$104</f>
        <v>0</v>
      </c>
      <c r="G887" s="738" t="s">
        <v>616</v>
      </c>
      <c r="H887" s="738" t="s">
        <v>617</v>
      </c>
      <c r="I887" s="738"/>
      <c r="J887" s="738" t="s">
        <v>2203</v>
      </c>
      <c r="K887" s="749" t="s">
        <v>2256</v>
      </c>
    </row>
    <row r="888" spans="1:11" s="734" customFormat="1" ht="28.8" x14ac:dyDescent="0.3">
      <c r="A888" s="738" t="s">
        <v>2197</v>
      </c>
      <c r="B888" s="746">
        <f>'[1]PLAN DE DESARROLLO 2024 - 2027'!$M$46</f>
        <v>0.25251661967012345</v>
      </c>
      <c r="C888" s="738" t="s">
        <v>2240</v>
      </c>
      <c r="D888" s="747">
        <f>'[1]PLAN DE DESARROLLO 2024 - 2027'!$M$80</f>
        <v>0.28962755963439352</v>
      </c>
      <c r="E888" s="738" t="s">
        <v>2252</v>
      </c>
      <c r="F888" s="748">
        <f>[2]Hoja1!$B$26</f>
        <v>0.47766974358974362</v>
      </c>
      <c r="G888" s="738" t="s">
        <v>652</v>
      </c>
      <c r="H888" s="738" t="s">
        <v>653</v>
      </c>
      <c r="I888" s="738"/>
      <c r="J888" s="738" t="s">
        <v>620</v>
      </c>
      <c r="K888" s="749" t="s">
        <v>2256</v>
      </c>
    </row>
    <row r="889" spans="1:11" s="734" customFormat="1" ht="28.8" x14ac:dyDescent="0.3">
      <c r="A889" s="738" t="s">
        <v>2143</v>
      </c>
      <c r="B889" s="746">
        <f>'[1]PLAN DE DESARROLLO 2024 - 2027'!$M$4</f>
        <v>0.24028917333263158</v>
      </c>
      <c r="C889" s="738" t="s">
        <v>2146</v>
      </c>
      <c r="D889" s="747">
        <f>'[1]PLAN DE DESARROLLO 2024 - 2027'!$M$11</f>
        <v>0.24196521875000004</v>
      </c>
      <c r="E889" s="738" t="s">
        <v>2195</v>
      </c>
      <c r="F889" s="748">
        <f>[2]Hoja1!$B$17</f>
        <v>6.6166666666666665E-2</v>
      </c>
      <c r="G889" s="738" t="s">
        <v>85</v>
      </c>
      <c r="H889" s="738" t="s">
        <v>86</v>
      </c>
      <c r="I889" s="738"/>
      <c r="J889" s="738" t="s">
        <v>12</v>
      </c>
      <c r="K889" s="749" t="s">
        <v>2256</v>
      </c>
    </row>
    <row r="890" spans="1:11" s="734" customFormat="1" ht="28.8" x14ac:dyDescent="0.3">
      <c r="A890" s="738" t="s">
        <v>2143</v>
      </c>
      <c r="B890" s="746">
        <f>'[1]PLAN DE DESARROLLO 2024 - 2027'!$M$4</f>
        <v>0.24028917333263158</v>
      </c>
      <c r="C890" s="738" t="s">
        <v>2146</v>
      </c>
      <c r="D890" s="747">
        <f>'[1]PLAN DE DESARROLLO 2024 - 2027'!$M$11</f>
        <v>0.24196521875000004</v>
      </c>
      <c r="E890" s="738" t="s">
        <v>2195</v>
      </c>
      <c r="F890" s="748">
        <f>[2]Hoja1!$B$17</f>
        <v>6.6166666666666665E-2</v>
      </c>
      <c r="G890" s="738" t="s">
        <v>87</v>
      </c>
      <c r="H890" s="738" t="s">
        <v>88</v>
      </c>
      <c r="I890" s="738"/>
      <c r="J890" s="738" t="s">
        <v>12</v>
      </c>
      <c r="K890" s="749" t="s">
        <v>2256</v>
      </c>
    </row>
    <row r="891" spans="1:11" s="734" customFormat="1" ht="43.2" x14ac:dyDescent="0.3">
      <c r="A891" s="738" t="s">
        <v>2143</v>
      </c>
      <c r="B891" s="746">
        <f>'[1]PLAN DE DESARROLLO 2024 - 2027'!$M$4</f>
        <v>0.24028917333263158</v>
      </c>
      <c r="C891" s="738" t="s">
        <v>2146</v>
      </c>
      <c r="D891" s="747">
        <f>'[1]PLAN DE DESARROLLO 2024 - 2027'!$M$11</f>
        <v>0.24196521875000004</v>
      </c>
      <c r="E891" s="738" t="s">
        <v>1600</v>
      </c>
      <c r="F891" s="748">
        <f>[2]Hoja1!$B$21</f>
        <v>0.24583333333333335</v>
      </c>
      <c r="G891" s="738" t="s">
        <v>67</v>
      </c>
      <c r="H891" s="738" t="s">
        <v>68</v>
      </c>
      <c r="I891" s="738"/>
      <c r="J891" s="738" t="s">
        <v>12</v>
      </c>
      <c r="K891" s="749" t="s">
        <v>2256</v>
      </c>
    </row>
    <row r="892" spans="1:11" s="734" customFormat="1" ht="28.8" x14ac:dyDescent="0.3">
      <c r="A892" s="738" t="s">
        <v>2143</v>
      </c>
      <c r="B892" s="746">
        <f>'[1]PLAN DE DESARROLLO 2024 - 2027'!$M$4</f>
        <v>0.24028917333263158</v>
      </c>
      <c r="C892" s="738" t="s">
        <v>2146</v>
      </c>
      <c r="D892" s="747">
        <f>'[1]PLAN DE DESARROLLO 2024 - 2027'!$M$11</f>
        <v>0.24196521875000004</v>
      </c>
      <c r="E892" s="738" t="s">
        <v>1600</v>
      </c>
      <c r="F892" s="748">
        <f>[2]Hoja1!$B$21</f>
        <v>0.24583333333333335</v>
      </c>
      <c r="G892" s="738" t="s">
        <v>69</v>
      </c>
      <c r="H892" s="738" t="s">
        <v>70</v>
      </c>
      <c r="I892" s="738"/>
      <c r="J892" s="738" t="s">
        <v>12</v>
      </c>
      <c r="K892" s="749" t="s">
        <v>2256</v>
      </c>
    </row>
    <row r="893" spans="1:11" s="734" customFormat="1" ht="28.8" x14ac:dyDescent="0.3">
      <c r="A893" s="738" t="s">
        <v>2143</v>
      </c>
      <c r="B893" s="746">
        <f>'[1]PLAN DE DESARROLLO 2024 - 2027'!$M$4</f>
        <v>0.24028917333263158</v>
      </c>
      <c r="C893" s="738" t="s">
        <v>2146</v>
      </c>
      <c r="D893" s="747">
        <f>'[1]PLAN DE DESARROLLO 2024 - 2027'!$M$11</f>
        <v>0.24196521875000004</v>
      </c>
      <c r="E893" s="738" t="s">
        <v>1600</v>
      </c>
      <c r="F893" s="748">
        <f>[2]Hoja1!$B$21</f>
        <v>0.24583333333333335</v>
      </c>
      <c r="G893" s="738" t="s">
        <v>71</v>
      </c>
      <c r="H893" s="738" t="s">
        <v>72</v>
      </c>
      <c r="I893" s="738"/>
      <c r="J893" s="738" t="s">
        <v>12</v>
      </c>
      <c r="K893" s="749" t="s">
        <v>2256</v>
      </c>
    </row>
    <row r="894" spans="1:11" s="734" customFormat="1" ht="28.8" x14ac:dyDescent="0.3">
      <c r="A894" s="738" t="s">
        <v>2143</v>
      </c>
      <c r="B894" s="746">
        <f>'[1]PLAN DE DESARROLLO 2024 - 2027'!$M$4</f>
        <v>0.24028917333263158</v>
      </c>
      <c r="C894" s="738" t="s">
        <v>2146</v>
      </c>
      <c r="D894" s="747">
        <f>'[1]PLAN DE DESARROLLO 2024 - 2027'!$M$11</f>
        <v>0.24196521875000004</v>
      </c>
      <c r="E894" s="738" t="s">
        <v>1600</v>
      </c>
      <c r="F894" s="748">
        <f>[2]Hoja1!$B$21</f>
        <v>0.24583333333333335</v>
      </c>
      <c r="G894" s="738" t="s">
        <v>73</v>
      </c>
      <c r="H894" s="738" t="s">
        <v>74</v>
      </c>
      <c r="I894" s="738"/>
      <c r="J894" s="738" t="s">
        <v>31</v>
      </c>
      <c r="K894" s="749" t="s">
        <v>2256</v>
      </c>
    </row>
    <row r="895" spans="1:11" s="734" customFormat="1" ht="43.2" x14ac:dyDescent="0.3">
      <c r="A895" s="738" t="s">
        <v>2143</v>
      </c>
      <c r="B895" s="746">
        <f>'[1]PLAN DE DESARROLLO 2024 - 2027'!$M$4</f>
        <v>0.24028917333263158</v>
      </c>
      <c r="C895" s="738" t="s">
        <v>2146</v>
      </c>
      <c r="D895" s="747">
        <f>'[1]PLAN DE DESARROLLO 2024 - 2027'!$M$11</f>
        <v>0.24196521875000004</v>
      </c>
      <c r="E895" s="738" t="s">
        <v>2194</v>
      </c>
      <c r="F895" s="748">
        <f>[2]Hoja1!$B$44</f>
        <v>0.38600000000000001</v>
      </c>
      <c r="G895" s="738" t="s">
        <v>63</v>
      </c>
      <c r="H895" s="738" t="s">
        <v>64</v>
      </c>
      <c r="I895" s="738"/>
      <c r="J895" s="738" t="s">
        <v>58</v>
      </c>
      <c r="K895" s="749" t="s">
        <v>2256</v>
      </c>
    </row>
    <row r="896" spans="1:11" s="734" customFormat="1" ht="28.8" x14ac:dyDescent="0.3">
      <c r="A896" s="738" t="s">
        <v>2143</v>
      </c>
      <c r="B896" s="746">
        <f>'[1]PLAN DE DESARROLLO 2024 - 2027'!$M$4</f>
        <v>0.24028917333263158</v>
      </c>
      <c r="C896" s="738" t="s">
        <v>2146</v>
      </c>
      <c r="D896" s="747">
        <f>'[1]PLAN DE DESARROLLO 2024 - 2027'!$M$11</f>
        <v>0.24196521875000004</v>
      </c>
      <c r="E896" s="738" t="s">
        <v>2194</v>
      </c>
      <c r="F896" s="748">
        <f>[2]Hoja1!$B$44</f>
        <v>0.38600000000000001</v>
      </c>
      <c r="G896" s="738" t="s">
        <v>65</v>
      </c>
      <c r="H896" s="738" t="s">
        <v>66</v>
      </c>
      <c r="I896" s="738"/>
      <c r="J896" s="738" t="s">
        <v>58</v>
      </c>
      <c r="K896" s="749" t="s">
        <v>2256</v>
      </c>
    </row>
    <row r="897" spans="1:11" s="734" customFormat="1" ht="28.8" x14ac:dyDescent="0.3">
      <c r="A897" s="738" t="s">
        <v>2143</v>
      </c>
      <c r="B897" s="746">
        <f>'[1]PLAN DE DESARROLLO 2024 - 2027'!$M$4</f>
        <v>0.24028917333263158</v>
      </c>
      <c r="C897" s="738" t="s">
        <v>2146</v>
      </c>
      <c r="D897" s="747">
        <f>'[1]PLAN DE DESARROLLO 2024 - 2027'!$M$11</f>
        <v>0.24196521875000004</v>
      </c>
      <c r="E897" s="738" t="s">
        <v>1604</v>
      </c>
      <c r="F897" s="748">
        <f>[2]Hoja1!$B$48</f>
        <v>0.17574218750000001</v>
      </c>
      <c r="G897" s="738" t="s">
        <v>135</v>
      </c>
      <c r="H897" s="738" t="s">
        <v>136</v>
      </c>
      <c r="I897" s="738"/>
      <c r="J897" s="738" t="s">
        <v>12</v>
      </c>
      <c r="K897" s="749" t="s">
        <v>2256</v>
      </c>
    </row>
    <row r="898" spans="1:11" s="734" customFormat="1" ht="28.8" x14ac:dyDescent="0.3">
      <c r="A898" s="738" t="s">
        <v>2143</v>
      </c>
      <c r="B898" s="746">
        <f>'[1]PLAN DE DESARROLLO 2024 - 2027'!$M$4</f>
        <v>0.24028917333263158</v>
      </c>
      <c r="C898" s="738" t="s">
        <v>2146</v>
      </c>
      <c r="D898" s="747">
        <f>'[1]PLAN DE DESARROLLO 2024 - 2027'!$M$11</f>
        <v>0.24196521875000004</v>
      </c>
      <c r="E898" s="738" t="s">
        <v>1604</v>
      </c>
      <c r="F898" s="748">
        <f>[2]Hoja1!$B$48</f>
        <v>0.17574218750000001</v>
      </c>
      <c r="G898" s="738" t="s">
        <v>137</v>
      </c>
      <c r="H898" s="738" t="s">
        <v>138</v>
      </c>
      <c r="I898" s="738"/>
      <c r="J898" s="738" t="s">
        <v>12</v>
      </c>
      <c r="K898" s="749" t="s">
        <v>2256</v>
      </c>
    </row>
    <row r="899" spans="1:11" s="734" customFormat="1" ht="28.8" x14ac:dyDescent="0.3">
      <c r="A899" s="738" t="s">
        <v>2143</v>
      </c>
      <c r="B899" s="746">
        <f>'[1]PLAN DE DESARROLLO 2024 - 2027'!$M$4</f>
        <v>0.24028917333263158</v>
      </c>
      <c r="C899" s="738" t="s">
        <v>2146</v>
      </c>
      <c r="D899" s="747">
        <f>'[1]PLAN DE DESARROLLO 2024 - 2027'!$M$11</f>
        <v>0.24196521875000004</v>
      </c>
      <c r="E899" s="738" t="s">
        <v>1604</v>
      </c>
      <c r="F899" s="748">
        <f>[2]Hoja1!$B$48</f>
        <v>0.17574218750000001</v>
      </c>
      <c r="G899" s="738" t="s">
        <v>139</v>
      </c>
      <c r="H899" s="738" t="s">
        <v>140</v>
      </c>
      <c r="I899" s="738"/>
      <c r="J899" s="738" t="s">
        <v>12</v>
      </c>
      <c r="K899" s="749" t="s">
        <v>2256</v>
      </c>
    </row>
    <row r="900" spans="1:11" s="734" customFormat="1" ht="43.2" x14ac:dyDescent="0.3">
      <c r="A900" s="738" t="s">
        <v>2068</v>
      </c>
      <c r="B900" s="750">
        <f>'[1]PLAN DE DESARROLLO 2024 - 2027'!$M$92</f>
        <v>0.25050860314981654</v>
      </c>
      <c r="C900" s="738" t="s">
        <v>2097</v>
      </c>
      <c r="D900" s="747">
        <f>'[1]PLAN DE DESARROLLO 2024 - 2027'!$M$116</f>
        <v>0.21525263088160634</v>
      </c>
      <c r="E900" s="738" t="s">
        <v>2098</v>
      </c>
      <c r="F900" s="748">
        <f>[2]Hoja1!$B$92</f>
        <v>0.30715959252971137</v>
      </c>
      <c r="G900" s="738" t="s">
        <v>771</v>
      </c>
      <c r="H900" s="738" t="s">
        <v>1468</v>
      </c>
      <c r="I900" s="738"/>
      <c r="J900" s="738" t="s">
        <v>767</v>
      </c>
      <c r="K900" s="749" t="s">
        <v>2256</v>
      </c>
    </row>
    <row r="901" spans="1:11" s="734" customFormat="1" ht="28.8" x14ac:dyDescent="0.3">
      <c r="A901" s="738" t="s">
        <v>2068</v>
      </c>
      <c r="B901" s="750">
        <f>'[1]PLAN DE DESARROLLO 2024 - 2027'!$M$92</f>
        <v>0.25050860314981654</v>
      </c>
      <c r="C901" s="738" t="s">
        <v>2080</v>
      </c>
      <c r="D901" s="747">
        <f>'[1]PLAN DE DESARROLLO 2024 - 2027'!$M$96</f>
        <v>0.52752194656488549</v>
      </c>
      <c r="E901" s="738" t="s">
        <v>2082</v>
      </c>
      <c r="F901" s="748">
        <f>[2]Hoja1!$B$41</f>
        <v>0.38396946564885492</v>
      </c>
      <c r="G901" s="738" t="s">
        <v>694</v>
      </c>
      <c r="H901" s="738" t="s">
        <v>1403</v>
      </c>
      <c r="I901" s="738"/>
      <c r="J901" s="738" t="s">
        <v>516</v>
      </c>
      <c r="K901" s="749" t="s">
        <v>2256</v>
      </c>
    </row>
    <row r="902" spans="1:11" s="734" customFormat="1" ht="28.8" x14ac:dyDescent="0.3">
      <c r="A902" s="738" t="s">
        <v>2068</v>
      </c>
      <c r="B902" s="750">
        <f>'[1]PLAN DE DESARROLLO 2024 - 2027'!$M$92</f>
        <v>0.25050860314981654</v>
      </c>
      <c r="C902" s="738" t="s">
        <v>2080</v>
      </c>
      <c r="D902" s="747">
        <f>'[1]PLAN DE DESARROLLO 2024 - 2027'!$M$96</f>
        <v>0.52752194656488549</v>
      </c>
      <c r="E902" s="738" t="s">
        <v>2082</v>
      </c>
      <c r="F902" s="748">
        <f>[2]Hoja1!$B$41</f>
        <v>0.38396946564885492</v>
      </c>
      <c r="G902" s="738" t="s">
        <v>695</v>
      </c>
      <c r="H902" s="738" t="s">
        <v>1404</v>
      </c>
      <c r="I902" s="738"/>
      <c r="J902" s="738" t="s">
        <v>516</v>
      </c>
      <c r="K902" s="749" t="s">
        <v>2256</v>
      </c>
    </row>
    <row r="903" spans="1:11" s="734" customFormat="1" ht="43.2" x14ac:dyDescent="0.3">
      <c r="A903" s="738" t="s">
        <v>1993</v>
      </c>
      <c r="B903" s="750">
        <f>'[1]PLAN DE DESARROLLO 2024 - 2027'!$M$198</f>
        <v>3.4556250000000004E-2</v>
      </c>
      <c r="C903" s="738" t="s">
        <v>1994</v>
      </c>
      <c r="D903" s="752">
        <f>'[1]PLAN DE DESARROLLO 2024 - 2027'!$M$199</f>
        <v>3.5866666666666672E-2</v>
      </c>
      <c r="E903" s="738" t="s">
        <v>1995</v>
      </c>
      <c r="F903" s="753">
        <f>[2]Hoja1!$B$50</f>
        <v>0</v>
      </c>
      <c r="G903" s="738" t="s">
        <v>1084</v>
      </c>
      <c r="H903" s="738" t="s">
        <v>1085</v>
      </c>
      <c r="I903" s="738"/>
      <c r="J903" s="738" t="s">
        <v>162</v>
      </c>
      <c r="K903" s="749" t="s">
        <v>2256</v>
      </c>
    </row>
    <row r="904" spans="1:11" s="734" customFormat="1" ht="43.2" x14ac:dyDescent="0.3">
      <c r="A904" s="738" t="s">
        <v>1993</v>
      </c>
      <c r="B904" s="750">
        <f>'[1]PLAN DE DESARROLLO 2024 - 2027'!$M$198</f>
        <v>3.4556250000000004E-2</v>
      </c>
      <c r="C904" s="738" t="s">
        <v>1994</v>
      </c>
      <c r="D904" s="752">
        <f>'[1]PLAN DE DESARROLLO 2024 - 2027'!$M$199</f>
        <v>3.5866666666666672E-2</v>
      </c>
      <c r="E904" s="738" t="s">
        <v>1995</v>
      </c>
      <c r="F904" s="753">
        <f>[2]Hoja1!$B$50</f>
        <v>0</v>
      </c>
      <c r="G904" s="738" t="s">
        <v>1086</v>
      </c>
      <c r="H904" s="738" t="s">
        <v>1087</v>
      </c>
      <c r="I904" s="738"/>
      <c r="J904" s="738" t="s">
        <v>162</v>
      </c>
      <c r="K904" s="749" t="s">
        <v>2256</v>
      </c>
    </row>
    <row r="905" spans="1:11" s="734" customFormat="1" ht="43.2" x14ac:dyDescent="0.3">
      <c r="A905" s="738" t="s">
        <v>1993</v>
      </c>
      <c r="B905" s="750">
        <f>'[1]PLAN DE DESARROLLO 2024 - 2027'!$M$198</f>
        <v>3.4556250000000004E-2</v>
      </c>
      <c r="C905" s="738" t="s">
        <v>1994</v>
      </c>
      <c r="D905" s="752">
        <f>'[1]PLAN DE DESARROLLO 2024 - 2027'!$M$199</f>
        <v>3.5866666666666672E-2</v>
      </c>
      <c r="E905" s="738" t="s">
        <v>1995</v>
      </c>
      <c r="F905" s="753">
        <f>[2]Hoja1!$B$50</f>
        <v>0</v>
      </c>
      <c r="G905" s="738" t="s">
        <v>1088</v>
      </c>
      <c r="H905" s="738" t="s">
        <v>1089</v>
      </c>
      <c r="I905" s="738"/>
      <c r="J905" s="738" t="s">
        <v>620</v>
      </c>
      <c r="K905" s="749" t="s">
        <v>2256</v>
      </c>
    </row>
    <row r="906" spans="1:11" s="734" customFormat="1" ht="43.2" x14ac:dyDescent="0.3">
      <c r="A906" s="738" t="s">
        <v>1993</v>
      </c>
      <c r="B906" s="750">
        <f>'[1]PLAN DE DESARROLLO 2024 - 2027'!$M$198</f>
        <v>3.4556250000000004E-2</v>
      </c>
      <c r="C906" s="738" t="s">
        <v>1994</v>
      </c>
      <c r="D906" s="752">
        <f>'[1]PLAN DE DESARROLLO 2024 - 2027'!$M$199</f>
        <v>3.5866666666666672E-2</v>
      </c>
      <c r="E906" s="738" t="s">
        <v>1995</v>
      </c>
      <c r="F906" s="753">
        <f>[2]Hoja1!$B$50</f>
        <v>0</v>
      </c>
      <c r="G906" s="738" t="s">
        <v>1090</v>
      </c>
      <c r="H906" s="738" t="s">
        <v>1091</v>
      </c>
      <c r="I906" s="738"/>
      <c r="J906" s="738" t="s">
        <v>620</v>
      </c>
      <c r="K906" s="749" t="s">
        <v>2256</v>
      </c>
    </row>
    <row r="907" spans="1:11" s="734" customFormat="1" ht="57.6" x14ac:dyDescent="0.3">
      <c r="A907" s="738" t="s">
        <v>1993</v>
      </c>
      <c r="B907" s="750">
        <f>'[1]PLAN DE DESARROLLO 2024 - 2027'!$M$198</f>
        <v>3.4556250000000004E-2</v>
      </c>
      <c r="C907" s="738" t="s">
        <v>1994</v>
      </c>
      <c r="D907" s="752">
        <f>'[1]PLAN DE DESARROLLO 2024 - 2027'!$M$199</f>
        <v>3.5866666666666672E-2</v>
      </c>
      <c r="E907" s="738" t="s">
        <v>1995</v>
      </c>
      <c r="F907" s="753">
        <f>[2]Hoja1!$B$50</f>
        <v>0</v>
      </c>
      <c r="G907" s="738" t="s">
        <v>1092</v>
      </c>
      <c r="H907" s="738" t="s">
        <v>1093</v>
      </c>
      <c r="I907" s="738"/>
      <c r="J907" s="738" t="s">
        <v>707</v>
      </c>
      <c r="K907" s="749" t="s">
        <v>2256</v>
      </c>
    </row>
    <row r="908" spans="1:11" s="734" customFormat="1" ht="43.2" x14ac:dyDescent="0.3">
      <c r="A908" s="738" t="s">
        <v>1993</v>
      </c>
      <c r="B908" s="750">
        <f>'[1]PLAN DE DESARROLLO 2024 - 2027'!$M$198</f>
        <v>3.4556250000000004E-2</v>
      </c>
      <c r="C908" s="738" t="s">
        <v>1994</v>
      </c>
      <c r="D908" s="752">
        <f>'[1]PLAN DE DESARROLLO 2024 - 2027'!$M$199</f>
        <v>3.5866666666666672E-2</v>
      </c>
      <c r="E908" s="738" t="s">
        <v>1995</v>
      </c>
      <c r="F908" s="753">
        <f>[2]Hoja1!$B$50</f>
        <v>0</v>
      </c>
      <c r="G908" s="738" t="s">
        <v>1094</v>
      </c>
      <c r="H908" s="738" t="s">
        <v>1095</v>
      </c>
      <c r="I908" s="738"/>
      <c r="J908" s="738" t="s">
        <v>707</v>
      </c>
      <c r="K908" s="749" t="s">
        <v>2256</v>
      </c>
    </row>
    <row r="909" spans="1:11" s="734" customFormat="1" ht="43.2" x14ac:dyDescent="0.3">
      <c r="A909" s="738" t="s">
        <v>1993</v>
      </c>
      <c r="B909" s="750">
        <f>'[1]PLAN DE DESARROLLO 2024 - 2027'!$M$198</f>
        <v>3.4556250000000004E-2</v>
      </c>
      <c r="C909" s="738" t="s">
        <v>1994</v>
      </c>
      <c r="D909" s="752">
        <f>'[1]PLAN DE DESARROLLO 2024 - 2027'!$M$199</f>
        <v>3.5866666666666672E-2</v>
      </c>
      <c r="E909" s="738" t="s">
        <v>1995</v>
      </c>
      <c r="F909" s="753">
        <f>[2]Hoja1!$B$50</f>
        <v>0</v>
      </c>
      <c r="G909" s="738" t="s">
        <v>1096</v>
      </c>
      <c r="H909" s="738" t="s">
        <v>1097</v>
      </c>
      <c r="I909" s="738"/>
      <c r="J909" s="738" t="s">
        <v>551</v>
      </c>
      <c r="K909" s="749" t="s">
        <v>2256</v>
      </c>
    </row>
    <row r="910" spans="1:11" s="734" customFormat="1" ht="57.6" x14ac:dyDescent="0.3">
      <c r="A910" s="738" t="s">
        <v>1993</v>
      </c>
      <c r="B910" s="750">
        <f>'[1]PLAN DE DESARROLLO 2024 - 2027'!$M$198</f>
        <v>3.4556250000000004E-2</v>
      </c>
      <c r="C910" s="738" t="s">
        <v>1994</v>
      </c>
      <c r="D910" s="752">
        <f>'[1]PLAN DE DESARROLLO 2024 - 2027'!$M$199</f>
        <v>3.5866666666666672E-2</v>
      </c>
      <c r="E910" s="738" t="s">
        <v>2003</v>
      </c>
      <c r="F910" s="748">
        <f>[2]Hoja1!$B$51</f>
        <v>4.0000000000000008E-2</v>
      </c>
      <c r="G910" s="738" t="s">
        <v>1098</v>
      </c>
      <c r="H910" s="738" t="s">
        <v>1099</v>
      </c>
      <c r="I910" s="738"/>
      <c r="J910" s="738" t="s">
        <v>560</v>
      </c>
      <c r="K910" s="749" t="s">
        <v>2256</v>
      </c>
    </row>
    <row r="911" spans="1:11" s="734" customFormat="1" ht="43.2" x14ac:dyDescent="0.3">
      <c r="A911" s="738" t="s">
        <v>1993</v>
      </c>
      <c r="B911" s="750">
        <f>'[1]PLAN DE DESARROLLO 2024 - 2027'!$M$198</f>
        <v>3.4556250000000004E-2</v>
      </c>
      <c r="C911" s="738" t="s">
        <v>1994</v>
      </c>
      <c r="D911" s="752">
        <f>'[1]PLAN DE DESARROLLO 2024 - 2027'!$M$199</f>
        <v>3.5866666666666672E-2</v>
      </c>
      <c r="E911" s="738" t="s">
        <v>2003</v>
      </c>
      <c r="F911" s="748">
        <f>[2]Hoja1!$B$51</f>
        <v>4.0000000000000008E-2</v>
      </c>
      <c r="G911" s="738" t="s">
        <v>1100</v>
      </c>
      <c r="H911" s="738" t="s">
        <v>1101</v>
      </c>
      <c r="I911" s="738"/>
      <c r="J911" s="738" t="s">
        <v>698</v>
      </c>
      <c r="K911" s="749" t="s">
        <v>2256</v>
      </c>
    </row>
    <row r="912" spans="1:11" s="734" customFormat="1" ht="43.2" x14ac:dyDescent="0.3">
      <c r="A912" s="738" t="s">
        <v>1993</v>
      </c>
      <c r="B912" s="750">
        <f>'[1]PLAN DE DESARROLLO 2024 - 2027'!$M$198</f>
        <v>3.4556250000000004E-2</v>
      </c>
      <c r="C912" s="738" t="s">
        <v>1994</v>
      </c>
      <c r="D912" s="752">
        <f>'[1]PLAN DE DESARROLLO 2024 - 2027'!$M$199</f>
        <v>3.5866666666666672E-2</v>
      </c>
      <c r="E912" s="738" t="s">
        <v>2003</v>
      </c>
      <c r="F912" s="748">
        <f>[2]Hoja1!$B$51</f>
        <v>4.0000000000000008E-2</v>
      </c>
      <c r="G912" s="738" t="s">
        <v>1102</v>
      </c>
      <c r="H912" s="738" t="s">
        <v>1103</v>
      </c>
      <c r="I912" s="738"/>
      <c r="J912" s="738" t="s">
        <v>565</v>
      </c>
      <c r="K912" s="749" t="s">
        <v>2256</v>
      </c>
    </row>
    <row r="913" spans="1:11" s="734" customFormat="1" ht="43.2" x14ac:dyDescent="0.3">
      <c r="A913" s="738" t="s">
        <v>1993</v>
      </c>
      <c r="B913" s="750">
        <f>'[1]PLAN DE DESARROLLO 2024 - 2027'!$M$198</f>
        <v>3.4556250000000004E-2</v>
      </c>
      <c r="C913" s="738" t="s">
        <v>1994</v>
      </c>
      <c r="D913" s="752">
        <f>'[1]PLAN DE DESARROLLO 2024 - 2027'!$M$199</f>
        <v>3.5866666666666672E-2</v>
      </c>
      <c r="E913" s="738" t="s">
        <v>2003</v>
      </c>
      <c r="F913" s="748">
        <f>[2]Hoja1!$B$51</f>
        <v>4.0000000000000008E-2</v>
      </c>
      <c r="G913" s="738" t="s">
        <v>1104</v>
      </c>
      <c r="H913" s="738" t="s">
        <v>1105</v>
      </c>
      <c r="I913" s="738"/>
      <c r="J913" s="738" t="s">
        <v>907</v>
      </c>
      <c r="K913" s="749" t="s">
        <v>2256</v>
      </c>
    </row>
    <row r="914" spans="1:11" s="734" customFormat="1" ht="43.2" x14ac:dyDescent="0.3">
      <c r="A914" s="738" t="s">
        <v>1993</v>
      </c>
      <c r="B914" s="750">
        <f>'[1]PLAN DE DESARROLLO 2024 - 2027'!$M$198</f>
        <v>3.4556250000000004E-2</v>
      </c>
      <c r="C914" s="738" t="s">
        <v>1994</v>
      </c>
      <c r="D914" s="752">
        <f>'[1]PLAN DE DESARROLLO 2024 - 2027'!$M$199</f>
        <v>3.5866666666666672E-2</v>
      </c>
      <c r="E914" s="738" t="s">
        <v>2003</v>
      </c>
      <c r="F914" s="748">
        <f>[2]Hoja1!$B$51</f>
        <v>4.0000000000000008E-2</v>
      </c>
      <c r="G914" s="738" t="s">
        <v>1106</v>
      </c>
      <c r="H914" s="738" t="s">
        <v>1107</v>
      </c>
      <c r="I914" s="738"/>
      <c r="J914" s="738" t="s">
        <v>2004</v>
      </c>
      <c r="K914" s="749" t="s">
        <v>2256</v>
      </c>
    </row>
    <row r="915" spans="1:11" s="734" customFormat="1" ht="57.6" x14ac:dyDescent="0.3">
      <c r="A915" s="738" t="s">
        <v>1993</v>
      </c>
      <c r="B915" s="750">
        <f>'[1]PLAN DE DESARROLLO 2024 - 2027'!$M$198</f>
        <v>3.4556250000000004E-2</v>
      </c>
      <c r="C915" s="738" t="s">
        <v>1994</v>
      </c>
      <c r="D915" s="752">
        <f>'[1]PLAN DE DESARROLLO 2024 - 2027'!$M$199</f>
        <v>3.5866666666666672E-2</v>
      </c>
      <c r="E915" s="738" t="s">
        <v>2003</v>
      </c>
      <c r="F915" s="748">
        <f>[2]Hoja1!$B$51</f>
        <v>4.0000000000000008E-2</v>
      </c>
      <c r="G915" s="738" t="s">
        <v>1109</v>
      </c>
      <c r="H915" s="738" t="s">
        <v>1110</v>
      </c>
      <c r="I915" s="738"/>
      <c r="J915" s="738" t="s">
        <v>2005</v>
      </c>
      <c r="K915" s="749" t="s">
        <v>2256</v>
      </c>
    </row>
    <row r="916" spans="1:11" s="734" customFormat="1" ht="43.2" x14ac:dyDescent="0.3">
      <c r="A916" s="738" t="s">
        <v>1993</v>
      </c>
      <c r="B916" s="750">
        <f>'[1]PLAN DE DESARROLLO 2024 - 2027'!$M$198</f>
        <v>3.4556250000000004E-2</v>
      </c>
      <c r="C916" s="738" t="s">
        <v>1994</v>
      </c>
      <c r="D916" s="752">
        <f>'[1]PLAN DE DESARROLLO 2024 - 2027'!$M$199</f>
        <v>3.5866666666666672E-2</v>
      </c>
      <c r="E916" s="738" t="s">
        <v>2003</v>
      </c>
      <c r="F916" s="748">
        <f>[2]Hoja1!$B$51</f>
        <v>4.0000000000000008E-2</v>
      </c>
      <c r="G916" s="738" t="s">
        <v>1112</v>
      </c>
      <c r="H916" s="738" t="s">
        <v>1113</v>
      </c>
      <c r="I916" s="738"/>
      <c r="J916" s="738" t="s">
        <v>560</v>
      </c>
      <c r="K916" s="749" t="s">
        <v>2256</v>
      </c>
    </row>
    <row r="917" spans="1:11" s="734" customFormat="1" ht="28.8" x14ac:dyDescent="0.3">
      <c r="A917" s="738" t="s">
        <v>2110</v>
      </c>
      <c r="B917" s="750">
        <f>'[1]PLAN DE DESARROLLO 2024 - 2027'!$M$161</f>
        <v>0.24647581985093744</v>
      </c>
      <c r="C917" s="738" t="s">
        <v>2134</v>
      </c>
      <c r="D917" s="747">
        <f>'[1]PLAN DE DESARROLLO 2024 - 2027'!$M$191</f>
        <v>0.22981556695992181</v>
      </c>
      <c r="E917" s="738" t="s">
        <v>1836</v>
      </c>
      <c r="F917" s="748">
        <f>[2]Hoja1!$B$52</f>
        <v>0.15833333333333333</v>
      </c>
      <c r="G917" s="738" t="s">
        <v>1058</v>
      </c>
      <c r="H917" s="738" t="s">
        <v>1256</v>
      </c>
      <c r="I917" s="738"/>
      <c r="J917" s="738" t="s">
        <v>2140</v>
      </c>
      <c r="K917" s="749" t="s">
        <v>2256</v>
      </c>
    </row>
    <row r="918" spans="1:11" s="734" customFormat="1" ht="28.8" x14ac:dyDescent="0.3">
      <c r="A918" s="738" t="s">
        <v>2110</v>
      </c>
      <c r="B918" s="750">
        <f>'[1]PLAN DE DESARROLLO 2024 - 2027'!$M$161</f>
        <v>0.24647581985093744</v>
      </c>
      <c r="C918" s="738" t="s">
        <v>2134</v>
      </c>
      <c r="D918" s="747">
        <f>'[1]PLAN DE DESARROLLO 2024 - 2027'!$M$191</f>
        <v>0.22981556695992181</v>
      </c>
      <c r="E918" s="738" t="s">
        <v>1836</v>
      </c>
      <c r="F918" s="748">
        <f>[2]Hoja1!$B$52</f>
        <v>0.15833333333333333</v>
      </c>
      <c r="G918" s="738" t="s">
        <v>1060</v>
      </c>
      <c r="H918" s="738" t="s">
        <v>1257</v>
      </c>
      <c r="I918" s="738"/>
      <c r="J918" s="738" t="s">
        <v>560</v>
      </c>
      <c r="K918" s="749" t="s">
        <v>2256</v>
      </c>
    </row>
    <row r="919" spans="1:11" s="734" customFormat="1" ht="28.8" x14ac:dyDescent="0.3">
      <c r="A919" s="738" t="s">
        <v>2110</v>
      </c>
      <c r="B919" s="750">
        <f>'[1]PLAN DE DESARROLLO 2024 - 2027'!$M$161</f>
        <v>0.24647581985093744</v>
      </c>
      <c r="C919" s="738" t="s">
        <v>2134</v>
      </c>
      <c r="D919" s="747">
        <f>'[1]PLAN DE DESARROLLO 2024 - 2027'!$M$191</f>
        <v>0.22981556695992181</v>
      </c>
      <c r="E919" s="738" t="s">
        <v>1836</v>
      </c>
      <c r="F919" s="748">
        <f>[2]Hoja1!$B$52</f>
        <v>0.15833333333333333</v>
      </c>
      <c r="G919" s="738" t="s">
        <v>1061</v>
      </c>
      <c r="H919" s="738" t="s">
        <v>1258</v>
      </c>
      <c r="I919" s="738"/>
      <c r="J919" s="738" t="s">
        <v>560</v>
      </c>
      <c r="K919" s="749" t="s">
        <v>2256</v>
      </c>
    </row>
    <row r="920" spans="1:11" s="734" customFormat="1" ht="43.2" x14ac:dyDescent="0.3">
      <c r="A920" s="738" t="s">
        <v>2110</v>
      </c>
      <c r="B920" s="750">
        <f>'[1]PLAN DE DESARROLLO 2024 - 2027'!$M$161</f>
        <v>0.24647581985093744</v>
      </c>
      <c r="C920" s="738" t="s">
        <v>2134</v>
      </c>
      <c r="D920" s="747">
        <f>'[1]PLAN DE DESARROLLO 2024 - 2027'!$M$191</f>
        <v>0.22981556695992181</v>
      </c>
      <c r="E920" s="738" t="s">
        <v>1836</v>
      </c>
      <c r="F920" s="748">
        <f>[2]Hoja1!$B$52</f>
        <v>0.15833333333333333</v>
      </c>
      <c r="G920" s="738" t="s">
        <v>1062</v>
      </c>
      <c r="H920" s="738" t="s">
        <v>1259</v>
      </c>
      <c r="I920" s="738"/>
      <c r="J920" s="738" t="s">
        <v>560</v>
      </c>
      <c r="K920" s="749" t="s">
        <v>2256</v>
      </c>
    </row>
    <row r="921" spans="1:11" s="734" customFormat="1" ht="28.8" x14ac:dyDescent="0.3">
      <c r="A921" s="738" t="s">
        <v>2143</v>
      </c>
      <c r="B921" s="746">
        <f>'[1]PLAN DE DESARROLLO 2024 - 2027'!$M$4</f>
        <v>0.24028917333263158</v>
      </c>
      <c r="C921" s="738" t="s">
        <v>2146</v>
      </c>
      <c r="D921" s="747">
        <f>'[1]PLAN DE DESARROLLO 2024 - 2027'!$M$11</f>
        <v>0.24196521875000004</v>
      </c>
      <c r="E921" s="738" t="s">
        <v>1604</v>
      </c>
      <c r="F921" s="748">
        <f>[2]Hoja1!$B$48</f>
        <v>0.17574218750000001</v>
      </c>
      <c r="G921" s="738" t="s">
        <v>141</v>
      </c>
      <c r="H921" s="738" t="s">
        <v>142</v>
      </c>
      <c r="I921" s="738"/>
      <c r="J921" s="738" t="s">
        <v>12</v>
      </c>
      <c r="K921" s="749" t="s">
        <v>2256</v>
      </c>
    </row>
    <row r="922" spans="1:11" s="734" customFormat="1" ht="43.2" x14ac:dyDescent="0.3">
      <c r="A922" s="738" t="s">
        <v>2143</v>
      </c>
      <c r="B922" s="746">
        <f>'[1]PLAN DE DESARROLLO 2024 - 2027'!$M$4</f>
        <v>0.24028917333263158</v>
      </c>
      <c r="C922" s="738" t="s">
        <v>2146</v>
      </c>
      <c r="D922" s="747">
        <f>'[1]PLAN DE DESARROLLO 2024 - 2027'!$M$11</f>
        <v>0.24196521875000004</v>
      </c>
      <c r="E922" s="738" t="s">
        <v>1604</v>
      </c>
      <c r="F922" s="748">
        <f>[2]Hoja1!$B$48</f>
        <v>0.17574218750000001</v>
      </c>
      <c r="G922" s="738" t="s">
        <v>143</v>
      </c>
      <c r="H922" s="738" t="s">
        <v>144</v>
      </c>
      <c r="I922" s="738"/>
      <c r="J922" s="738" t="s">
        <v>12</v>
      </c>
      <c r="K922" s="749" t="s">
        <v>2256</v>
      </c>
    </row>
    <row r="923" spans="1:11" s="734" customFormat="1" ht="28.8" x14ac:dyDescent="0.3">
      <c r="A923" s="738" t="s">
        <v>2143</v>
      </c>
      <c r="B923" s="746">
        <f>'[1]PLAN DE DESARROLLO 2024 - 2027'!$M$4</f>
        <v>0.24028917333263158</v>
      </c>
      <c r="C923" s="738" t="s">
        <v>2146</v>
      </c>
      <c r="D923" s="747">
        <f>'[1]PLAN DE DESARROLLO 2024 - 2027'!$M$11</f>
        <v>0.24196521875000004</v>
      </c>
      <c r="E923" s="738" t="s">
        <v>1604</v>
      </c>
      <c r="F923" s="748">
        <f>[2]Hoja1!$B$48</f>
        <v>0.17574218750000001</v>
      </c>
      <c r="G923" s="738" t="s">
        <v>145</v>
      </c>
      <c r="H923" s="738" t="s">
        <v>146</v>
      </c>
      <c r="I923" s="738"/>
      <c r="J923" s="738" t="s">
        <v>12</v>
      </c>
      <c r="K923" s="749" t="s">
        <v>2256</v>
      </c>
    </row>
    <row r="924" spans="1:11" s="734" customFormat="1" x14ac:dyDescent="0.3">
      <c r="A924" s="738" t="s">
        <v>2068</v>
      </c>
      <c r="B924" s="750">
        <f>'[1]PLAN DE DESARROLLO 2024 - 2027'!$M$92</f>
        <v>0.25050860314981654</v>
      </c>
      <c r="C924" s="738" t="s">
        <v>2080</v>
      </c>
      <c r="D924" s="747">
        <f>'[1]PLAN DE DESARROLLO 2024 - 2027'!$M$96</f>
        <v>0.52752194656488549</v>
      </c>
      <c r="E924" s="738" t="s">
        <v>2083</v>
      </c>
      <c r="F924" s="748">
        <f>[2]Hoja1!$B$54</f>
        <v>0.21999999999999997</v>
      </c>
      <c r="G924" s="738" t="s">
        <v>697</v>
      </c>
      <c r="H924" s="738" t="s">
        <v>1405</v>
      </c>
      <c r="I924" s="738"/>
      <c r="J924" s="738" t="s">
        <v>698</v>
      </c>
      <c r="K924" s="749" t="s">
        <v>2256</v>
      </c>
    </row>
    <row r="925" spans="1:11" s="734" customFormat="1" ht="28.8" x14ac:dyDescent="0.3">
      <c r="A925" s="738" t="s">
        <v>2068</v>
      </c>
      <c r="B925" s="750">
        <f>'[1]PLAN DE DESARROLLO 2024 - 2027'!$M$92</f>
        <v>0.25050860314981654</v>
      </c>
      <c r="C925" s="738" t="s">
        <v>2080</v>
      </c>
      <c r="D925" s="747">
        <f>'[1]PLAN DE DESARROLLO 2024 - 2027'!$M$96</f>
        <v>0.52752194656488549</v>
      </c>
      <c r="E925" s="738" t="s">
        <v>2083</v>
      </c>
      <c r="F925" s="748">
        <f>[2]Hoja1!$B$54</f>
        <v>0.21999999999999997</v>
      </c>
      <c r="G925" s="738" t="s">
        <v>699</v>
      </c>
      <c r="H925" s="738" t="s">
        <v>1406</v>
      </c>
      <c r="I925" s="738"/>
      <c r="J925" s="738" t="s">
        <v>2084</v>
      </c>
      <c r="K925" s="749" t="s">
        <v>2256</v>
      </c>
    </row>
    <row r="926" spans="1:11" s="734" customFormat="1" ht="28.8" x14ac:dyDescent="0.3">
      <c r="A926" s="738" t="s">
        <v>2068</v>
      </c>
      <c r="B926" s="750">
        <f>'[1]PLAN DE DESARROLLO 2024 - 2027'!$M$92</f>
        <v>0.25050860314981654</v>
      </c>
      <c r="C926" s="738" t="s">
        <v>2080</v>
      </c>
      <c r="D926" s="747">
        <f>'[1]PLAN DE DESARROLLO 2024 - 2027'!$M$96</f>
        <v>0.52752194656488549</v>
      </c>
      <c r="E926" s="738" t="s">
        <v>2083</v>
      </c>
      <c r="F926" s="748">
        <f>[2]Hoja1!$B$54</f>
        <v>0.21999999999999997</v>
      </c>
      <c r="G926" s="738" t="s">
        <v>701</v>
      </c>
      <c r="H926" s="738" t="s">
        <v>1407</v>
      </c>
      <c r="I926" s="738"/>
      <c r="J926" s="738" t="s">
        <v>516</v>
      </c>
      <c r="K926" s="749" t="s">
        <v>2256</v>
      </c>
    </row>
    <row r="927" spans="1:11" s="734" customFormat="1" ht="28.8" x14ac:dyDescent="0.3">
      <c r="A927" s="738" t="s">
        <v>2143</v>
      </c>
      <c r="B927" s="746">
        <f>'[1]PLAN DE DESARROLLO 2024 - 2027'!$M$4</f>
        <v>0.24028917333263158</v>
      </c>
      <c r="C927" s="738" t="s">
        <v>2146</v>
      </c>
      <c r="D927" s="747">
        <f>'[1]PLAN DE DESARROLLO 2024 - 2027'!$M$11</f>
        <v>0.24196521875000004</v>
      </c>
      <c r="E927" s="738" t="s">
        <v>1604</v>
      </c>
      <c r="F927" s="748">
        <f>[2]Hoja1!$B$48</f>
        <v>0.17574218750000001</v>
      </c>
      <c r="G927" s="738" t="s">
        <v>147</v>
      </c>
      <c r="H927" s="738" t="s">
        <v>148</v>
      </c>
      <c r="I927" s="738"/>
      <c r="J927" s="738" t="s">
        <v>12</v>
      </c>
      <c r="K927" s="749" t="s">
        <v>2256</v>
      </c>
    </row>
    <row r="928" spans="1:11" s="734" customFormat="1" ht="43.2" x14ac:dyDescent="0.3">
      <c r="A928" s="738" t="s">
        <v>2143</v>
      </c>
      <c r="B928" s="746">
        <f>'[1]PLAN DE DESARROLLO 2024 - 2027'!$M$4</f>
        <v>0.24028917333263158</v>
      </c>
      <c r="C928" s="738" t="s">
        <v>2146</v>
      </c>
      <c r="D928" s="747">
        <f>'[1]PLAN DE DESARROLLO 2024 - 2027'!$M$11</f>
        <v>0.24196521875000004</v>
      </c>
      <c r="E928" s="738" t="s">
        <v>1604</v>
      </c>
      <c r="F928" s="748">
        <f>[2]Hoja1!$B$48</f>
        <v>0.17574218750000001</v>
      </c>
      <c r="G928" s="738" t="s">
        <v>149</v>
      </c>
      <c r="H928" s="738" t="s">
        <v>150</v>
      </c>
      <c r="I928" s="738"/>
      <c r="J928" s="738" t="s">
        <v>12</v>
      </c>
      <c r="K928" s="749" t="s">
        <v>2256</v>
      </c>
    </row>
    <row r="929" spans="1:11" s="734" customFormat="1" ht="28.8" x14ac:dyDescent="0.3">
      <c r="A929" s="738" t="s">
        <v>2143</v>
      </c>
      <c r="B929" s="746">
        <f>'[1]PLAN DE DESARROLLO 2024 - 2027'!$M$4</f>
        <v>0.24028917333263158</v>
      </c>
      <c r="C929" s="738" t="s">
        <v>2146</v>
      </c>
      <c r="D929" s="747">
        <f>'[1]PLAN DE DESARROLLO 2024 - 2027'!$M$11</f>
        <v>0.24196521875000004</v>
      </c>
      <c r="E929" s="738" t="s">
        <v>1604</v>
      </c>
      <c r="F929" s="748">
        <f>[2]Hoja1!$B$48</f>
        <v>0.17574218750000001</v>
      </c>
      <c r="G929" s="738" t="s">
        <v>151</v>
      </c>
      <c r="H929" s="738" t="s">
        <v>152</v>
      </c>
      <c r="I929" s="738"/>
      <c r="J929" s="738" t="s">
        <v>12</v>
      </c>
      <c r="K929" s="749" t="s">
        <v>2256</v>
      </c>
    </row>
    <row r="930" spans="1:11" s="734" customFormat="1" ht="43.2" x14ac:dyDescent="0.3">
      <c r="A930" s="738" t="s">
        <v>2143</v>
      </c>
      <c r="B930" s="746">
        <f>'[1]PLAN DE DESARROLLO 2024 - 2027'!$M$4</f>
        <v>0.24028917333263158</v>
      </c>
      <c r="C930" s="738" t="s">
        <v>2146</v>
      </c>
      <c r="D930" s="747">
        <f>'[1]PLAN DE DESARROLLO 2024 - 2027'!$M$11</f>
        <v>0.24196521875000004</v>
      </c>
      <c r="E930" s="738" t="s">
        <v>1605</v>
      </c>
      <c r="F930" s="748">
        <f>[2]Hoja1!$B$147</f>
        <v>0.1875</v>
      </c>
      <c r="G930" s="738" t="s">
        <v>153</v>
      </c>
      <c r="H930" s="738" t="s">
        <v>154</v>
      </c>
      <c r="I930" s="738"/>
      <c r="J930" s="738" t="s">
        <v>12</v>
      </c>
      <c r="K930" s="749" t="s">
        <v>2256</v>
      </c>
    </row>
    <row r="931" spans="1:11" s="734" customFormat="1" ht="28.8" x14ac:dyDescent="0.3">
      <c r="A931" s="738" t="s">
        <v>2143</v>
      </c>
      <c r="B931" s="746">
        <f>'[1]PLAN DE DESARROLLO 2024 - 2027'!$M$4</f>
        <v>0.24028917333263158</v>
      </c>
      <c r="C931" s="738" t="s">
        <v>2146</v>
      </c>
      <c r="D931" s="747">
        <f>'[1]PLAN DE DESARROLLO 2024 - 2027'!$M$11</f>
        <v>0.24196521875000004</v>
      </c>
      <c r="E931" s="738" t="s">
        <v>1605</v>
      </c>
      <c r="F931" s="748">
        <f>[2]Hoja1!$B$147</f>
        <v>0.1875</v>
      </c>
      <c r="G931" s="738" t="s">
        <v>155</v>
      </c>
      <c r="H931" s="738" t="s">
        <v>156</v>
      </c>
      <c r="I931" s="738"/>
      <c r="J931" s="738" t="s">
        <v>12</v>
      </c>
      <c r="K931" s="749" t="s">
        <v>2256</v>
      </c>
    </row>
    <row r="932" spans="1:11" s="734" customFormat="1" ht="28.8" x14ac:dyDescent="0.3">
      <c r="A932" s="738" t="s">
        <v>2143</v>
      </c>
      <c r="B932" s="746">
        <f>'[1]PLAN DE DESARROLLO 2024 - 2027'!$M$4</f>
        <v>0.24028917333263158</v>
      </c>
      <c r="C932" s="738" t="s">
        <v>2146</v>
      </c>
      <c r="D932" s="747">
        <f>'[1]PLAN DE DESARROLLO 2024 - 2027'!$M$11</f>
        <v>0.24196521875000004</v>
      </c>
      <c r="E932" s="738" t="s">
        <v>1605</v>
      </c>
      <c r="F932" s="748">
        <f>[2]Hoja1!$B$147</f>
        <v>0.1875</v>
      </c>
      <c r="G932" s="738" t="s">
        <v>157</v>
      </c>
      <c r="H932" s="738" t="s">
        <v>158</v>
      </c>
      <c r="I932" s="738"/>
      <c r="J932" s="738" t="s">
        <v>12</v>
      </c>
      <c r="K932" s="749" t="s">
        <v>2256</v>
      </c>
    </row>
    <row r="933" spans="1:11" s="734" customFormat="1" ht="28.8" x14ac:dyDescent="0.3">
      <c r="A933" s="738" t="s">
        <v>2143</v>
      </c>
      <c r="B933" s="746">
        <f>'[1]PLAN DE DESARROLLO 2024 - 2027'!$M$4</f>
        <v>0.24028917333263158</v>
      </c>
      <c r="C933" s="738" t="s">
        <v>2146</v>
      </c>
      <c r="D933" s="747">
        <f>'[1]PLAN DE DESARROLLO 2024 - 2027'!$M$11</f>
        <v>0.24196521875000004</v>
      </c>
      <c r="E933" s="738" t="s">
        <v>2193</v>
      </c>
      <c r="F933" s="748">
        <f>[2]Hoja1!$B$157</f>
        <v>0.55504000000000009</v>
      </c>
      <c r="G933" s="738" t="s">
        <v>56</v>
      </c>
      <c r="H933" s="738" t="s">
        <v>57</v>
      </c>
      <c r="I933" s="738"/>
      <c r="J933" s="738" t="s">
        <v>58</v>
      </c>
      <c r="K933" s="749" t="s">
        <v>2256</v>
      </c>
    </row>
    <row r="934" spans="1:11" s="734" customFormat="1" ht="28.8" x14ac:dyDescent="0.3">
      <c r="A934" s="738" t="s">
        <v>2143</v>
      </c>
      <c r="B934" s="746">
        <f>'[1]PLAN DE DESARROLLO 2024 - 2027'!$M$4</f>
        <v>0.24028917333263158</v>
      </c>
      <c r="C934" s="738" t="s">
        <v>2146</v>
      </c>
      <c r="D934" s="747">
        <f>'[1]PLAN DE DESARROLLO 2024 - 2027'!$M$11</f>
        <v>0.24196521875000004</v>
      </c>
      <c r="E934" s="738" t="s">
        <v>2193</v>
      </c>
      <c r="F934" s="748">
        <f>[2]Hoja1!$B$157</f>
        <v>0.55504000000000009</v>
      </c>
      <c r="G934" s="738" t="s">
        <v>59</v>
      </c>
      <c r="H934" s="738" t="s">
        <v>60</v>
      </c>
      <c r="I934" s="738"/>
      <c r="J934" s="738" t="s">
        <v>58</v>
      </c>
      <c r="K934" s="749" t="s">
        <v>2256</v>
      </c>
    </row>
    <row r="935" spans="1:11" s="734" customFormat="1" ht="43.2" x14ac:dyDescent="0.3">
      <c r="A935" s="738" t="s">
        <v>2143</v>
      </c>
      <c r="B935" s="746">
        <f>'[1]PLAN DE DESARROLLO 2024 - 2027'!$M$4</f>
        <v>0.24028917333263158</v>
      </c>
      <c r="C935" s="738" t="s">
        <v>2146</v>
      </c>
      <c r="D935" s="747">
        <f>'[1]PLAN DE DESARROLLO 2024 - 2027'!$M$11</f>
        <v>0.24196521875000004</v>
      </c>
      <c r="E935" s="738" t="s">
        <v>2193</v>
      </c>
      <c r="F935" s="748">
        <f>[2]Hoja1!$B$157</f>
        <v>0.55504000000000009</v>
      </c>
      <c r="G935" s="738" t="s">
        <v>61</v>
      </c>
      <c r="H935" s="738" t="s">
        <v>62</v>
      </c>
      <c r="I935" s="738"/>
      <c r="J935" s="738" t="s">
        <v>58</v>
      </c>
      <c r="K935" s="749" t="s">
        <v>2256</v>
      </c>
    </row>
    <row r="936" spans="1:11" s="734" customFormat="1" ht="43.2" x14ac:dyDescent="0.3">
      <c r="A936" s="738" t="s">
        <v>2143</v>
      </c>
      <c r="B936" s="746">
        <f>'[1]PLAN DE DESARROLLO 2024 - 2027'!$M$4</f>
        <v>0.24028917333263158</v>
      </c>
      <c r="C936" s="738" t="s">
        <v>2149</v>
      </c>
      <c r="D936" s="747">
        <f>'[1]PLAN DE DESARROLLO 2024 - 2027'!$M$20</f>
        <v>0.2170625911038922</v>
      </c>
      <c r="E936" s="738" t="s">
        <v>1630</v>
      </c>
      <c r="F936" s="748">
        <f>[2]Hoja1!$B$35</f>
        <v>0.21</v>
      </c>
      <c r="G936" s="738" t="s">
        <v>220</v>
      </c>
      <c r="H936" s="738" t="s">
        <v>221</v>
      </c>
      <c r="I936" s="738"/>
      <c r="J936" s="738" t="s">
        <v>516</v>
      </c>
      <c r="K936" s="749" t="s">
        <v>2256</v>
      </c>
    </row>
    <row r="937" spans="1:11" s="734" customFormat="1" ht="43.2" x14ac:dyDescent="0.3">
      <c r="A937" s="738" t="s">
        <v>2143</v>
      </c>
      <c r="B937" s="746">
        <f>'[1]PLAN DE DESARROLLO 2024 - 2027'!$M$4</f>
        <v>0.24028917333263158</v>
      </c>
      <c r="C937" s="738" t="s">
        <v>2149</v>
      </c>
      <c r="D937" s="747">
        <f>'[1]PLAN DE DESARROLLO 2024 - 2027'!$M$20</f>
        <v>0.2170625911038922</v>
      </c>
      <c r="E937" s="738" t="s">
        <v>1630</v>
      </c>
      <c r="F937" s="748">
        <f>[2]Hoja1!$B$35</f>
        <v>0.21</v>
      </c>
      <c r="G937" s="738" t="s">
        <v>223</v>
      </c>
      <c r="H937" s="738" t="s">
        <v>224</v>
      </c>
      <c r="I937" s="738"/>
      <c r="J937" s="738" t="s">
        <v>516</v>
      </c>
      <c r="K937" s="749" t="s">
        <v>2256</v>
      </c>
    </row>
    <row r="938" spans="1:11" s="734" customFormat="1" ht="43.2" x14ac:dyDescent="0.3">
      <c r="A938" s="738" t="s">
        <v>2068</v>
      </c>
      <c r="B938" s="750">
        <f>'[1]PLAN DE DESARROLLO 2024 - 2027'!$M$92</f>
        <v>0.25050860314981654</v>
      </c>
      <c r="C938" s="738" t="s">
        <v>2080</v>
      </c>
      <c r="D938" s="747">
        <f>'[1]PLAN DE DESARROLLO 2024 - 2027'!$M$96</f>
        <v>0.52752194656488549</v>
      </c>
      <c r="E938" s="738" t="s">
        <v>2085</v>
      </c>
      <c r="F938" s="748">
        <f>[2]Hoja1!$B$153</f>
        <v>0.6</v>
      </c>
      <c r="G938" s="738" t="s">
        <v>702</v>
      </c>
      <c r="H938" s="738" t="s">
        <v>1408</v>
      </c>
      <c r="I938" s="738"/>
      <c r="J938" s="738" t="s">
        <v>560</v>
      </c>
      <c r="K938" s="749" t="s">
        <v>2256</v>
      </c>
    </row>
    <row r="939" spans="1:11" s="734" customFormat="1" ht="28.8" x14ac:dyDescent="0.3">
      <c r="A939" s="738" t="s">
        <v>2068</v>
      </c>
      <c r="B939" s="750">
        <f>'[1]PLAN DE DESARROLLO 2024 - 2027'!$M$92</f>
        <v>0.25050860314981654</v>
      </c>
      <c r="C939" s="738" t="s">
        <v>2080</v>
      </c>
      <c r="D939" s="747">
        <f>'[1]PLAN DE DESARROLLO 2024 - 2027'!$M$96</f>
        <v>0.52752194656488549</v>
      </c>
      <c r="E939" s="738" t="s">
        <v>2085</v>
      </c>
      <c r="F939" s="748">
        <f>[2]Hoja1!$B$153</f>
        <v>0.6</v>
      </c>
      <c r="G939" s="738" t="s">
        <v>703</v>
      </c>
      <c r="H939" s="738" t="s">
        <v>1409</v>
      </c>
      <c r="I939" s="738"/>
      <c r="J939" s="738" t="s">
        <v>560</v>
      </c>
      <c r="K939" s="749" t="s">
        <v>2256</v>
      </c>
    </row>
    <row r="940" spans="1:11" s="734" customFormat="1" ht="28.8" x14ac:dyDescent="0.3">
      <c r="A940" s="738" t="s">
        <v>2068</v>
      </c>
      <c r="B940" s="750">
        <f>'[1]PLAN DE DESARROLLO 2024 - 2027'!$M$92</f>
        <v>0.25050860314981654</v>
      </c>
      <c r="C940" s="738" t="s">
        <v>2080</v>
      </c>
      <c r="D940" s="747">
        <f>'[1]PLAN DE DESARROLLO 2024 - 2027'!$M$96</f>
        <v>0.52752194656488549</v>
      </c>
      <c r="E940" s="738" t="s">
        <v>2085</v>
      </c>
      <c r="F940" s="748">
        <f>[2]Hoja1!$B$153</f>
        <v>0.6</v>
      </c>
      <c r="G940" s="738" t="s">
        <v>704</v>
      </c>
      <c r="H940" s="738" t="s">
        <v>1410</v>
      </c>
      <c r="I940" s="738"/>
      <c r="J940" s="738" t="s">
        <v>683</v>
      </c>
      <c r="K940" s="749" t="s">
        <v>2256</v>
      </c>
    </row>
    <row r="941" spans="1:11" s="734" customFormat="1" ht="43.2" x14ac:dyDescent="0.3">
      <c r="A941" s="738" t="s">
        <v>2068</v>
      </c>
      <c r="B941" s="750">
        <f>'[1]PLAN DE DESARROLLO 2024 - 2027'!$M$92</f>
        <v>0.25050860314981654</v>
      </c>
      <c r="C941" s="738" t="s">
        <v>2080</v>
      </c>
      <c r="D941" s="747">
        <f>'[1]PLAN DE DESARROLLO 2024 - 2027'!$M$96</f>
        <v>0.52752194656488549</v>
      </c>
      <c r="E941" s="738" t="s">
        <v>2085</v>
      </c>
      <c r="F941" s="748">
        <f>[2]Hoja1!$B$153</f>
        <v>0.6</v>
      </c>
      <c r="G941" s="738" t="s">
        <v>705</v>
      </c>
      <c r="H941" s="738" t="s">
        <v>1411</v>
      </c>
      <c r="I941" s="738"/>
      <c r="J941" s="738" t="s">
        <v>683</v>
      </c>
      <c r="K941" s="749" t="s">
        <v>2256</v>
      </c>
    </row>
    <row r="942" spans="1:11" s="734" customFormat="1" ht="28.8" x14ac:dyDescent="0.3">
      <c r="A942" s="738" t="s">
        <v>2068</v>
      </c>
      <c r="B942" s="750">
        <f>'[1]PLAN DE DESARROLLO 2024 - 2027'!$M$92</f>
        <v>0.25050860314981654</v>
      </c>
      <c r="C942" s="738" t="s">
        <v>2080</v>
      </c>
      <c r="D942" s="747">
        <f>'[1]PLAN DE DESARROLLO 2024 - 2027'!$M$96</f>
        <v>0.52752194656488549</v>
      </c>
      <c r="E942" s="738" t="s">
        <v>2081</v>
      </c>
      <c r="F942" s="748">
        <f>[2]Hoja1!$B$160</f>
        <v>0.85250000000000004</v>
      </c>
      <c r="G942" s="738" t="s">
        <v>690</v>
      </c>
      <c r="H942" s="738" t="s">
        <v>1399</v>
      </c>
      <c r="I942" s="738"/>
      <c r="J942" s="738" t="s">
        <v>683</v>
      </c>
      <c r="K942" s="749" t="s">
        <v>2256</v>
      </c>
    </row>
    <row r="943" spans="1:11" s="734" customFormat="1" ht="28.8" x14ac:dyDescent="0.3">
      <c r="A943" s="738" t="s">
        <v>2197</v>
      </c>
      <c r="B943" s="746">
        <f>'[1]PLAN DE DESARROLLO 2024 - 2027'!$M$46</f>
        <v>0.25251661967012345</v>
      </c>
      <c r="C943" s="738" t="s">
        <v>2240</v>
      </c>
      <c r="D943" s="747">
        <f>'[1]PLAN DE DESARROLLO 2024 - 2027'!$M$80</f>
        <v>0.28962755963439352</v>
      </c>
      <c r="E943" s="738" t="s">
        <v>2252</v>
      </c>
      <c r="F943" s="748">
        <f>[2]Hoja1!$B$26</f>
        <v>0.47766974358974362</v>
      </c>
      <c r="G943" s="738" t="s">
        <v>654</v>
      </c>
      <c r="H943" s="738" t="s">
        <v>655</v>
      </c>
      <c r="I943" s="738"/>
      <c r="J943" s="738" t="s">
        <v>620</v>
      </c>
      <c r="K943" s="749" t="s">
        <v>2256</v>
      </c>
    </row>
    <row r="944" spans="1:11" s="734" customFormat="1" ht="28.8" x14ac:dyDescent="0.3">
      <c r="A944" s="738" t="s">
        <v>2197</v>
      </c>
      <c r="B944" s="746">
        <f>'[1]PLAN DE DESARROLLO 2024 - 2027'!$M$46</f>
        <v>0.25251661967012345</v>
      </c>
      <c r="C944" s="738" t="s">
        <v>2240</v>
      </c>
      <c r="D944" s="747">
        <f>'[1]PLAN DE DESARROLLO 2024 - 2027'!$M$80</f>
        <v>0.28962755963439352</v>
      </c>
      <c r="E944" s="738" t="s">
        <v>2252</v>
      </c>
      <c r="F944" s="748">
        <f>[2]Hoja1!$B$26</f>
        <v>0.47766974358974362</v>
      </c>
      <c r="G944" s="738" t="s">
        <v>656</v>
      </c>
      <c r="H944" s="738" t="s">
        <v>657</v>
      </c>
      <c r="I944" s="738"/>
      <c r="J944" s="738" t="s">
        <v>620</v>
      </c>
      <c r="K944" s="749" t="s">
        <v>2256</v>
      </c>
    </row>
    <row r="945" spans="1:11" s="734" customFormat="1" ht="28.8" x14ac:dyDescent="0.3">
      <c r="A945" s="738" t="s">
        <v>2197</v>
      </c>
      <c r="B945" s="746">
        <f>'[1]PLAN DE DESARROLLO 2024 - 2027'!$M$46</f>
        <v>0.25251661967012345</v>
      </c>
      <c r="C945" s="738" t="s">
        <v>2240</v>
      </c>
      <c r="D945" s="747">
        <f>'[1]PLAN DE DESARROLLO 2024 - 2027'!$M$80</f>
        <v>0.28962755963439352</v>
      </c>
      <c r="E945" s="738" t="s">
        <v>2252</v>
      </c>
      <c r="F945" s="748">
        <f>[2]Hoja1!$B$26</f>
        <v>0.47766974358974362</v>
      </c>
      <c r="G945" s="738" t="s">
        <v>658</v>
      </c>
      <c r="H945" s="738" t="s">
        <v>659</v>
      </c>
      <c r="I945" s="738"/>
      <c r="J945" s="738" t="s">
        <v>620</v>
      </c>
      <c r="K945" s="749" t="s">
        <v>2256</v>
      </c>
    </row>
    <row r="946" spans="1:11" s="734" customFormat="1" ht="28.8" x14ac:dyDescent="0.3">
      <c r="A946" s="738" t="s">
        <v>2197</v>
      </c>
      <c r="B946" s="746">
        <f>'[1]PLAN DE DESARROLLO 2024 - 2027'!$M$46</f>
        <v>0.25251661967012345</v>
      </c>
      <c r="C946" s="738" t="s">
        <v>2240</v>
      </c>
      <c r="D946" s="747">
        <f>'[1]PLAN DE DESARROLLO 2024 - 2027'!$M$80</f>
        <v>0.28962755963439352</v>
      </c>
      <c r="E946" s="738" t="s">
        <v>2242</v>
      </c>
      <c r="F946" s="748">
        <f>[2]Hoja1!$B$64</f>
        <v>0.18225927561837454</v>
      </c>
      <c r="G946" s="738" t="s">
        <v>627</v>
      </c>
      <c r="H946" s="738" t="s">
        <v>628</v>
      </c>
      <c r="I946" s="738"/>
      <c r="J946" s="738" t="s">
        <v>620</v>
      </c>
      <c r="K946" s="749" t="s">
        <v>2256</v>
      </c>
    </row>
    <row r="947" spans="1:11" s="734" customFormat="1" ht="28.8" x14ac:dyDescent="0.3">
      <c r="A947" s="738" t="s">
        <v>2197</v>
      </c>
      <c r="B947" s="746">
        <f>'[1]PLAN DE DESARROLLO 2024 - 2027'!$M$46</f>
        <v>0.25251661967012345</v>
      </c>
      <c r="C947" s="738" t="s">
        <v>2240</v>
      </c>
      <c r="D947" s="747">
        <f>'[1]PLAN DE DESARROLLO 2024 - 2027'!$M$80</f>
        <v>0.28962755963439352</v>
      </c>
      <c r="E947" s="738" t="s">
        <v>2242</v>
      </c>
      <c r="F947" s="748">
        <f>[2]Hoja1!$B$64</f>
        <v>0.18225927561837454</v>
      </c>
      <c r="G947" s="738" t="s">
        <v>629</v>
      </c>
      <c r="H947" s="738" t="s">
        <v>630</v>
      </c>
      <c r="I947" s="738"/>
      <c r="J947" s="738" t="s">
        <v>620</v>
      </c>
      <c r="K947" s="749" t="s">
        <v>2256</v>
      </c>
    </row>
    <row r="948" spans="1:11" s="734" customFormat="1" ht="28.8" x14ac:dyDescent="0.3">
      <c r="A948" s="738" t="s">
        <v>2197</v>
      </c>
      <c r="B948" s="746">
        <f>'[1]PLAN DE DESARROLLO 2024 - 2027'!$M$46</f>
        <v>0.25251661967012345</v>
      </c>
      <c r="C948" s="738" t="s">
        <v>2240</v>
      </c>
      <c r="D948" s="747">
        <f>'[1]PLAN DE DESARROLLO 2024 - 2027'!$M$80</f>
        <v>0.28962755963439352</v>
      </c>
      <c r="E948" s="738" t="s">
        <v>2243</v>
      </c>
      <c r="F948" s="748">
        <f>[2]Hoja1!$B$72</f>
        <v>0.35626279069767441</v>
      </c>
      <c r="G948" s="738" t="s">
        <v>631</v>
      </c>
      <c r="H948" s="738" t="s">
        <v>632</v>
      </c>
      <c r="I948" s="738"/>
      <c r="J948" s="738" t="s">
        <v>620</v>
      </c>
      <c r="K948" s="749" t="s">
        <v>2256</v>
      </c>
    </row>
    <row r="949" spans="1:11" s="734" customFormat="1" ht="28.8" x14ac:dyDescent="0.3">
      <c r="A949" s="738" t="s">
        <v>2197</v>
      </c>
      <c r="B949" s="746">
        <f>'[1]PLAN DE DESARROLLO 2024 - 2027'!$M$46</f>
        <v>0.25251661967012345</v>
      </c>
      <c r="C949" s="738" t="s">
        <v>2240</v>
      </c>
      <c r="D949" s="747">
        <f>'[1]PLAN DE DESARROLLO 2024 - 2027'!$M$80</f>
        <v>0.28962755963439352</v>
      </c>
      <c r="E949" s="738" t="s">
        <v>2243</v>
      </c>
      <c r="F949" s="748">
        <f>[2]Hoja1!$B$72</f>
        <v>0.35626279069767441</v>
      </c>
      <c r="G949" s="738" t="s">
        <v>633</v>
      </c>
      <c r="H949" s="738" t="s">
        <v>634</v>
      </c>
      <c r="I949" s="738"/>
      <c r="J949" s="738" t="s">
        <v>620</v>
      </c>
      <c r="K949" s="749" t="s">
        <v>2256</v>
      </c>
    </row>
    <row r="950" spans="1:11" s="734" customFormat="1" ht="28.8" x14ac:dyDescent="0.3">
      <c r="A950" s="738" t="s">
        <v>2197</v>
      </c>
      <c r="B950" s="746">
        <f>'[1]PLAN DE DESARROLLO 2024 - 2027'!$M$46</f>
        <v>0.25251661967012345</v>
      </c>
      <c r="C950" s="738" t="s">
        <v>2240</v>
      </c>
      <c r="D950" s="747">
        <f>'[1]PLAN DE DESARROLLO 2024 - 2027'!$M$80</f>
        <v>0.28962755963439352</v>
      </c>
      <c r="E950" s="738" t="s">
        <v>2244</v>
      </c>
      <c r="F950" s="748">
        <f>[2]Hoja1!$B$74</f>
        <v>0.2885664090262971</v>
      </c>
      <c r="G950" s="738" t="s">
        <v>635</v>
      </c>
      <c r="H950" s="738" t="s">
        <v>636</v>
      </c>
      <c r="I950" s="738"/>
      <c r="J950" s="738" t="s">
        <v>620</v>
      </c>
      <c r="K950" s="749" t="s">
        <v>2256</v>
      </c>
    </row>
    <row r="951" spans="1:11" s="734" customFormat="1" ht="28.8" x14ac:dyDescent="0.3">
      <c r="A951" s="738" t="s">
        <v>2197</v>
      </c>
      <c r="B951" s="746">
        <f>'[1]PLAN DE DESARROLLO 2024 - 2027'!$M$46</f>
        <v>0.25251661967012345</v>
      </c>
      <c r="C951" s="738" t="s">
        <v>2240</v>
      </c>
      <c r="D951" s="747">
        <f>'[1]PLAN DE DESARROLLO 2024 - 2027'!$M$80</f>
        <v>0.28962755963439352</v>
      </c>
      <c r="E951" s="738" t="s">
        <v>2244</v>
      </c>
      <c r="F951" s="748">
        <f>[2]Hoja1!$B$74</f>
        <v>0.2885664090262971</v>
      </c>
      <c r="G951" s="738" t="s">
        <v>637</v>
      </c>
      <c r="H951" s="738" t="s">
        <v>638</v>
      </c>
      <c r="I951" s="738"/>
      <c r="J951" s="738" t="s">
        <v>620</v>
      </c>
      <c r="K951" s="749" t="s">
        <v>2256</v>
      </c>
    </row>
    <row r="952" spans="1:11" s="734" customFormat="1" ht="28.8" x14ac:dyDescent="0.3">
      <c r="A952" s="738" t="s">
        <v>2197</v>
      </c>
      <c r="B952" s="746">
        <f>'[1]PLAN DE DESARROLLO 2024 - 2027'!$M$46</f>
        <v>0.25251661967012345</v>
      </c>
      <c r="C952" s="738" t="s">
        <v>2240</v>
      </c>
      <c r="D952" s="747">
        <f>'[1]PLAN DE DESARROLLO 2024 - 2027'!$M$80</f>
        <v>0.28962755963439352</v>
      </c>
      <c r="E952" s="738" t="s">
        <v>2244</v>
      </c>
      <c r="F952" s="748">
        <f>[2]Hoja1!$B$74</f>
        <v>0.2885664090262971</v>
      </c>
      <c r="G952" s="738" t="s">
        <v>2245</v>
      </c>
      <c r="H952" s="738" t="s">
        <v>2246</v>
      </c>
      <c r="I952" s="738"/>
      <c r="J952" s="738" t="s">
        <v>2247</v>
      </c>
      <c r="K952" s="749" t="s">
        <v>2256</v>
      </c>
    </row>
    <row r="953" spans="1:11" s="734" customFormat="1" ht="28.8" x14ac:dyDescent="0.3">
      <c r="A953" s="738" t="s">
        <v>2197</v>
      </c>
      <c r="B953" s="746">
        <f>'[1]PLAN DE DESARROLLO 2024 - 2027'!$M$46</f>
        <v>0.25251661967012345</v>
      </c>
      <c r="C953" s="738" t="s">
        <v>2240</v>
      </c>
      <c r="D953" s="747">
        <f>'[1]PLAN DE DESARROLLO 2024 - 2027'!$M$80</f>
        <v>0.28962755963439352</v>
      </c>
      <c r="E953" s="738" t="s">
        <v>2244</v>
      </c>
      <c r="F953" s="748">
        <f>[2]Hoja1!$B$74</f>
        <v>0.2885664090262971</v>
      </c>
      <c r="G953" s="738" t="s">
        <v>2248</v>
      </c>
      <c r="H953" s="738" t="s">
        <v>2249</v>
      </c>
      <c r="I953" s="738"/>
      <c r="J953" s="738" t="s">
        <v>620</v>
      </c>
      <c r="K953" s="749" t="s">
        <v>2256</v>
      </c>
    </row>
    <row r="954" spans="1:11" s="734" customFormat="1" ht="43.2" x14ac:dyDescent="0.3">
      <c r="A954" s="738" t="s">
        <v>2197</v>
      </c>
      <c r="B954" s="746">
        <f>'[1]PLAN DE DESARROLLO 2024 - 2027'!$M$46</f>
        <v>0.25251661967012345</v>
      </c>
      <c r="C954" s="738" t="s">
        <v>2240</v>
      </c>
      <c r="D954" s="747">
        <f>'[1]PLAN DE DESARROLLO 2024 - 2027'!$M$80</f>
        <v>0.28962755963439352</v>
      </c>
      <c r="E954" s="738" t="s">
        <v>2244</v>
      </c>
      <c r="F954" s="748">
        <f>[2]Hoja1!$B$74</f>
        <v>0.2885664090262971</v>
      </c>
      <c r="G954" s="738" t="s">
        <v>2250</v>
      </c>
      <c r="H954" s="738" t="s">
        <v>645</v>
      </c>
      <c r="I954" s="738"/>
      <c r="J954" s="738" t="s">
        <v>2247</v>
      </c>
      <c r="K954" s="749" t="s">
        <v>2256</v>
      </c>
    </row>
    <row r="955" spans="1:11" s="734" customFormat="1" ht="28.8" x14ac:dyDescent="0.3">
      <c r="A955" s="738" t="s">
        <v>2110</v>
      </c>
      <c r="B955" s="750">
        <f>'[1]PLAN DE DESARROLLO 2024 - 2027'!$M$161</f>
        <v>0.24647581985093744</v>
      </c>
      <c r="C955" s="738" t="s">
        <v>2128</v>
      </c>
      <c r="D955" s="747">
        <f>'[1]PLAN DE DESARROLLO 2024 - 2027'!$M$178</f>
        <v>0.30658085759781617</v>
      </c>
      <c r="E955" s="738" t="s">
        <v>1831</v>
      </c>
      <c r="F955" s="748">
        <f>[2]Hoja1!$B$61</f>
        <v>0.26875000000000004</v>
      </c>
      <c r="G955" s="738" t="s">
        <v>1009</v>
      </c>
      <c r="H955" s="738" t="s">
        <v>1209</v>
      </c>
      <c r="I955" s="738"/>
      <c r="J955" s="738" t="s">
        <v>998</v>
      </c>
      <c r="K955" s="749" t="s">
        <v>2256</v>
      </c>
    </row>
    <row r="956" spans="1:11" s="734" customFormat="1" ht="28.8" x14ac:dyDescent="0.3">
      <c r="A956" s="738" t="s">
        <v>2110</v>
      </c>
      <c r="B956" s="750">
        <f>'[1]PLAN DE DESARROLLO 2024 - 2027'!$M$161</f>
        <v>0.24647581985093744</v>
      </c>
      <c r="C956" s="738" t="s">
        <v>2128</v>
      </c>
      <c r="D956" s="747">
        <f>'[1]PLAN DE DESARROLLO 2024 - 2027'!$M$178</f>
        <v>0.30658085759781617</v>
      </c>
      <c r="E956" s="738" t="s">
        <v>1831</v>
      </c>
      <c r="F956" s="748">
        <f>[2]Hoja1!$B$61</f>
        <v>0.26875000000000004</v>
      </c>
      <c r="G956" s="738" t="s">
        <v>1010</v>
      </c>
      <c r="H956" s="738" t="s">
        <v>1210</v>
      </c>
      <c r="I956" s="738"/>
      <c r="J956" s="738" t="s">
        <v>998</v>
      </c>
      <c r="K956" s="749" t="s">
        <v>2256</v>
      </c>
    </row>
    <row r="957" spans="1:11" s="734" customFormat="1" ht="28.8" x14ac:dyDescent="0.3">
      <c r="A957" s="738" t="s">
        <v>2197</v>
      </c>
      <c r="B957" s="746">
        <f>'[1]PLAN DE DESARROLLO 2024 - 2027'!$M$46</f>
        <v>0.25251661967012345</v>
      </c>
      <c r="C957" s="738" t="s">
        <v>2240</v>
      </c>
      <c r="D957" s="747">
        <f>'[1]PLAN DE DESARROLLO 2024 - 2027'!$M$80</f>
        <v>0.28962755963439352</v>
      </c>
      <c r="E957" s="738" t="s">
        <v>2251</v>
      </c>
      <c r="F957" s="748">
        <f>[2]Hoja1!$B$75</f>
        <v>0.25970491803278689</v>
      </c>
      <c r="G957" s="738" t="s">
        <v>646</v>
      </c>
      <c r="H957" s="738" t="s">
        <v>647</v>
      </c>
      <c r="I957" s="738"/>
      <c r="J957" s="738" t="s">
        <v>620</v>
      </c>
      <c r="K957" s="749" t="s">
        <v>2256</v>
      </c>
    </row>
    <row r="958" spans="1:11" s="734" customFormat="1" ht="28.8" x14ac:dyDescent="0.3">
      <c r="A958" s="738" t="s">
        <v>2197</v>
      </c>
      <c r="B958" s="746">
        <f>'[1]PLAN DE DESARROLLO 2024 - 2027'!$M$46</f>
        <v>0.25251661967012345</v>
      </c>
      <c r="C958" s="738" t="s">
        <v>2240</v>
      </c>
      <c r="D958" s="747">
        <f>'[1]PLAN DE DESARROLLO 2024 - 2027'!$M$80</f>
        <v>0.28962755963439352</v>
      </c>
      <c r="E958" s="738" t="s">
        <v>2241</v>
      </c>
      <c r="F958" s="748">
        <f>[2]Hoja1!$B$79</f>
        <v>0.29583333333333334</v>
      </c>
      <c r="G958" s="738" t="s">
        <v>618</v>
      </c>
      <c r="H958" s="738" t="s">
        <v>619</v>
      </c>
      <c r="I958" s="738"/>
      <c r="J958" s="738" t="s">
        <v>620</v>
      </c>
      <c r="K958" s="749" t="s">
        <v>2256</v>
      </c>
    </row>
    <row r="959" spans="1:11" s="734" customFormat="1" ht="28.8" x14ac:dyDescent="0.3">
      <c r="A959" s="738" t="s">
        <v>2197</v>
      </c>
      <c r="B959" s="746">
        <f>'[1]PLAN DE DESARROLLO 2024 - 2027'!$M$46</f>
        <v>0.25251661967012345</v>
      </c>
      <c r="C959" s="738" t="s">
        <v>2240</v>
      </c>
      <c r="D959" s="747">
        <f>'[1]PLAN DE DESARROLLO 2024 - 2027'!$M$80</f>
        <v>0.28962755963439352</v>
      </c>
      <c r="E959" s="738" t="s">
        <v>2241</v>
      </c>
      <c r="F959" s="748">
        <f>[2]Hoja1!$B$79</f>
        <v>0.29583333333333334</v>
      </c>
      <c r="G959" s="738" t="s">
        <v>621</v>
      </c>
      <c r="H959" s="738" t="s">
        <v>622</v>
      </c>
      <c r="I959" s="738"/>
      <c r="J959" s="738" t="s">
        <v>620</v>
      </c>
      <c r="K959" s="749" t="s">
        <v>2256</v>
      </c>
    </row>
    <row r="960" spans="1:11" s="734" customFormat="1" ht="28.8" x14ac:dyDescent="0.3">
      <c r="A960" s="738" t="s">
        <v>2197</v>
      </c>
      <c r="B960" s="746">
        <f>'[1]PLAN DE DESARROLLO 2024 - 2027'!$M$46</f>
        <v>0.25251661967012345</v>
      </c>
      <c r="C960" s="738" t="s">
        <v>2240</v>
      </c>
      <c r="D960" s="747">
        <f>'[1]PLAN DE DESARROLLO 2024 - 2027'!$M$80</f>
        <v>0.28962755963439352</v>
      </c>
      <c r="E960" s="738" t="s">
        <v>2241</v>
      </c>
      <c r="F960" s="748">
        <f>[2]Hoja1!$B$79</f>
        <v>0.29583333333333334</v>
      </c>
      <c r="G960" s="738" t="s">
        <v>623</v>
      </c>
      <c r="H960" s="738" t="s">
        <v>624</v>
      </c>
      <c r="I960" s="738"/>
      <c r="J960" s="738" t="s">
        <v>620</v>
      </c>
      <c r="K960" s="749" t="s">
        <v>2256</v>
      </c>
    </row>
    <row r="961" spans="1:11" s="734" customFormat="1" ht="28.8" x14ac:dyDescent="0.3">
      <c r="A961" s="738" t="s">
        <v>2068</v>
      </c>
      <c r="B961" s="750">
        <f>'[1]PLAN DE DESARROLLO 2024 - 2027'!$M$92</f>
        <v>0.25050860314981654</v>
      </c>
      <c r="C961" s="738" t="s">
        <v>2080</v>
      </c>
      <c r="D961" s="747">
        <f>'[1]PLAN DE DESARROLLO 2024 - 2027'!$M$96</f>
        <v>0.52752194656488549</v>
      </c>
      <c r="E961" s="738" t="s">
        <v>2081</v>
      </c>
      <c r="F961" s="748">
        <f>[2]Hoja1!$B$160</f>
        <v>0.85250000000000004</v>
      </c>
      <c r="G961" s="738" t="s">
        <v>691</v>
      </c>
      <c r="H961" s="738" t="s">
        <v>1400</v>
      </c>
      <c r="I961" s="738"/>
      <c r="J961" s="738" t="s">
        <v>683</v>
      </c>
      <c r="K961" s="749" t="s">
        <v>2256</v>
      </c>
    </row>
    <row r="962" spans="1:11" s="734" customFormat="1" ht="28.8" x14ac:dyDescent="0.3">
      <c r="A962" s="738" t="s">
        <v>2068</v>
      </c>
      <c r="B962" s="750">
        <f>'[1]PLAN DE DESARROLLO 2024 - 2027'!$M$92</f>
        <v>0.25050860314981654</v>
      </c>
      <c r="C962" s="738" t="s">
        <v>2080</v>
      </c>
      <c r="D962" s="747">
        <f>'[1]PLAN DE DESARROLLO 2024 - 2027'!$M$96</f>
        <v>0.52752194656488549</v>
      </c>
      <c r="E962" s="738" t="s">
        <v>2081</v>
      </c>
      <c r="F962" s="748">
        <f>[2]Hoja1!$B$160</f>
        <v>0.85250000000000004</v>
      </c>
      <c r="G962" s="738" t="s">
        <v>692</v>
      </c>
      <c r="H962" s="738" t="s">
        <v>1401</v>
      </c>
      <c r="I962" s="738"/>
      <c r="J962" s="738" t="s">
        <v>683</v>
      </c>
      <c r="K962" s="749" t="s">
        <v>2256</v>
      </c>
    </row>
    <row r="963" spans="1:11" s="734" customFormat="1" ht="28.8" x14ac:dyDescent="0.3">
      <c r="A963" s="738" t="s">
        <v>2068</v>
      </c>
      <c r="B963" s="750">
        <f>'[1]PLAN DE DESARROLLO 2024 - 2027'!$M$92</f>
        <v>0.25050860314981654</v>
      </c>
      <c r="C963" s="738" t="s">
        <v>2080</v>
      </c>
      <c r="D963" s="747">
        <f>'[1]PLAN DE DESARROLLO 2024 - 2027'!$M$96</f>
        <v>0.52752194656488549</v>
      </c>
      <c r="E963" s="738" t="s">
        <v>2081</v>
      </c>
      <c r="F963" s="748">
        <f>[2]Hoja1!$B$160</f>
        <v>0.85250000000000004</v>
      </c>
      <c r="G963" s="738" t="s">
        <v>693</v>
      </c>
      <c r="H963" s="738" t="s">
        <v>1402</v>
      </c>
      <c r="I963" s="738"/>
      <c r="J963" s="738" t="s">
        <v>683</v>
      </c>
      <c r="K963" s="749" t="s">
        <v>2256</v>
      </c>
    </row>
    <row r="964" spans="1:11" s="734" customFormat="1" x14ac:dyDescent="0.3">
      <c r="A964" s="738" t="s">
        <v>2068</v>
      </c>
      <c r="B964" s="750">
        <f>'[1]PLAN DE DESARROLLO 2024 - 2027'!$M$92</f>
        <v>0.25050860314981654</v>
      </c>
      <c r="C964" s="738" t="s">
        <v>2069</v>
      </c>
      <c r="D964" s="747">
        <f>'[1]PLAN DE DESARROLLO 2024 - 2027'!$M$105</f>
        <v>0.1233525</v>
      </c>
      <c r="E964" s="738" t="s">
        <v>2090</v>
      </c>
      <c r="F964" s="748">
        <f>[2]Hoja1!$B$12</f>
        <v>7.375000000000001E-2</v>
      </c>
      <c r="G964" s="738" t="s">
        <v>715</v>
      </c>
      <c r="H964" s="738" t="s">
        <v>1420</v>
      </c>
      <c r="I964" s="738"/>
      <c r="J964" s="738" t="s">
        <v>683</v>
      </c>
      <c r="K964" s="749" t="s">
        <v>2256</v>
      </c>
    </row>
    <row r="965" spans="1:11" s="734" customFormat="1" ht="28.8" x14ac:dyDescent="0.3">
      <c r="A965" s="738" t="s">
        <v>2068</v>
      </c>
      <c r="B965" s="750">
        <f>'[1]PLAN DE DESARROLLO 2024 - 2027'!$M$92</f>
        <v>0.25050860314981654</v>
      </c>
      <c r="C965" s="738" t="s">
        <v>2069</v>
      </c>
      <c r="D965" s="747">
        <f>'[1]PLAN DE DESARROLLO 2024 - 2027'!$M$105</f>
        <v>0.1233525</v>
      </c>
      <c r="E965" s="738" t="s">
        <v>2090</v>
      </c>
      <c r="F965" s="748">
        <f>[2]Hoja1!$B$12</f>
        <v>7.375000000000001E-2</v>
      </c>
      <c r="G965" s="738" t="s">
        <v>716</v>
      </c>
      <c r="H965" s="738" t="s">
        <v>1421</v>
      </c>
      <c r="I965" s="738"/>
      <c r="J965" s="738" t="s">
        <v>683</v>
      </c>
      <c r="K965" s="749" t="s">
        <v>2256</v>
      </c>
    </row>
    <row r="966" spans="1:11" s="734" customFormat="1" ht="28.8" x14ac:dyDescent="0.3">
      <c r="A966" s="738" t="s">
        <v>2068</v>
      </c>
      <c r="B966" s="750">
        <f>'[1]PLAN DE DESARROLLO 2024 - 2027'!$M$92</f>
        <v>0.25050860314981654</v>
      </c>
      <c r="C966" s="738" t="s">
        <v>2069</v>
      </c>
      <c r="D966" s="747">
        <f>'[1]PLAN DE DESARROLLO 2024 - 2027'!$M$105</f>
        <v>0.1233525</v>
      </c>
      <c r="E966" s="738" t="s">
        <v>2090</v>
      </c>
      <c r="F966" s="748">
        <f>[2]Hoja1!$B$12</f>
        <v>7.375000000000001E-2</v>
      </c>
      <c r="G966" s="738" t="s">
        <v>717</v>
      </c>
      <c r="H966" s="738" t="s">
        <v>1422</v>
      </c>
      <c r="I966" s="738"/>
      <c r="J966" s="738" t="s">
        <v>683</v>
      </c>
      <c r="K966" s="749" t="s">
        <v>2256</v>
      </c>
    </row>
    <row r="967" spans="1:11" s="734" customFormat="1" ht="28.8" x14ac:dyDescent="0.3">
      <c r="A967" s="738" t="s">
        <v>2068</v>
      </c>
      <c r="B967" s="750">
        <f>'[1]PLAN DE DESARROLLO 2024 - 2027'!$M$92</f>
        <v>0.25050860314981654</v>
      </c>
      <c r="C967" s="738" t="s">
        <v>2069</v>
      </c>
      <c r="D967" s="747">
        <f>'[1]PLAN DE DESARROLLO 2024 - 2027'!$M$105</f>
        <v>0.1233525</v>
      </c>
      <c r="E967" s="738" t="s">
        <v>2090</v>
      </c>
      <c r="F967" s="748">
        <f>[2]Hoja1!$B$12</f>
        <v>7.375000000000001E-2</v>
      </c>
      <c r="G967" s="738" t="s">
        <v>718</v>
      </c>
      <c r="H967" s="738" t="s">
        <v>1423</v>
      </c>
      <c r="I967" s="738"/>
      <c r="J967" s="738" t="s">
        <v>683</v>
      </c>
      <c r="K967" s="749" t="s">
        <v>2256</v>
      </c>
    </row>
    <row r="968" spans="1:11" s="734" customFormat="1" ht="57.6" x14ac:dyDescent="0.3">
      <c r="A968" s="738" t="s">
        <v>2068</v>
      </c>
      <c r="B968" s="750">
        <f>'[1]PLAN DE DESARROLLO 2024 - 2027'!$M$92</f>
        <v>0.25050860314981654</v>
      </c>
      <c r="C968" s="738" t="s">
        <v>2069</v>
      </c>
      <c r="D968" s="747">
        <f>'[1]PLAN DE DESARROLLO 2024 - 2027'!$M$105</f>
        <v>0.1233525</v>
      </c>
      <c r="E968" s="738" t="s">
        <v>2090</v>
      </c>
      <c r="F968" s="748">
        <f>[2]Hoja1!$B$12</f>
        <v>7.375000000000001E-2</v>
      </c>
      <c r="G968" s="738" t="s">
        <v>719</v>
      </c>
      <c r="H968" s="738" t="s">
        <v>1424</v>
      </c>
      <c r="I968" s="738"/>
      <c r="J968" s="738" t="s">
        <v>2091</v>
      </c>
      <c r="K968" s="749" t="s">
        <v>2256</v>
      </c>
    </row>
    <row r="969" spans="1:11" s="734" customFormat="1" ht="28.8" x14ac:dyDescent="0.3">
      <c r="A969" s="738" t="s">
        <v>2068</v>
      </c>
      <c r="B969" s="750">
        <f>'[1]PLAN DE DESARROLLO 2024 - 2027'!$M$92</f>
        <v>0.25050860314981654</v>
      </c>
      <c r="C969" s="738" t="s">
        <v>2069</v>
      </c>
      <c r="D969" s="747">
        <f>'[1]PLAN DE DESARROLLO 2024 - 2027'!$M$105</f>
        <v>0.1233525</v>
      </c>
      <c r="E969" s="738" t="s">
        <v>2090</v>
      </c>
      <c r="F969" s="748">
        <f>[2]Hoja1!$B$12</f>
        <v>7.375000000000001E-2</v>
      </c>
      <c r="G969" s="738" t="s">
        <v>2092</v>
      </c>
      <c r="H969" s="738" t="s">
        <v>2093</v>
      </c>
      <c r="I969" s="738"/>
      <c r="J969" s="738" t="s">
        <v>683</v>
      </c>
      <c r="K969" s="749" t="s">
        <v>2256</v>
      </c>
    </row>
    <row r="970" spans="1:11" s="734" customFormat="1" ht="28.8" x14ac:dyDescent="0.3">
      <c r="A970" s="738" t="s">
        <v>2197</v>
      </c>
      <c r="B970" s="746">
        <f>'[1]PLAN DE DESARROLLO 2024 - 2027'!$M$46</f>
        <v>0.25251661967012345</v>
      </c>
      <c r="C970" s="738" t="s">
        <v>2240</v>
      </c>
      <c r="D970" s="747">
        <f>'[1]PLAN DE DESARROLLO 2024 - 2027'!$M$80</f>
        <v>0.28962755963439352</v>
      </c>
      <c r="E970" s="738" t="s">
        <v>2241</v>
      </c>
      <c r="F970" s="748">
        <f>[2]Hoja1!$B$79</f>
        <v>0.29583333333333334</v>
      </c>
      <c r="G970" s="738" t="s">
        <v>625</v>
      </c>
      <c r="H970" s="738" t="s">
        <v>626</v>
      </c>
      <c r="I970" s="738"/>
      <c r="J970" s="738" t="s">
        <v>620</v>
      </c>
      <c r="K970" s="749" t="s">
        <v>2256</v>
      </c>
    </row>
    <row r="971" spans="1:11" s="734" customFormat="1" ht="43.2" x14ac:dyDescent="0.3">
      <c r="A971" s="738" t="s">
        <v>2197</v>
      </c>
      <c r="B971" s="746">
        <f>'[1]PLAN DE DESARROLLO 2024 - 2027'!$M$46</f>
        <v>0.25251661967012345</v>
      </c>
      <c r="C971" s="738" t="s">
        <v>2240</v>
      </c>
      <c r="D971" s="747">
        <f>'[1]PLAN DE DESARROLLO 2024 - 2027'!$M$80</f>
        <v>0.28962755963439352</v>
      </c>
      <c r="E971" s="738" t="s">
        <v>1677</v>
      </c>
      <c r="F971" s="748">
        <f>[2]Hoja1!$B$125</f>
        <v>0.3529713888888889</v>
      </c>
      <c r="G971" s="738" t="s">
        <v>648</v>
      </c>
      <c r="H971" s="738" t="s">
        <v>649</v>
      </c>
      <c r="I971" s="738"/>
      <c r="J971" s="738" t="s">
        <v>620</v>
      </c>
      <c r="K971" s="749" t="s">
        <v>2256</v>
      </c>
    </row>
    <row r="972" spans="1:11" s="734" customFormat="1" x14ac:dyDescent="0.3">
      <c r="A972" s="738" t="s">
        <v>2068</v>
      </c>
      <c r="B972" s="750">
        <f>'[1]PLAN DE DESARROLLO 2024 - 2027'!$M$92</f>
        <v>0.25050860314981654</v>
      </c>
      <c r="C972" s="738" t="s">
        <v>2069</v>
      </c>
      <c r="D972" s="747">
        <f>'[1]PLAN DE DESARROLLO 2024 - 2027'!$M$105</f>
        <v>0.1233525</v>
      </c>
      <c r="E972" s="738" t="s">
        <v>2090</v>
      </c>
      <c r="F972" s="748">
        <f>[2]Hoja1!$B$12</f>
        <v>7.375000000000001E-2</v>
      </c>
      <c r="G972" s="738" t="s">
        <v>722</v>
      </c>
      <c r="H972" s="738" t="s">
        <v>1426</v>
      </c>
      <c r="I972" s="738"/>
      <c r="J972" s="738" t="s">
        <v>516</v>
      </c>
      <c r="K972" s="749" t="s">
        <v>2256</v>
      </c>
    </row>
    <row r="973" spans="1:11" s="734" customFormat="1" ht="28.8" x14ac:dyDescent="0.3">
      <c r="A973" s="738" t="s">
        <v>2068</v>
      </c>
      <c r="B973" s="750">
        <f>'[1]PLAN DE DESARROLLO 2024 - 2027'!$M$92</f>
        <v>0.25050860314981654</v>
      </c>
      <c r="C973" s="738" t="s">
        <v>2069</v>
      </c>
      <c r="D973" s="747">
        <f>'[1]PLAN DE DESARROLLO 2024 - 2027'!$M$105</f>
        <v>0.1233525</v>
      </c>
      <c r="E973" s="738" t="s">
        <v>1793</v>
      </c>
      <c r="F973" s="748">
        <f>[2]Hoja1!$B$14</f>
        <v>0.17424999999999999</v>
      </c>
      <c r="G973" s="738" t="s">
        <v>724</v>
      </c>
      <c r="H973" s="738" t="s">
        <v>1427</v>
      </c>
      <c r="I973" s="738"/>
      <c r="J973" s="738" t="s">
        <v>58</v>
      </c>
      <c r="K973" s="749" t="s">
        <v>2256</v>
      </c>
    </row>
    <row r="974" spans="1:11" s="734" customFormat="1" ht="43.2" x14ac:dyDescent="0.3">
      <c r="A974" s="738" t="s">
        <v>2197</v>
      </c>
      <c r="B974" s="746">
        <f>'[1]PLAN DE DESARROLLO 2024 - 2027'!$M$46</f>
        <v>0.25251661967012345</v>
      </c>
      <c r="C974" s="738" t="s">
        <v>2240</v>
      </c>
      <c r="D974" s="747">
        <f>'[1]PLAN DE DESARROLLO 2024 - 2027'!$M$80</f>
        <v>0.28962755963439352</v>
      </c>
      <c r="E974" s="738" t="s">
        <v>1677</v>
      </c>
      <c r="F974" s="748">
        <f>[2]Hoja1!$B$125</f>
        <v>0.3529713888888889</v>
      </c>
      <c r="G974" s="738" t="s">
        <v>650</v>
      </c>
      <c r="H974" s="738" t="s">
        <v>651</v>
      </c>
      <c r="I974" s="738"/>
      <c r="J974" s="738" t="s">
        <v>620</v>
      </c>
      <c r="K974" s="749" t="s">
        <v>2256</v>
      </c>
    </row>
    <row r="975" spans="1:11" s="734" customFormat="1" ht="28.8" x14ac:dyDescent="0.3">
      <c r="A975" s="738" t="s">
        <v>2197</v>
      </c>
      <c r="B975" s="746">
        <f>'[1]PLAN DE DESARROLLO 2024 - 2027'!$M$46</f>
        <v>0.25251661967012345</v>
      </c>
      <c r="C975" s="738" t="s">
        <v>2198</v>
      </c>
      <c r="D975" s="747">
        <f>'[1]PLAN DE DESARROLLO 2024 - 2027'!$M$47</f>
        <v>0.26592582694462413</v>
      </c>
      <c r="E975" s="738" t="s">
        <v>1985</v>
      </c>
      <c r="F975" s="748">
        <f>[2]Hoja1!$B$11</f>
        <v>0</v>
      </c>
      <c r="G975" s="738" t="s">
        <v>428</v>
      </c>
      <c r="H975" s="738" t="s">
        <v>429</v>
      </c>
      <c r="I975" s="738"/>
      <c r="J975" s="738" t="s">
        <v>2199</v>
      </c>
      <c r="K975" s="749" t="s">
        <v>2256</v>
      </c>
    </row>
    <row r="976" spans="1:11" s="734" customFormat="1" ht="43.2" x14ac:dyDescent="0.3">
      <c r="A976" s="738" t="s">
        <v>2197</v>
      </c>
      <c r="B976" s="746">
        <f>'[1]PLAN DE DESARROLLO 2024 - 2027'!$M$46</f>
        <v>0.25251661967012345</v>
      </c>
      <c r="C976" s="738" t="s">
        <v>2198</v>
      </c>
      <c r="D976" s="747">
        <f>'[1]PLAN DE DESARROLLO 2024 - 2027'!$M$47</f>
        <v>0.26592582694462413</v>
      </c>
      <c r="E976" s="738" t="s">
        <v>1985</v>
      </c>
      <c r="F976" s="748">
        <f>[2]Hoja1!$B$11</f>
        <v>0</v>
      </c>
      <c r="G976" s="738" t="s">
        <v>430</v>
      </c>
      <c r="H976" s="738" t="s">
        <v>431</v>
      </c>
      <c r="I976" s="738"/>
      <c r="J976" s="738" t="s">
        <v>2199</v>
      </c>
      <c r="K976" s="749" t="s">
        <v>2256</v>
      </c>
    </row>
    <row r="977" spans="1:11" s="734" customFormat="1" ht="28.8" x14ac:dyDescent="0.3">
      <c r="A977" s="738" t="s">
        <v>2197</v>
      </c>
      <c r="B977" s="746">
        <f>'[1]PLAN DE DESARROLLO 2024 - 2027'!$M$46</f>
        <v>0.25251661967012345</v>
      </c>
      <c r="C977" s="738" t="s">
        <v>2198</v>
      </c>
      <c r="D977" s="747">
        <f>'[1]PLAN DE DESARROLLO 2024 - 2027'!$M$47</f>
        <v>0.26592582694462413</v>
      </c>
      <c r="E977" s="738" t="s">
        <v>2225</v>
      </c>
      <c r="F977" s="748">
        <f>[2]Hoja1!$B$13</f>
        <v>0.20570526315789472</v>
      </c>
      <c r="G977" s="738" t="s">
        <v>459</v>
      </c>
      <c r="H977" s="738" t="s">
        <v>2226</v>
      </c>
      <c r="I977" s="738"/>
      <c r="J977" s="738" t="s">
        <v>2199</v>
      </c>
      <c r="K977" s="749" t="s">
        <v>2256</v>
      </c>
    </row>
    <row r="978" spans="1:11" s="734" customFormat="1" ht="43.2" x14ac:dyDescent="0.3">
      <c r="A978" s="738" t="s">
        <v>2197</v>
      </c>
      <c r="B978" s="746">
        <f>'[1]PLAN DE DESARROLLO 2024 - 2027'!$M$46</f>
        <v>0.25251661967012345</v>
      </c>
      <c r="C978" s="738" t="s">
        <v>2198</v>
      </c>
      <c r="D978" s="747">
        <f>'[1]PLAN DE DESARROLLO 2024 - 2027'!$M$47</f>
        <v>0.26592582694462413</v>
      </c>
      <c r="E978" s="738" t="s">
        <v>2225</v>
      </c>
      <c r="F978" s="748">
        <f>[2]Hoja1!$B$13</f>
        <v>0.20570526315789472</v>
      </c>
      <c r="G978" s="738" t="s">
        <v>461</v>
      </c>
      <c r="H978" s="738" t="s">
        <v>462</v>
      </c>
      <c r="I978" s="738"/>
      <c r="J978" s="738" t="s">
        <v>2199</v>
      </c>
      <c r="K978" s="749" t="s">
        <v>2256</v>
      </c>
    </row>
    <row r="979" spans="1:11" s="734" customFormat="1" ht="28.8" x14ac:dyDescent="0.3">
      <c r="A979" s="738" t="s">
        <v>2197</v>
      </c>
      <c r="B979" s="746">
        <f>'[1]PLAN DE DESARROLLO 2024 - 2027'!$M$46</f>
        <v>0.25251661967012345</v>
      </c>
      <c r="C979" s="738" t="s">
        <v>2198</v>
      </c>
      <c r="D979" s="747">
        <f>'[1]PLAN DE DESARROLLO 2024 - 2027'!$M$47</f>
        <v>0.26592582694462413</v>
      </c>
      <c r="E979" s="738" t="s">
        <v>2225</v>
      </c>
      <c r="F979" s="748">
        <f>[2]Hoja1!$B$13</f>
        <v>0.20570526315789472</v>
      </c>
      <c r="G979" s="738" t="s">
        <v>463</v>
      </c>
      <c r="H979" s="738" t="s">
        <v>464</v>
      </c>
      <c r="I979" s="738"/>
      <c r="J979" s="738" t="s">
        <v>2199</v>
      </c>
      <c r="K979" s="749" t="s">
        <v>2256</v>
      </c>
    </row>
    <row r="980" spans="1:11" s="734" customFormat="1" ht="28.8" x14ac:dyDescent="0.3">
      <c r="A980" s="738" t="s">
        <v>2197</v>
      </c>
      <c r="B980" s="746">
        <f>'[1]PLAN DE DESARROLLO 2024 - 2027'!$M$46</f>
        <v>0.25251661967012345</v>
      </c>
      <c r="C980" s="738" t="s">
        <v>2198</v>
      </c>
      <c r="D980" s="747">
        <f>'[1]PLAN DE DESARROLLO 2024 - 2027'!$M$47</f>
        <v>0.26592582694462413</v>
      </c>
      <c r="E980" s="738" t="s">
        <v>2225</v>
      </c>
      <c r="F980" s="748">
        <f>[2]Hoja1!$B$13</f>
        <v>0.20570526315789472</v>
      </c>
      <c r="G980" s="738" t="s">
        <v>2227</v>
      </c>
      <c r="H980" s="738" t="s">
        <v>2228</v>
      </c>
      <c r="I980" s="738"/>
      <c r="J980" s="738" t="s">
        <v>2199</v>
      </c>
      <c r="K980" s="749" t="s">
        <v>2256</v>
      </c>
    </row>
    <row r="981" spans="1:11" s="734" customFormat="1" ht="43.2" x14ac:dyDescent="0.3">
      <c r="A981" s="738" t="s">
        <v>2197</v>
      </c>
      <c r="B981" s="746">
        <f>'[1]PLAN DE DESARROLLO 2024 - 2027'!$M$46</f>
        <v>0.25251661967012345</v>
      </c>
      <c r="C981" s="738" t="s">
        <v>2198</v>
      </c>
      <c r="D981" s="747">
        <f>'[1]PLAN DE DESARROLLO 2024 - 2027'!$M$47</f>
        <v>0.26592582694462413</v>
      </c>
      <c r="E981" s="738" t="s">
        <v>2204</v>
      </c>
      <c r="F981" s="748">
        <f>[2]Hoja1!$B$16</f>
        <v>0.75238095238095237</v>
      </c>
      <c r="G981" s="738" t="s">
        <v>2205</v>
      </c>
      <c r="H981" s="738" t="s">
        <v>2206</v>
      </c>
      <c r="I981" s="738"/>
      <c r="J981" s="738" t="s">
        <v>2199</v>
      </c>
      <c r="K981" s="749" t="s">
        <v>2256</v>
      </c>
    </row>
    <row r="982" spans="1:11" s="734" customFormat="1" ht="57.6" x14ac:dyDescent="0.3">
      <c r="A982" s="738" t="s">
        <v>2197</v>
      </c>
      <c r="B982" s="746">
        <f>'[1]PLAN DE DESARROLLO 2024 - 2027'!$M$46</f>
        <v>0.25251661967012345</v>
      </c>
      <c r="C982" s="738" t="s">
        <v>2198</v>
      </c>
      <c r="D982" s="747">
        <f>'[1]PLAN DE DESARROLLO 2024 - 2027'!$M$47</f>
        <v>0.26592582694462413</v>
      </c>
      <c r="E982" s="738" t="s">
        <v>2204</v>
      </c>
      <c r="F982" s="748">
        <f>[2]Hoja1!$B$16</f>
        <v>0.75238095238095237</v>
      </c>
      <c r="G982" s="738" t="s">
        <v>370</v>
      </c>
      <c r="H982" s="738" t="s">
        <v>371</v>
      </c>
      <c r="I982" s="738"/>
      <c r="J982" s="738" t="s">
        <v>2199</v>
      </c>
      <c r="K982" s="749" t="s">
        <v>2256</v>
      </c>
    </row>
    <row r="983" spans="1:11" s="734" customFormat="1" ht="28.8" x14ac:dyDescent="0.3">
      <c r="A983" s="738" t="s">
        <v>2197</v>
      </c>
      <c r="B983" s="746">
        <f>'[1]PLAN DE DESARROLLO 2024 - 2027'!$M$46</f>
        <v>0.25251661967012345</v>
      </c>
      <c r="C983" s="738" t="s">
        <v>2198</v>
      </c>
      <c r="D983" s="747">
        <f>'[1]PLAN DE DESARROLLO 2024 - 2027'!$M$47</f>
        <v>0.26592582694462413</v>
      </c>
      <c r="E983" s="738" t="s">
        <v>1646</v>
      </c>
      <c r="F983" s="748">
        <f>[2]Hoja1!$B$31</f>
        <v>0.3129859335038363</v>
      </c>
      <c r="G983" s="738" t="s">
        <v>412</v>
      </c>
      <c r="H983" s="738" t="s">
        <v>413</v>
      </c>
      <c r="I983" s="738"/>
      <c r="J983" s="738" t="s">
        <v>2199</v>
      </c>
      <c r="K983" s="749" t="s">
        <v>2256</v>
      </c>
    </row>
    <row r="984" spans="1:11" s="734" customFormat="1" ht="28.8" x14ac:dyDescent="0.3">
      <c r="A984" s="738" t="s">
        <v>2143</v>
      </c>
      <c r="B984" s="746">
        <f>'[1]PLAN DE DESARROLLO 2024 - 2027'!$M$4</f>
        <v>0.24028917333263158</v>
      </c>
      <c r="C984" s="738" t="s">
        <v>2149</v>
      </c>
      <c r="D984" s="747">
        <f>'[1]PLAN DE DESARROLLO 2024 - 2027'!$M$20</f>
        <v>0.2170625911038922</v>
      </c>
      <c r="E984" s="738" t="s">
        <v>1630</v>
      </c>
      <c r="F984" s="748">
        <f>[2]Hoja1!$B$35</f>
        <v>0.21</v>
      </c>
      <c r="G984" s="738" t="s">
        <v>225</v>
      </c>
      <c r="H984" s="738" t="s">
        <v>226</v>
      </c>
      <c r="I984" s="738"/>
      <c r="J984" s="738" t="s">
        <v>516</v>
      </c>
      <c r="K984" s="749" t="s">
        <v>2256</v>
      </c>
    </row>
    <row r="985" spans="1:11" s="734" customFormat="1" ht="28.8" x14ac:dyDescent="0.3">
      <c r="A985" s="738" t="s">
        <v>2143</v>
      </c>
      <c r="B985" s="746">
        <f>'[1]PLAN DE DESARROLLO 2024 - 2027'!$M$4</f>
        <v>0.24028917333263158</v>
      </c>
      <c r="C985" s="738" t="s">
        <v>2149</v>
      </c>
      <c r="D985" s="747">
        <f>'[1]PLAN DE DESARROLLO 2024 - 2027'!$M$20</f>
        <v>0.2170625911038922</v>
      </c>
      <c r="E985" s="738" t="s">
        <v>1630</v>
      </c>
      <c r="F985" s="748">
        <f>[2]Hoja1!$B$35</f>
        <v>0.21</v>
      </c>
      <c r="G985" s="738" t="s">
        <v>227</v>
      </c>
      <c r="H985" s="738" t="s">
        <v>228</v>
      </c>
      <c r="I985" s="738"/>
      <c r="J985" s="738" t="s">
        <v>516</v>
      </c>
      <c r="K985" s="749" t="s">
        <v>2256</v>
      </c>
    </row>
    <row r="986" spans="1:11" s="734" customFormat="1" ht="43.2" x14ac:dyDescent="0.3">
      <c r="A986" s="738" t="s">
        <v>2143</v>
      </c>
      <c r="B986" s="746">
        <f>'[1]PLAN DE DESARROLLO 2024 - 2027'!$M$4</f>
        <v>0.24028917333263158</v>
      </c>
      <c r="C986" s="738" t="s">
        <v>2149</v>
      </c>
      <c r="D986" s="747">
        <f>'[1]PLAN DE DESARROLLO 2024 - 2027'!$M$20</f>
        <v>0.2170625911038922</v>
      </c>
      <c r="E986" s="738" t="s">
        <v>2152</v>
      </c>
      <c r="F986" s="748">
        <f>[2]Hoja1!$B$47</f>
        <v>0.22916000000000003</v>
      </c>
      <c r="G986" s="738" t="s">
        <v>174</v>
      </c>
      <c r="H986" s="738" t="s">
        <v>175</v>
      </c>
      <c r="I986" s="738"/>
      <c r="J986" s="738" t="s">
        <v>162</v>
      </c>
      <c r="K986" s="749" t="s">
        <v>2256</v>
      </c>
    </row>
    <row r="987" spans="1:11" s="734" customFormat="1" ht="43.2" x14ac:dyDescent="0.3">
      <c r="A987" s="738" t="s">
        <v>2143</v>
      </c>
      <c r="B987" s="746">
        <f>'[1]PLAN DE DESARROLLO 2024 - 2027'!$M$4</f>
        <v>0.24028917333263158</v>
      </c>
      <c r="C987" s="738" t="s">
        <v>2149</v>
      </c>
      <c r="D987" s="747">
        <f>'[1]PLAN DE DESARROLLO 2024 - 2027'!$M$20</f>
        <v>0.2170625911038922</v>
      </c>
      <c r="E987" s="738" t="s">
        <v>2152</v>
      </c>
      <c r="F987" s="748">
        <f>[2]Hoja1!$B$47</f>
        <v>0.22916000000000003</v>
      </c>
      <c r="G987" s="738" t="s">
        <v>2153</v>
      </c>
      <c r="H987" s="738" t="s">
        <v>177</v>
      </c>
      <c r="I987" s="738"/>
      <c r="J987" s="738" t="s">
        <v>162</v>
      </c>
      <c r="K987" s="749" t="s">
        <v>2256</v>
      </c>
    </row>
    <row r="988" spans="1:11" s="734" customFormat="1" ht="57.6" x14ac:dyDescent="0.3">
      <c r="A988" s="738" t="s">
        <v>2143</v>
      </c>
      <c r="B988" s="746">
        <f>'[1]PLAN DE DESARROLLO 2024 - 2027'!$M$4</f>
        <v>0.24028917333263158</v>
      </c>
      <c r="C988" s="738" t="s">
        <v>2149</v>
      </c>
      <c r="D988" s="747">
        <f>'[1]PLAN DE DESARROLLO 2024 - 2027'!$M$20</f>
        <v>0.2170625911038922</v>
      </c>
      <c r="E988" s="738" t="s">
        <v>2154</v>
      </c>
      <c r="F988" s="748">
        <f>[2]Hoja1!$B$73</f>
        <v>6.3793103448275865E-2</v>
      </c>
      <c r="G988" s="738" t="s">
        <v>2155</v>
      </c>
      <c r="H988" s="738" t="s">
        <v>179</v>
      </c>
      <c r="I988" s="738"/>
      <c r="J988" s="738" t="s">
        <v>162</v>
      </c>
      <c r="K988" s="749" t="s">
        <v>2256</v>
      </c>
    </row>
    <row r="989" spans="1:11" s="734" customFormat="1" ht="28.8" x14ac:dyDescent="0.3">
      <c r="A989" s="738" t="s">
        <v>2143</v>
      </c>
      <c r="B989" s="746">
        <f>'[1]PLAN DE DESARROLLO 2024 - 2027'!$M$4</f>
        <v>0.24028917333263158</v>
      </c>
      <c r="C989" s="738" t="s">
        <v>2149</v>
      </c>
      <c r="D989" s="747">
        <f>'[1]PLAN DE DESARROLLO 2024 - 2027'!$M$20</f>
        <v>0.2170625911038922</v>
      </c>
      <c r="E989" s="738" t="s">
        <v>2154</v>
      </c>
      <c r="F989" s="748">
        <f>[2]Hoja1!$B$73</f>
        <v>6.3793103448275865E-2</v>
      </c>
      <c r="G989" s="738" t="s">
        <v>180</v>
      </c>
      <c r="H989" s="738" t="s">
        <v>181</v>
      </c>
      <c r="I989" s="738"/>
      <c r="J989" s="738" t="s">
        <v>162</v>
      </c>
      <c r="K989" s="749" t="s">
        <v>2256</v>
      </c>
    </row>
    <row r="990" spans="1:11" s="734" customFormat="1" ht="43.2" x14ac:dyDescent="0.3">
      <c r="A990" s="738" t="s">
        <v>2143</v>
      </c>
      <c r="B990" s="746">
        <f>'[1]PLAN DE DESARROLLO 2024 - 2027'!$M$4</f>
        <v>0.24028917333263158</v>
      </c>
      <c r="C990" s="738" t="s">
        <v>2149</v>
      </c>
      <c r="D990" s="747">
        <f>'[1]PLAN DE DESARROLLO 2024 - 2027'!$M$20</f>
        <v>0.2170625911038922</v>
      </c>
      <c r="E990" s="738" t="s">
        <v>2150</v>
      </c>
      <c r="F990" s="748">
        <f>[2]Hoja1!$B$137</f>
        <v>0.211759440843759</v>
      </c>
      <c r="G990" s="738" t="s">
        <v>160</v>
      </c>
      <c r="H990" s="738" t="s">
        <v>161</v>
      </c>
      <c r="I990" s="738"/>
      <c r="J990" s="738" t="s">
        <v>162</v>
      </c>
      <c r="K990" s="749" t="s">
        <v>2256</v>
      </c>
    </row>
    <row r="991" spans="1:11" s="734" customFormat="1" ht="28.8" x14ac:dyDescent="0.3">
      <c r="A991" s="738" t="s">
        <v>2143</v>
      </c>
      <c r="B991" s="746">
        <f>'[1]PLAN DE DESARROLLO 2024 - 2027'!$M$4</f>
        <v>0.24028917333263158</v>
      </c>
      <c r="C991" s="738" t="s">
        <v>2149</v>
      </c>
      <c r="D991" s="747">
        <f>'[1]PLAN DE DESARROLLO 2024 - 2027'!$M$20</f>
        <v>0.2170625911038922</v>
      </c>
      <c r="E991" s="738" t="s">
        <v>2150</v>
      </c>
      <c r="F991" s="748">
        <f>[2]Hoja1!$B$137</f>
        <v>0.211759440843759</v>
      </c>
      <c r="G991" s="738" t="s">
        <v>163</v>
      </c>
      <c r="H991" s="738" t="s">
        <v>164</v>
      </c>
      <c r="I991" s="738"/>
      <c r="J991" s="738" t="s">
        <v>162</v>
      </c>
      <c r="K991" s="749" t="s">
        <v>2256</v>
      </c>
    </row>
    <row r="992" spans="1:11" s="734" customFormat="1" ht="28.8" x14ac:dyDescent="0.3">
      <c r="A992" s="738" t="s">
        <v>2110</v>
      </c>
      <c r="B992" s="750">
        <f>'[1]PLAN DE DESARROLLO 2024 - 2027'!$M$161</f>
        <v>0.24647581985093744</v>
      </c>
      <c r="C992" s="738" t="s">
        <v>2112</v>
      </c>
      <c r="D992" s="747">
        <f>'[1]PLAN DE DESARROLLO 2024 - 2027'!$M$166</f>
        <v>0.23451309458253802</v>
      </c>
      <c r="E992" s="738" t="s">
        <v>2126</v>
      </c>
      <c r="F992" s="748">
        <f>[2]Hoja1!$B$70</f>
        <v>0.10187067756482795</v>
      </c>
      <c r="G992" s="738" t="s">
        <v>987</v>
      </c>
      <c r="H992" s="738" t="s">
        <v>1189</v>
      </c>
      <c r="I992" s="738"/>
      <c r="J992" s="738" t="s">
        <v>48</v>
      </c>
      <c r="K992" s="749" t="s">
        <v>2256</v>
      </c>
    </row>
    <row r="993" spans="1:11" s="734" customFormat="1" ht="28.8" x14ac:dyDescent="0.3">
      <c r="A993" s="738" t="s">
        <v>2110</v>
      </c>
      <c r="B993" s="750">
        <f>'[1]PLAN DE DESARROLLO 2024 - 2027'!$M$161</f>
        <v>0.24647581985093744</v>
      </c>
      <c r="C993" s="738" t="s">
        <v>2112</v>
      </c>
      <c r="D993" s="747">
        <f>'[1]PLAN DE DESARROLLO 2024 - 2027'!$M$166</f>
        <v>0.23451309458253802</v>
      </c>
      <c r="E993" s="738" t="s">
        <v>2126</v>
      </c>
      <c r="F993" s="748">
        <f>[2]Hoja1!$B$70</f>
        <v>0.10187067756482795</v>
      </c>
      <c r="G993" s="738" t="s">
        <v>988</v>
      </c>
      <c r="H993" s="738" t="s">
        <v>1190</v>
      </c>
      <c r="I993" s="738"/>
      <c r="J993" s="738" t="s">
        <v>48</v>
      </c>
      <c r="K993" s="749" t="s">
        <v>2256</v>
      </c>
    </row>
    <row r="994" spans="1:11" s="734" customFormat="1" ht="28.8" x14ac:dyDescent="0.3">
      <c r="A994" s="738" t="s">
        <v>2110</v>
      </c>
      <c r="B994" s="750">
        <f>'[1]PLAN DE DESARROLLO 2024 - 2027'!$M$161</f>
        <v>0.24647581985093744</v>
      </c>
      <c r="C994" s="738" t="s">
        <v>2112</v>
      </c>
      <c r="D994" s="747">
        <f>'[1]PLAN DE DESARROLLO 2024 - 2027'!$M$166</f>
        <v>0.23451309458253802</v>
      </c>
      <c r="E994" s="738" t="s">
        <v>2126</v>
      </c>
      <c r="F994" s="748">
        <f>[2]Hoja1!$B$70</f>
        <v>0.10187067756482795</v>
      </c>
      <c r="G994" s="738" t="s">
        <v>989</v>
      </c>
      <c r="H994" s="738" t="s">
        <v>1191</v>
      </c>
      <c r="I994" s="738"/>
      <c r="J994" s="738" t="s">
        <v>48</v>
      </c>
      <c r="K994" s="749" t="s">
        <v>2256</v>
      </c>
    </row>
    <row r="995" spans="1:11" s="734" customFormat="1" ht="28.8" x14ac:dyDescent="0.3">
      <c r="A995" s="738" t="s">
        <v>2110</v>
      </c>
      <c r="B995" s="750">
        <f>'[1]PLAN DE DESARROLLO 2024 - 2027'!$M$161</f>
        <v>0.24647581985093744</v>
      </c>
      <c r="C995" s="738" t="s">
        <v>2112</v>
      </c>
      <c r="D995" s="747">
        <f>'[1]PLAN DE DESARROLLO 2024 - 2027'!$M$166</f>
        <v>0.23451309458253802</v>
      </c>
      <c r="E995" s="738" t="s">
        <v>2126</v>
      </c>
      <c r="F995" s="748">
        <f>[2]Hoja1!$B$70</f>
        <v>0.10187067756482795</v>
      </c>
      <c r="G995" s="738" t="s">
        <v>990</v>
      </c>
      <c r="H995" s="738" t="s">
        <v>1192</v>
      </c>
      <c r="I995" s="738"/>
      <c r="J995" s="738" t="s">
        <v>48</v>
      </c>
      <c r="K995" s="749" t="s">
        <v>2256</v>
      </c>
    </row>
    <row r="996" spans="1:11" s="734" customFormat="1" ht="43.2" x14ac:dyDescent="0.3">
      <c r="A996" s="738" t="s">
        <v>2197</v>
      </c>
      <c r="B996" s="746">
        <f>'[1]PLAN DE DESARROLLO 2024 - 2027'!$M$46</f>
        <v>0.25251661967012345</v>
      </c>
      <c r="C996" s="738" t="s">
        <v>2198</v>
      </c>
      <c r="D996" s="747">
        <f>'[1]PLAN DE DESARROLLO 2024 - 2027'!$M$47</f>
        <v>0.26592582694462413</v>
      </c>
      <c r="E996" s="738" t="s">
        <v>1646</v>
      </c>
      <c r="F996" s="748">
        <f>[2]Hoja1!$B$31</f>
        <v>0.3129859335038363</v>
      </c>
      <c r="G996" s="738" t="s">
        <v>414</v>
      </c>
      <c r="H996" s="738" t="s">
        <v>415</v>
      </c>
      <c r="I996" s="738"/>
      <c r="J996" s="738" t="s">
        <v>2199</v>
      </c>
      <c r="K996" s="749" t="s">
        <v>2256</v>
      </c>
    </row>
    <row r="997" spans="1:11" s="734" customFormat="1" ht="28.8" x14ac:dyDescent="0.3">
      <c r="A997" s="738" t="s">
        <v>2197</v>
      </c>
      <c r="B997" s="746">
        <f>'[1]PLAN DE DESARROLLO 2024 - 2027'!$M$46</f>
        <v>0.25251661967012345</v>
      </c>
      <c r="C997" s="738" t="s">
        <v>2198</v>
      </c>
      <c r="D997" s="747">
        <f>'[1]PLAN DE DESARROLLO 2024 - 2027'!$M$47</f>
        <v>0.26592582694462413</v>
      </c>
      <c r="E997" s="738" t="s">
        <v>1646</v>
      </c>
      <c r="F997" s="748">
        <f>[2]Hoja1!$B$31</f>
        <v>0.3129859335038363</v>
      </c>
      <c r="G997" s="738" t="s">
        <v>416</v>
      </c>
      <c r="H997" s="738" t="s">
        <v>417</v>
      </c>
      <c r="I997" s="738"/>
      <c r="J997" s="738" t="s">
        <v>2199</v>
      </c>
      <c r="K997" s="749" t="s">
        <v>2256</v>
      </c>
    </row>
    <row r="998" spans="1:11" s="734" customFormat="1" ht="72" x14ac:dyDescent="0.3">
      <c r="A998" s="738" t="s">
        <v>2197</v>
      </c>
      <c r="B998" s="746">
        <f>'[1]PLAN DE DESARROLLO 2024 - 2027'!$M$46</f>
        <v>0.25251661967012345</v>
      </c>
      <c r="C998" s="738" t="s">
        <v>2198</v>
      </c>
      <c r="D998" s="747">
        <f>'[1]PLAN DE DESARROLLO 2024 - 2027'!$M$47</f>
        <v>0.26592582694462413</v>
      </c>
      <c r="E998" s="738" t="s">
        <v>2213</v>
      </c>
      <c r="F998" s="748">
        <f>[2]Hoja1!$B$32</f>
        <v>0.18148717948717949</v>
      </c>
      <c r="G998" s="738" t="s">
        <v>404</v>
      </c>
      <c r="H998" s="738" t="s">
        <v>405</v>
      </c>
      <c r="I998" s="738"/>
      <c r="J998" s="738" t="s">
        <v>2199</v>
      </c>
      <c r="K998" s="749" t="s">
        <v>2256</v>
      </c>
    </row>
    <row r="999" spans="1:11" s="734" customFormat="1" ht="28.8" x14ac:dyDescent="0.3">
      <c r="A999" s="738" t="s">
        <v>2197</v>
      </c>
      <c r="B999" s="746">
        <f>'[1]PLAN DE DESARROLLO 2024 - 2027'!$M$46</f>
        <v>0.25251661967012345</v>
      </c>
      <c r="C999" s="738" t="s">
        <v>2198</v>
      </c>
      <c r="D999" s="747">
        <f>'[1]PLAN DE DESARROLLO 2024 - 2027'!$M$47</f>
        <v>0.26592582694462413</v>
      </c>
      <c r="E999" s="738" t="s">
        <v>2213</v>
      </c>
      <c r="F999" s="748">
        <f>[2]Hoja1!$B$32</f>
        <v>0.18148717948717949</v>
      </c>
      <c r="G999" s="738" t="s">
        <v>406</v>
      </c>
      <c r="H999" s="738" t="s">
        <v>407</v>
      </c>
      <c r="I999" s="738"/>
      <c r="J999" s="738" t="s">
        <v>2199</v>
      </c>
      <c r="K999" s="749" t="s">
        <v>2256</v>
      </c>
    </row>
    <row r="1000" spans="1:11" s="734" customFormat="1" ht="57.6" x14ac:dyDescent="0.3">
      <c r="A1000" s="738" t="s">
        <v>2197</v>
      </c>
      <c r="B1000" s="746">
        <f>'[1]PLAN DE DESARROLLO 2024 - 2027'!$M$46</f>
        <v>0.25251661967012345</v>
      </c>
      <c r="C1000" s="738" t="s">
        <v>2198</v>
      </c>
      <c r="D1000" s="747">
        <f>'[1]PLAN DE DESARROLLO 2024 - 2027'!$M$47</f>
        <v>0.26592582694462413</v>
      </c>
      <c r="E1000" s="738" t="s">
        <v>2213</v>
      </c>
      <c r="F1000" s="748">
        <f>[2]Hoja1!$B$32</f>
        <v>0.18148717948717949</v>
      </c>
      <c r="G1000" s="738" t="s">
        <v>408</v>
      </c>
      <c r="H1000" s="738" t="s">
        <v>409</v>
      </c>
      <c r="I1000" s="738"/>
      <c r="J1000" s="738" t="s">
        <v>2199</v>
      </c>
      <c r="K1000" s="749" t="s">
        <v>2256</v>
      </c>
    </row>
    <row r="1001" spans="1:11" s="734" customFormat="1" ht="28.8" x14ac:dyDescent="0.3">
      <c r="A1001" s="738" t="s">
        <v>2143</v>
      </c>
      <c r="B1001" s="746">
        <f>'[1]PLAN DE DESARROLLO 2024 - 2027'!$M$4</f>
        <v>0.24028917333263158</v>
      </c>
      <c r="C1001" s="738" t="s">
        <v>2149</v>
      </c>
      <c r="D1001" s="747">
        <f>'[1]PLAN DE DESARROLLO 2024 - 2027'!$M$20</f>
        <v>0.2170625911038922</v>
      </c>
      <c r="E1001" s="738" t="s">
        <v>2150</v>
      </c>
      <c r="F1001" s="748">
        <f>[2]Hoja1!$B$137</f>
        <v>0.211759440843759</v>
      </c>
      <c r="G1001" s="738" t="s">
        <v>165</v>
      </c>
      <c r="H1001" s="738" t="s">
        <v>166</v>
      </c>
      <c r="I1001" s="738"/>
      <c r="J1001" s="738" t="s">
        <v>162</v>
      </c>
      <c r="K1001" s="749" t="s">
        <v>2256</v>
      </c>
    </row>
    <row r="1002" spans="1:11" s="734" customFormat="1" ht="28.8" x14ac:dyDescent="0.3">
      <c r="A1002" s="738" t="s">
        <v>2143</v>
      </c>
      <c r="B1002" s="746">
        <f>'[1]PLAN DE DESARROLLO 2024 - 2027'!$M$4</f>
        <v>0.24028917333263158</v>
      </c>
      <c r="C1002" s="738" t="s">
        <v>2149</v>
      </c>
      <c r="D1002" s="747">
        <f>'[1]PLAN DE DESARROLLO 2024 - 2027'!$M$20</f>
        <v>0.2170625911038922</v>
      </c>
      <c r="E1002" s="738" t="s">
        <v>2150</v>
      </c>
      <c r="F1002" s="748">
        <f>[2]Hoja1!$B$137</f>
        <v>0.211759440843759</v>
      </c>
      <c r="G1002" s="738" t="s">
        <v>167</v>
      </c>
      <c r="H1002" s="738" t="s">
        <v>168</v>
      </c>
      <c r="I1002" s="738"/>
      <c r="J1002" s="738" t="s">
        <v>162</v>
      </c>
      <c r="K1002" s="749" t="s">
        <v>2256</v>
      </c>
    </row>
    <row r="1003" spans="1:11" s="734" customFormat="1" x14ac:dyDescent="0.3">
      <c r="A1003" s="738" t="s">
        <v>2197</v>
      </c>
      <c r="B1003" s="746">
        <f>'[1]PLAN DE DESARROLLO 2024 - 2027'!$M$46</f>
        <v>0.25251661967012345</v>
      </c>
      <c r="C1003" s="738" t="s">
        <v>2198</v>
      </c>
      <c r="D1003" s="747">
        <f>'[1]PLAN DE DESARROLLO 2024 - 2027'!$M$47</f>
        <v>0.26592582694462413</v>
      </c>
      <c r="E1003" s="738" t="s">
        <v>2213</v>
      </c>
      <c r="F1003" s="748">
        <f>[2]Hoja1!$B$32</f>
        <v>0.18148717948717949</v>
      </c>
      <c r="G1003" s="738" t="s">
        <v>410</v>
      </c>
      <c r="H1003" s="738" t="s">
        <v>411</v>
      </c>
      <c r="I1003" s="738"/>
      <c r="J1003" s="738" t="s">
        <v>2199</v>
      </c>
      <c r="K1003" s="749" t="s">
        <v>2256</v>
      </c>
    </row>
    <row r="1004" spans="1:11" s="734" customFormat="1" ht="28.8" x14ac:dyDescent="0.3">
      <c r="A1004" s="738" t="s">
        <v>2197</v>
      </c>
      <c r="B1004" s="746">
        <f>'[1]PLAN DE DESARROLLO 2024 - 2027'!$M$46</f>
        <v>0.25251661967012345</v>
      </c>
      <c r="C1004" s="738" t="s">
        <v>2198</v>
      </c>
      <c r="D1004" s="747">
        <f>'[1]PLAN DE DESARROLLO 2024 - 2027'!$M$47</f>
        <v>0.26592582694462413</v>
      </c>
      <c r="E1004" s="738" t="s">
        <v>1652</v>
      </c>
      <c r="F1004" s="748">
        <f>[2]Hoja1!$B$33</f>
        <v>0.25094117647058822</v>
      </c>
      <c r="G1004" s="738" t="s">
        <v>467</v>
      </c>
      <c r="H1004" s="738" t="s">
        <v>468</v>
      </c>
      <c r="I1004" s="738"/>
      <c r="J1004" s="738" t="s">
        <v>2199</v>
      </c>
      <c r="K1004" s="749" t="s">
        <v>2256</v>
      </c>
    </row>
    <row r="1005" spans="1:11" s="734" customFormat="1" ht="28.8" x14ac:dyDescent="0.3">
      <c r="A1005" s="738" t="s">
        <v>2197</v>
      </c>
      <c r="B1005" s="746">
        <f>'[1]PLAN DE DESARROLLO 2024 - 2027'!$M$46</f>
        <v>0.25251661967012345</v>
      </c>
      <c r="C1005" s="738" t="s">
        <v>2198</v>
      </c>
      <c r="D1005" s="747">
        <f>'[1]PLAN DE DESARROLLO 2024 - 2027'!$M$47</f>
        <v>0.26592582694462413</v>
      </c>
      <c r="E1005" s="738" t="s">
        <v>1652</v>
      </c>
      <c r="F1005" s="748">
        <f>[2]Hoja1!$B$33</f>
        <v>0.25094117647058822</v>
      </c>
      <c r="G1005" s="738" t="s">
        <v>469</v>
      </c>
      <c r="H1005" s="738" t="s">
        <v>470</v>
      </c>
      <c r="I1005" s="738"/>
      <c r="J1005" s="738" t="s">
        <v>2199</v>
      </c>
      <c r="K1005" s="749" t="s">
        <v>2256</v>
      </c>
    </row>
    <row r="1006" spans="1:11" s="734" customFormat="1" ht="28.8" x14ac:dyDescent="0.3">
      <c r="A1006" s="738" t="s">
        <v>2197</v>
      </c>
      <c r="B1006" s="746">
        <f>'[1]PLAN DE DESARROLLO 2024 - 2027'!$M$46</f>
        <v>0.25251661967012345</v>
      </c>
      <c r="C1006" s="738" t="s">
        <v>2198</v>
      </c>
      <c r="D1006" s="747">
        <f>'[1]PLAN DE DESARROLLO 2024 - 2027'!$M$47</f>
        <v>0.26592582694462413</v>
      </c>
      <c r="E1006" s="738" t="s">
        <v>1652</v>
      </c>
      <c r="F1006" s="748">
        <f>[2]Hoja1!$B$33</f>
        <v>0.25094117647058822</v>
      </c>
      <c r="G1006" s="738" t="s">
        <v>471</v>
      </c>
      <c r="H1006" s="738" t="s">
        <v>472</v>
      </c>
      <c r="I1006" s="738"/>
      <c r="J1006" s="738" t="s">
        <v>2199</v>
      </c>
      <c r="K1006" s="749" t="s">
        <v>2256</v>
      </c>
    </row>
    <row r="1007" spans="1:11" s="734" customFormat="1" ht="43.2" x14ac:dyDescent="0.3">
      <c r="A1007" s="738" t="s">
        <v>2197</v>
      </c>
      <c r="B1007" s="746">
        <f>'[1]PLAN DE DESARROLLO 2024 - 2027'!$M$46</f>
        <v>0.25251661967012345</v>
      </c>
      <c r="C1007" s="738" t="s">
        <v>2198</v>
      </c>
      <c r="D1007" s="747">
        <f>'[1]PLAN DE DESARROLLO 2024 - 2027'!$M$47</f>
        <v>0.26592582694462413</v>
      </c>
      <c r="E1007" s="738" t="s">
        <v>2210</v>
      </c>
      <c r="F1007" s="748">
        <f>[2]Hoja1!$B$62</f>
        <v>0.40093061935688268</v>
      </c>
      <c r="G1007" s="738" t="s">
        <v>396</v>
      </c>
      <c r="H1007" s="738" t="s">
        <v>397</v>
      </c>
      <c r="I1007" s="738"/>
      <c r="J1007" s="738" t="s">
        <v>2199</v>
      </c>
      <c r="K1007" s="749" t="s">
        <v>2256</v>
      </c>
    </row>
    <row r="1008" spans="1:11" s="734" customFormat="1" ht="43.2" x14ac:dyDescent="0.3">
      <c r="A1008" s="738" t="s">
        <v>2197</v>
      </c>
      <c r="B1008" s="746">
        <f>'[1]PLAN DE DESARROLLO 2024 - 2027'!$M$46</f>
        <v>0.25251661967012345</v>
      </c>
      <c r="C1008" s="738" t="s">
        <v>2198</v>
      </c>
      <c r="D1008" s="747">
        <f>'[1]PLAN DE DESARROLLO 2024 - 2027'!$M$47</f>
        <v>0.26592582694462413</v>
      </c>
      <c r="E1008" s="738" t="s">
        <v>2210</v>
      </c>
      <c r="F1008" s="748">
        <f>[2]Hoja1!$B$62</f>
        <v>0.40093061935688268</v>
      </c>
      <c r="G1008" s="738" t="s">
        <v>2211</v>
      </c>
      <c r="H1008" s="738" t="s">
        <v>2212</v>
      </c>
      <c r="I1008" s="738"/>
      <c r="J1008" s="738" t="s">
        <v>2199</v>
      </c>
      <c r="K1008" s="749" t="s">
        <v>2256</v>
      </c>
    </row>
    <row r="1009" spans="1:11" s="734" customFormat="1" ht="28.8" x14ac:dyDescent="0.3">
      <c r="A1009" s="738" t="s">
        <v>2110</v>
      </c>
      <c r="B1009" s="750">
        <f>'[1]PLAN DE DESARROLLO 2024 - 2027'!$M$161</f>
        <v>0.24647581985093744</v>
      </c>
      <c r="C1009" s="738" t="s">
        <v>2112</v>
      </c>
      <c r="D1009" s="747">
        <f>'[1]PLAN DE DESARROLLO 2024 - 2027'!$M$166</f>
        <v>0.23451309458253802</v>
      </c>
      <c r="E1009" s="738" t="s">
        <v>2114</v>
      </c>
      <c r="F1009" s="748">
        <f>[2]Hoja1!$B$76</f>
        <v>0</v>
      </c>
      <c r="G1009" s="738" t="s">
        <v>985</v>
      </c>
      <c r="H1009" s="738" t="s">
        <v>1187</v>
      </c>
      <c r="I1009" s="738"/>
      <c r="J1009" s="738" t="s">
        <v>2115</v>
      </c>
      <c r="K1009" s="749" t="s">
        <v>2256</v>
      </c>
    </row>
    <row r="1010" spans="1:11" s="734" customFormat="1" ht="28.8" x14ac:dyDescent="0.3">
      <c r="A1010" s="738" t="s">
        <v>2110</v>
      </c>
      <c r="B1010" s="750">
        <f>'[1]PLAN DE DESARROLLO 2024 - 2027'!$M$161</f>
        <v>0.24647581985093744</v>
      </c>
      <c r="C1010" s="738" t="s">
        <v>2112</v>
      </c>
      <c r="D1010" s="747">
        <f>'[1]PLAN DE DESARROLLO 2024 - 2027'!$M$166</f>
        <v>0.23451309458253802</v>
      </c>
      <c r="E1010" s="738" t="s">
        <v>2114</v>
      </c>
      <c r="F1010" s="748">
        <f>[2]Hoja1!$B$76</f>
        <v>0</v>
      </c>
      <c r="G1010" s="738" t="s">
        <v>986</v>
      </c>
      <c r="H1010" s="738" t="s">
        <v>1188</v>
      </c>
      <c r="I1010" s="738"/>
      <c r="J1010" s="738" t="s">
        <v>2115</v>
      </c>
      <c r="K1010" s="749" t="s">
        <v>2256</v>
      </c>
    </row>
    <row r="1011" spans="1:11" s="734" customFormat="1" ht="57.6" x14ac:dyDescent="0.3">
      <c r="A1011" s="738" t="s">
        <v>2143</v>
      </c>
      <c r="B1011" s="746">
        <f>'[1]PLAN DE DESARROLLO 2024 - 2027'!$M$4</f>
        <v>0.24028917333263158</v>
      </c>
      <c r="C1011" s="738" t="s">
        <v>2149</v>
      </c>
      <c r="D1011" s="747">
        <f>'[1]PLAN DE DESARROLLO 2024 - 2027'!$M$20</f>
        <v>0.2170625911038922</v>
      </c>
      <c r="E1011" s="738" t="s">
        <v>2150</v>
      </c>
      <c r="F1011" s="748">
        <f>[2]Hoja1!$B$137</f>
        <v>0.211759440843759</v>
      </c>
      <c r="G1011" s="738" t="s">
        <v>169</v>
      </c>
      <c r="H1011" s="738" t="s">
        <v>170</v>
      </c>
      <c r="I1011" s="738"/>
      <c r="J1011" s="738" t="s">
        <v>162</v>
      </c>
      <c r="K1011" s="749" t="s">
        <v>2256</v>
      </c>
    </row>
    <row r="1012" spans="1:11" s="734" customFormat="1" ht="28.8" x14ac:dyDescent="0.3">
      <c r="A1012" s="738" t="s">
        <v>2143</v>
      </c>
      <c r="B1012" s="746">
        <f>'[1]PLAN DE DESARROLLO 2024 - 2027'!$M$4</f>
        <v>0.24028917333263158</v>
      </c>
      <c r="C1012" s="738" t="s">
        <v>2149</v>
      </c>
      <c r="D1012" s="747">
        <f>'[1]PLAN DE DESARROLLO 2024 - 2027'!$M$20</f>
        <v>0.2170625911038922</v>
      </c>
      <c r="E1012" s="738" t="s">
        <v>2150</v>
      </c>
      <c r="F1012" s="748">
        <f>[2]Hoja1!$B$137</f>
        <v>0.211759440843759</v>
      </c>
      <c r="G1012" s="738" t="s">
        <v>171</v>
      </c>
      <c r="H1012" s="738" t="s">
        <v>172</v>
      </c>
      <c r="I1012" s="738"/>
      <c r="J1012" s="738" t="s">
        <v>2151</v>
      </c>
      <c r="K1012" s="749" t="s">
        <v>2256</v>
      </c>
    </row>
    <row r="1013" spans="1:11" s="734" customFormat="1" ht="43.2" x14ac:dyDescent="0.3">
      <c r="A1013" s="738" t="s">
        <v>2143</v>
      </c>
      <c r="B1013" s="746">
        <f>'[1]PLAN DE DESARROLLO 2024 - 2027'!$M$4</f>
        <v>0.24028917333263158</v>
      </c>
      <c r="C1013" s="738" t="s">
        <v>2149</v>
      </c>
      <c r="D1013" s="747">
        <f>'[1]PLAN DE DESARROLLO 2024 - 2027'!$M$20</f>
        <v>0.2170625911038922</v>
      </c>
      <c r="E1013" s="738" t="s">
        <v>1629</v>
      </c>
      <c r="F1013" s="748">
        <f>[2]Hoja1!$B$139</f>
        <v>0.25787869115937234</v>
      </c>
      <c r="G1013" s="738" t="s">
        <v>182</v>
      </c>
      <c r="H1013" s="738" t="s">
        <v>183</v>
      </c>
      <c r="I1013" s="738"/>
      <c r="J1013" s="738" t="s">
        <v>162</v>
      </c>
      <c r="K1013" s="749" t="s">
        <v>2256</v>
      </c>
    </row>
    <row r="1014" spans="1:11" s="734" customFormat="1" ht="28.8" x14ac:dyDescent="0.3">
      <c r="A1014" s="738" t="s">
        <v>2143</v>
      </c>
      <c r="B1014" s="746">
        <f>'[1]PLAN DE DESARROLLO 2024 - 2027'!$M$4</f>
        <v>0.24028917333263158</v>
      </c>
      <c r="C1014" s="738" t="s">
        <v>2149</v>
      </c>
      <c r="D1014" s="747">
        <f>'[1]PLAN DE DESARROLLO 2024 - 2027'!$M$20</f>
        <v>0.2170625911038922</v>
      </c>
      <c r="E1014" s="738" t="s">
        <v>1629</v>
      </c>
      <c r="F1014" s="748">
        <f>[2]Hoja1!$B$139</f>
        <v>0.25787869115937234</v>
      </c>
      <c r="G1014" s="738" t="s">
        <v>184</v>
      </c>
      <c r="H1014" s="738" t="s">
        <v>185</v>
      </c>
      <c r="I1014" s="738"/>
      <c r="J1014" s="738" t="s">
        <v>162</v>
      </c>
      <c r="K1014" s="749" t="s">
        <v>2256</v>
      </c>
    </row>
    <row r="1015" spans="1:11" s="734" customFormat="1" ht="43.2" x14ac:dyDescent="0.3">
      <c r="A1015" s="738" t="s">
        <v>2197</v>
      </c>
      <c r="B1015" s="746">
        <f>'[1]PLAN DE DESARROLLO 2024 - 2027'!$M$46</f>
        <v>0.25251661967012345</v>
      </c>
      <c r="C1015" s="738" t="s">
        <v>2198</v>
      </c>
      <c r="D1015" s="747">
        <f>'[1]PLAN DE DESARROLLO 2024 - 2027'!$M$47</f>
        <v>0.26592582694462413</v>
      </c>
      <c r="E1015" s="738" t="s">
        <v>2210</v>
      </c>
      <c r="F1015" s="748">
        <f>[2]Hoja1!$B$62</f>
        <v>0.40093061935688268</v>
      </c>
      <c r="G1015" s="738" t="s">
        <v>400</v>
      </c>
      <c r="H1015" s="738" t="s">
        <v>401</v>
      </c>
      <c r="I1015" s="738"/>
      <c r="J1015" s="738" t="s">
        <v>2199</v>
      </c>
      <c r="K1015" s="749" t="s">
        <v>2256</v>
      </c>
    </row>
    <row r="1016" spans="1:11" s="734" customFormat="1" ht="43.2" x14ac:dyDescent="0.3">
      <c r="A1016" s="738" t="s">
        <v>2197</v>
      </c>
      <c r="B1016" s="746">
        <f>'[1]PLAN DE DESARROLLO 2024 - 2027'!$M$46</f>
        <v>0.25251661967012345</v>
      </c>
      <c r="C1016" s="738" t="s">
        <v>2198</v>
      </c>
      <c r="D1016" s="747">
        <f>'[1]PLAN DE DESARROLLO 2024 - 2027'!$M$47</f>
        <v>0.26592582694462413</v>
      </c>
      <c r="E1016" s="738" t="s">
        <v>2210</v>
      </c>
      <c r="F1016" s="748">
        <f>[2]Hoja1!$B$62</f>
        <v>0.40093061935688268</v>
      </c>
      <c r="G1016" s="738" t="s">
        <v>402</v>
      </c>
      <c r="H1016" s="738" t="s">
        <v>403</v>
      </c>
      <c r="I1016" s="738"/>
      <c r="J1016" s="738" t="s">
        <v>2199</v>
      </c>
      <c r="K1016" s="749" t="s">
        <v>2256</v>
      </c>
    </row>
    <row r="1017" spans="1:11" s="734" customFormat="1" ht="28.8" x14ac:dyDescent="0.3">
      <c r="A1017" s="738" t="s">
        <v>2197</v>
      </c>
      <c r="B1017" s="746">
        <f>'[1]PLAN DE DESARROLLO 2024 - 2027'!$M$46</f>
        <v>0.25251661967012345</v>
      </c>
      <c r="C1017" s="738" t="s">
        <v>2198</v>
      </c>
      <c r="D1017" s="747">
        <f>'[1]PLAN DE DESARROLLO 2024 - 2027'!$M$47</f>
        <v>0.26592582694462413</v>
      </c>
      <c r="E1017" s="738" t="s">
        <v>1654</v>
      </c>
      <c r="F1017" s="748">
        <f>[2]Hoja1!$B$67</f>
        <v>0.60631944444444441</v>
      </c>
      <c r="G1017" s="738" t="s">
        <v>488</v>
      </c>
      <c r="H1017" s="738" t="s">
        <v>489</v>
      </c>
      <c r="I1017" s="738"/>
      <c r="J1017" s="738" t="s">
        <v>490</v>
      </c>
      <c r="K1017" s="749" t="s">
        <v>2256</v>
      </c>
    </row>
    <row r="1018" spans="1:11" s="734" customFormat="1" ht="28.8" x14ac:dyDescent="0.3">
      <c r="A1018" s="738" t="s">
        <v>2197</v>
      </c>
      <c r="B1018" s="746">
        <f>'[1]PLAN DE DESARROLLO 2024 - 2027'!$M$46</f>
        <v>0.25251661967012345</v>
      </c>
      <c r="C1018" s="738" t="s">
        <v>2198</v>
      </c>
      <c r="D1018" s="747">
        <f>'[1]PLAN DE DESARROLLO 2024 - 2027'!$M$47</f>
        <v>0.26592582694462413</v>
      </c>
      <c r="E1018" s="738" t="s">
        <v>1654</v>
      </c>
      <c r="F1018" s="748">
        <f>[2]Hoja1!$B$67</f>
        <v>0.60631944444444441</v>
      </c>
      <c r="G1018" s="738" t="s">
        <v>491</v>
      </c>
      <c r="H1018" s="738" t="s">
        <v>492</v>
      </c>
      <c r="I1018" s="738"/>
      <c r="J1018" s="738" t="s">
        <v>490</v>
      </c>
      <c r="K1018" s="749" t="s">
        <v>2256</v>
      </c>
    </row>
    <row r="1019" spans="1:11" s="734" customFormat="1" ht="28.8" x14ac:dyDescent="0.3">
      <c r="A1019" s="738" t="s">
        <v>2017</v>
      </c>
      <c r="B1019" s="750">
        <f>'[1]PLAN DE DESARROLLO 2024 - 2027'!$M$123</f>
        <v>0.20174333228533195</v>
      </c>
      <c r="C1019" s="738" t="s">
        <v>2047</v>
      </c>
      <c r="D1019" s="747">
        <f>'[1]PLAN DE DESARROLLO 2024 - 2027'!$M$130</f>
        <v>9.8146749999999991E-2</v>
      </c>
      <c r="E1019" s="738" t="s">
        <v>2048</v>
      </c>
      <c r="F1019" s="748">
        <f>[2]Hoja1!$B$20</f>
        <v>3.3340000000000002E-2</v>
      </c>
      <c r="G1019" s="738" t="s">
        <v>834</v>
      </c>
      <c r="H1019" s="738" t="s">
        <v>1293</v>
      </c>
      <c r="I1019" s="738"/>
      <c r="J1019" s="738" t="s">
        <v>767</v>
      </c>
      <c r="K1019" s="749" t="s">
        <v>2256</v>
      </c>
    </row>
    <row r="1020" spans="1:11" s="734" customFormat="1" ht="28.8" x14ac:dyDescent="0.3">
      <c r="A1020" s="738" t="s">
        <v>2017</v>
      </c>
      <c r="B1020" s="750">
        <f>'[1]PLAN DE DESARROLLO 2024 - 2027'!$M$123</f>
        <v>0.20174333228533195</v>
      </c>
      <c r="C1020" s="738" t="s">
        <v>2047</v>
      </c>
      <c r="D1020" s="747">
        <f>'[1]PLAN DE DESARROLLO 2024 - 2027'!$M$130</f>
        <v>9.8146749999999991E-2</v>
      </c>
      <c r="E1020" s="738" t="s">
        <v>2048</v>
      </c>
      <c r="F1020" s="748">
        <f>[2]Hoja1!$B$20</f>
        <v>3.3340000000000002E-2</v>
      </c>
      <c r="G1020" s="738" t="s">
        <v>835</v>
      </c>
      <c r="H1020" s="738" t="s">
        <v>1294</v>
      </c>
      <c r="I1020" s="738"/>
      <c r="J1020" s="738" t="s">
        <v>2049</v>
      </c>
      <c r="K1020" s="749" t="s">
        <v>2256</v>
      </c>
    </row>
    <row r="1021" spans="1:11" s="734" customFormat="1" ht="28.8" x14ac:dyDescent="0.3">
      <c r="A1021" s="738" t="s">
        <v>2110</v>
      </c>
      <c r="B1021" s="750">
        <f>'[1]PLAN DE DESARROLLO 2024 - 2027'!$M$161</f>
        <v>0.24647581985093744</v>
      </c>
      <c r="C1021" s="738" t="s">
        <v>2134</v>
      </c>
      <c r="D1021" s="747">
        <f>'[1]PLAN DE DESARROLLO 2024 - 2027'!$M$191</f>
        <v>0.22981556695992181</v>
      </c>
      <c r="E1021" s="738" t="s">
        <v>2141</v>
      </c>
      <c r="F1021" s="748">
        <f>[2]Hoja1!$B$81</f>
        <v>0.1875</v>
      </c>
      <c r="G1021" s="738" t="s">
        <v>1063</v>
      </c>
      <c r="H1021" s="738" t="s">
        <v>1260</v>
      </c>
      <c r="I1021" s="738"/>
      <c r="J1021" s="738" t="s">
        <v>2142</v>
      </c>
      <c r="K1021" s="749" t="s">
        <v>2256</v>
      </c>
    </row>
    <row r="1022" spans="1:11" s="734" customFormat="1" ht="28.8" x14ac:dyDescent="0.3">
      <c r="A1022" s="738" t="s">
        <v>2110</v>
      </c>
      <c r="B1022" s="750">
        <f>'[1]PLAN DE DESARROLLO 2024 - 2027'!$M$161</f>
        <v>0.24647581985093744</v>
      </c>
      <c r="C1022" s="738" t="s">
        <v>2134</v>
      </c>
      <c r="D1022" s="747">
        <f>'[1]PLAN DE DESARROLLO 2024 - 2027'!$M$191</f>
        <v>0.22981556695992181</v>
      </c>
      <c r="E1022" s="738" t="s">
        <v>2141</v>
      </c>
      <c r="F1022" s="748">
        <f>[2]Hoja1!$B$81</f>
        <v>0.1875</v>
      </c>
      <c r="G1022" s="738" t="s">
        <v>1065</v>
      </c>
      <c r="H1022" s="738" t="s">
        <v>1261</v>
      </c>
      <c r="I1022" s="738"/>
      <c r="J1022" s="738" t="s">
        <v>2142</v>
      </c>
      <c r="K1022" s="749" t="s">
        <v>2256</v>
      </c>
    </row>
    <row r="1023" spans="1:11" s="734" customFormat="1" ht="28.8" x14ac:dyDescent="0.3">
      <c r="A1023" s="738" t="s">
        <v>2017</v>
      </c>
      <c r="B1023" s="750">
        <f>'[1]PLAN DE DESARROLLO 2024 - 2027'!$M$123</f>
        <v>0.20174333228533195</v>
      </c>
      <c r="C1023" s="738" t="s">
        <v>2047</v>
      </c>
      <c r="D1023" s="747">
        <f>'[1]PLAN DE DESARROLLO 2024 - 2027'!$M$130</f>
        <v>9.8146749999999991E-2</v>
      </c>
      <c r="E1023" s="738" t="s">
        <v>2048</v>
      </c>
      <c r="F1023" s="748">
        <f>[2]Hoja1!$B$20</f>
        <v>3.3340000000000002E-2</v>
      </c>
      <c r="G1023" s="738" t="s">
        <v>837</v>
      </c>
      <c r="H1023" s="738" t="s">
        <v>1295</v>
      </c>
      <c r="I1023" s="738"/>
      <c r="J1023" s="738" t="s">
        <v>2050</v>
      </c>
      <c r="K1023" s="749" t="s">
        <v>2256</v>
      </c>
    </row>
    <row r="1024" spans="1:11" s="734" customFormat="1" ht="28.8" x14ac:dyDescent="0.3">
      <c r="A1024" s="738" t="s">
        <v>2017</v>
      </c>
      <c r="B1024" s="750">
        <f>'[1]PLAN DE DESARROLLO 2024 - 2027'!$M$123</f>
        <v>0.20174333228533195</v>
      </c>
      <c r="C1024" s="738" t="s">
        <v>2047</v>
      </c>
      <c r="D1024" s="747">
        <f>'[1]PLAN DE DESARROLLO 2024 - 2027'!$M$130</f>
        <v>9.8146749999999991E-2</v>
      </c>
      <c r="E1024" s="738" t="s">
        <v>1806</v>
      </c>
      <c r="F1024" s="748">
        <f>[2]Hoja1!$B$80</f>
        <v>6.6666666666666666E-2</v>
      </c>
      <c r="G1024" s="738" t="s">
        <v>847</v>
      </c>
      <c r="H1024" s="738" t="s">
        <v>1303</v>
      </c>
      <c r="I1024" s="738"/>
      <c r="J1024" s="738" t="s">
        <v>1540</v>
      </c>
      <c r="K1024" s="749" t="s">
        <v>2256</v>
      </c>
    </row>
    <row r="1025" spans="1:11" s="734" customFormat="1" ht="28.8" x14ac:dyDescent="0.3">
      <c r="A1025" s="738" t="s">
        <v>2017</v>
      </c>
      <c r="B1025" s="750">
        <f>'[1]PLAN DE DESARROLLO 2024 - 2027'!$M$123</f>
        <v>0.20174333228533195</v>
      </c>
      <c r="C1025" s="738" t="s">
        <v>2047</v>
      </c>
      <c r="D1025" s="747">
        <f>'[1]PLAN DE DESARROLLO 2024 - 2027'!$M$130</f>
        <v>9.8146749999999991E-2</v>
      </c>
      <c r="E1025" s="738" t="s">
        <v>1806</v>
      </c>
      <c r="F1025" s="748">
        <f>[2]Hoja1!$B$80</f>
        <v>6.6666666666666666E-2</v>
      </c>
      <c r="G1025" s="738" t="s">
        <v>848</v>
      </c>
      <c r="H1025" s="738" t="s">
        <v>1304</v>
      </c>
      <c r="I1025" s="738"/>
      <c r="J1025" s="738" t="s">
        <v>1540</v>
      </c>
      <c r="K1025" s="749" t="s">
        <v>2256</v>
      </c>
    </row>
    <row r="1026" spans="1:11" s="734" customFormat="1" x14ac:dyDescent="0.3">
      <c r="A1026" s="738" t="s">
        <v>2017</v>
      </c>
      <c r="B1026" s="750">
        <f>'[1]PLAN DE DESARROLLO 2024 - 2027'!$M$123</f>
        <v>0.20174333228533195</v>
      </c>
      <c r="C1026" s="738" t="s">
        <v>2047</v>
      </c>
      <c r="D1026" s="747">
        <f>'[1]PLAN DE DESARROLLO 2024 - 2027'!$M$130</f>
        <v>9.8146749999999991E-2</v>
      </c>
      <c r="E1026" s="738" t="s">
        <v>2051</v>
      </c>
      <c r="F1026" s="748">
        <f>[2]Hoja1!$B$85</f>
        <v>0.10056933333333333</v>
      </c>
      <c r="G1026" s="738" t="s">
        <v>839</v>
      </c>
      <c r="H1026" s="738" t="s">
        <v>1296</v>
      </c>
      <c r="I1026" s="738"/>
      <c r="J1026" s="738" t="s">
        <v>698</v>
      </c>
      <c r="K1026" s="749" t="s">
        <v>2256</v>
      </c>
    </row>
    <row r="1027" spans="1:11" s="734" customFormat="1" x14ac:dyDescent="0.3">
      <c r="A1027" s="738" t="s">
        <v>2017</v>
      </c>
      <c r="B1027" s="750">
        <f>'[1]PLAN DE DESARROLLO 2024 - 2027'!$M$123</f>
        <v>0.20174333228533195</v>
      </c>
      <c r="C1027" s="738" t="s">
        <v>2047</v>
      </c>
      <c r="D1027" s="747">
        <f>'[1]PLAN DE DESARROLLO 2024 - 2027'!$M$130</f>
        <v>9.8146749999999991E-2</v>
      </c>
      <c r="E1027" s="738" t="s">
        <v>2051</v>
      </c>
      <c r="F1027" s="748">
        <f>[2]Hoja1!$B$85</f>
        <v>0.10056933333333333</v>
      </c>
      <c r="G1027" s="738" t="s">
        <v>840</v>
      </c>
      <c r="H1027" s="738" t="s">
        <v>1297</v>
      </c>
      <c r="I1027" s="738"/>
      <c r="J1027" s="738" t="s">
        <v>698</v>
      </c>
      <c r="K1027" s="749" t="s">
        <v>2256</v>
      </c>
    </row>
    <row r="1028" spans="1:11" s="734" customFormat="1" ht="28.8" x14ac:dyDescent="0.3">
      <c r="A1028" s="738" t="s">
        <v>2017</v>
      </c>
      <c r="B1028" s="750">
        <f>'[1]PLAN DE DESARROLLO 2024 - 2027'!$M$123</f>
        <v>0.20174333228533195</v>
      </c>
      <c r="C1028" s="738" t="s">
        <v>2047</v>
      </c>
      <c r="D1028" s="747">
        <f>'[1]PLAN DE DESARROLLO 2024 - 2027'!$M$130</f>
        <v>9.8146749999999991E-2</v>
      </c>
      <c r="E1028" s="738" t="s">
        <v>2051</v>
      </c>
      <c r="F1028" s="748">
        <f>[2]Hoja1!$B$85</f>
        <v>0.10056933333333333</v>
      </c>
      <c r="G1028" s="738" t="s">
        <v>841</v>
      </c>
      <c r="H1028" s="738" t="s">
        <v>1298</v>
      </c>
      <c r="I1028" s="738"/>
      <c r="J1028" s="738" t="s">
        <v>698</v>
      </c>
      <c r="K1028" s="749" t="s">
        <v>2256</v>
      </c>
    </row>
    <row r="1029" spans="1:11" s="734" customFormat="1" ht="28.8" x14ac:dyDescent="0.3">
      <c r="A1029" s="738" t="s">
        <v>2017</v>
      </c>
      <c r="B1029" s="750">
        <f>'[1]PLAN DE DESARROLLO 2024 - 2027'!$M$123</f>
        <v>0.20174333228533195</v>
      </c>
      <c r="C1029" s="738" t="s">
        <v>2047</v>
      </c>
      <c r="D1029" s="747">
        <f>'[1]PLAN DE DESARROLLO 2024 - 2027'!$M$130</f>
        <v>9.8146749999999991E-2</v>
      </c>
      <c r="E1029" s="738" t="s">
        <v>2053</v>
      </c>
      <c r="F1029" s="748">
        <f>[2]Hoja1!$B$98</f>
        <v>0.25802750000000002</v>
      </c>
      <c r="G1029" s="738" t="s">
        <v>844</v>
      </c>
      <c r="H1029" s="738" t="s">
        <v>1871</v>
      </c>
      <c r="I1029" s="738"/>
      <c r="J1029" s="738" t="s">
        <v>698</v>
      </c>
      <c r="K1029" s="749" t="s">
        <v>2256</v>
      </c>
    </row>
    <row r="1030" spans="1:11" s="734" customFormat="1" ht="28.8" x14ac:dyDescent="0.3">
      <c r="A1030" s="738" t="s">
        <v>2110</v>
      </c>
      <c r="B1030" s="750">
        <f>'[1]PLAN DE DESARROLLO 2024 - 2027'!$M$161</f>
        <v>0.24647581985093744</v>
      </c>
      <c r="C1030" s="738" t="s">
        <v>2116</v>
      </c>
      <c r="D1030" s="747">
        <f>'[1]PLAN DE DESARROLLO 2024 - 2027'!$M$175</f>
        <v>0.32167780464535306</v>
      </c>
      <c r="E1030" s="738" t="s">
        <v>2127</v>
      </c>
      <c r="F1030" s="748">
        <f>[2]Hoja1!$B$83</f>
        <v>0.32545032067931901</v>
      </c>
      <c r="G1030" s="738" t="s">
        <v>991</v>
      </c>
      <c r="H1030" s="738" t="s">
        <v>1193</v>
      </c>
      <c r="I1030" s="738"/>
      <c r="J1030" s="738" t="s">
        <v>683</v>
      </c>
      <c r="K1030" s="749" t="s">
        <v>2256</v>
      </c>
    </row>
    <row r="1031" spans="1:11" s="734" customFormat="1" ht="28.8" x14ac:dyDescent="0.3">
      <c r="A1031" s="738" t="s">
        <v>2110</v>
      </c>
      <c r="B1031" s="750">
        <f>'[1]PLAN DE DESARROLLO 2024 - 2027'!$M$161</f>
        <v>0.24647581985093744</v>
      </c>
      <c r="C1031" s="738" t="s">
        <v>2116</v>
      </c>
      <c r="D1031" s="747">
        <f>'[1]PLAN DE DESARROLLO 2024 - 2027'!$M$175</f>
        <v>0.32167780464535306</v>
      </c>
      <c r="E1031" s="738" t="s">
        <v>2127</v>
      </c>
      <c r="F1031" s="748">
        <f>[2]Hoja1!$B$83</f>
        <v>0.32545032067931901</v>
      </c>
      <c r="G1031" s="738" t="s">
        <v>992</v>
      </c>
      <c r="H1031" s="738" t="s">
        <v>1194</v>
      </c>
      <c r="I1031" s="738"/>
      <c r="J1031" s="738" t="s">
        <v>683</v>
      </c>
      <c r="K1031" s="749" t="s">
        <v>2256</v>
      </c>
    </row>
    <row r="1032" spans="1:11" s="734" customFormat="1" ht="28.8" x14ac:dyDescent="0.3">
      <c r="A1032" s="738" t="s">
        <v>2110</v>
      </c>
      <c r="B1032" s="750">
        <f>'[1]PLAN DE DESARROLLO 2024 - 2027'!$M$161</f>
        <v>0.24647581985093744</v>
      </c>
      <c r="C1032" s="738" t="s">
        <v>2116</v>
      </c>
      <c r="D1032" s="747">
        <f>'[1]PLAN DE DESARROLLO 2024 - 2027'!$M$175</f>
        <v>0.32167780464535306</v>
      </c>
      <c r="E1032" s="738" t="s">
        <v>2127</v>
      </c>
      <c r="F1032" s="748">
        <f>[2]Hoja1!$B$83</f>
        <v>0.32545032067931901</v>
      </c>
      <c r="G1032" s="738" t="s">
        <v>993</v>
      </c>
      <c r="H1032" s="738" t="s">
        <v>1195</v>
      </c>
      <c r="I1032" s="738"/>
      <c r="J1032" s="738" t="s">
        <v>683</v>
      </c>
      <c r="K1032" s="749" t="s">
        <v>2256</v>
      </c>
    </row>
    <row r="1033" spans="1:11" s="734" customFormat="1" ht="28.8" x14ac:dyDescent="0.3">
      <c r="A1033" s="738" t="s">
        <v>2110</v>
      </c>
      <c r="B1033" s="750">
        <f>'[1]PLAN DE DESARROLLO 2024 - 2027'!$M$161</f>
        <v>0.24647581985093744</v>
      </c>
      <c r="C1033" s="738" t="s">
        <v>2116</v>
      </c>
      <c r="D1033" s="747">
        <f>'[1]PLAN DE DESARROLLO 2024 - 2027'!$M$175</f>
        <v>0.32167780464535306</v>
      </c>
      <c r="E1033" s="738" t="s">
        <v>2127</v>
      </c>
      <c r="F1033" s="748">
        <f>[2]Hoja1!$B$83</f>
        <v>0.32545032067931901</v>
      </c>
      <c r="G1033" s="738" t="s">
        <v>994</v>
      </c>
      <c r="H1033" s="738" t="s">
        <v>1196</v>
      </c>
      <c r="I1033" s="738"/>
      <c r="J1033" s="738" t="s">
        <v>683</v>
      </c>
      <c r="K1033" s="749" t="s">
        <v>2256</v>
      </c>
    </row>
    <row r="1034" spans="1:11" s="734" customFormat="1" ht="28.8" x14ac:dyDescent="0.3">
      <c r="A1034" s="738" t="s">
        <v>2110</v>
      </c>
      <c r="B1034" s="750">
        <f>'[1]PLAN DE DESARROLLO 2024 - 2027'!$M$161</f>
        <v>0.24647581985093744</v>
      </c>
      <c r="C1034" s="738" t="s">
        <v>2116</v>
      </c>
      <c r="D1034" s="747">
        <f>'[1]PLAN DE DESARROLLO 2024 - 2027'!$M$175</f>
        <v>0.32167780464535306</v>
      </c>
      <c r="E1034" s="738" t="s">
        <v>2127</v>
      </c>
      <c r="F1034" s="748">
        <f>[2]Hoja1!$B$83</f>
        <v>0.32545032067931901</v>
      </c>
      <c r="G1034" s="738" t="s">
        <v>995</v>
      </c>
      <c r="H1034" s="738" t="s">
        <v>1556</v>
      </c>
      <c r="I1034" s="738"/>
      <c r="J1034" s="738" t="s">
        <v>683</v>
      </c>
      <c r="K1034" s="749" t="s">
        <v>2256</v>
      </c>
    </row>
    <row r="1035" spans="1:11" s="734" customFormat="1" ht="28.8" x14ac:dyDescent="0.3">
      <c r="A1035" s="738" t="s">
        <v>2068</v>
      </c>
      <c r="B1035" s="750">
        <f>'[1]PLAN DE DESARROLLO 2024 - 2027'!$M$92</f>
        <v>0.25050860314981654</v>
      </c>
      <c r="C1035" s="738" t="s">
        <v>2069</v>
      </c>
      <c r="D1035" s="747">
        <f>'[1]PLAN DE DESARROLLO 2024 - 2027'!$M$105</f>
        <v>0.1233525</v>
      </c>
      <c r="E1035" s="738" t="s">
        <v>1793</v>
      </c>
      <c r="F1035" s="748">
        <f>[2]Hoja1!$B$14</f>
        <v>0.17424999999999999</v>
      </c>
      <c r="G1035" s="738" t="s">
        <v>725</v>
      </c>
      <c r="H1035" s="738" t="s">
        <v>1428</v>
      </c>
      <c r="I1035" s="738"/>
      <c r="J1035" s="738" t="s">
        <v>58</v>
      </c>
      <c r="K1035" s="749" t="s">
        <v>2256</v>
      </c>
    </row>
    <row r="1036" spans="1:11" s="734" customFormat="1" ht="28.8" x14ac:dyDescent="0.3">
      <c r="A1036" s="738" t="s">
        <v>2068</v>
      </c>
      <c r="B1036" s="750">
        <f>'[1]PLAN DE DESARROLLO 2024 - 2027'!$M$92</f>
        <v>0.25050860314981654</v>
      </c>
      <c r="C1036" s="738" t="s">
        <v>2069</v>
      </c>
      <c r="D1036" s="747">
        <f>'[1]PLAN DE DESARROLLO 2024 - 2027'!$M$105</f>
        <v>0.1233525</v>
      </c>
      <c r="E1036" s="738" t="s">
        <v>1793</v>
      </c>
      <c r="F1036" s="748">
        <f>[2]Hoja1!$B$14</f>
        <v>0.17424999999999999</v>
      </c>
      <c r="G1036" s="738" t="s">
        <v>726</v>
      </c>
      <c r="H1036" s="738" t="s">
        <v>1429</v>
      </c>
      <c r="I1036" s="738"/>
      <c r="J1036" s="738" t="s">
        <v>58</v>
      </c>
      <c r="K1036" s="749" t="s">
        <v>2256</v>
      </c>
    </row>
    <row r="1037" spans="1:11" s="734" customFormat="1" ht="28.8" x14ac:dyDescent="0.3">
      <c r="A1037" s="738" t="s">
        <v>2068</v>
      </c>
      <c r="B1037" s="750">
        <f>'[1]PLAN DE DESARROLLO 2024 - 2027'!$M$92</f>
        <v>0.25050860314981654</v>
      </c>
      <c r="C1037" s="738" t="s">
        <v>2069</v>
      </c>
      <c r="D1037" s="747">
        <f>'[1]PLAN DE DESARROLLO 2024 - 2027'!$M$105</f>
        <v>0.1233525</v>
      </c>
      <c r="E1037" s="738" t="s">
        <v>1793</v>
      </c>
      <c r="F1037" s="748">
        <f>[2]Hoja1!$B$14</f>
        <v>0.17424999999999999</v>
      </c>
      <c r="G1037" s="738" t="s">
        <v>727</v>
      </c>
      <c r="H1037" s="738" t="s">
        <v>1430</v>
      </c>
      <c r="I1037" s="738"/>
      <c r="J1037" s="738" t="s">
        <v>58</v>
      </c>
      <c r="K1037" s="749" t="s">
        <v>2256</v>
      </c>
    </row>
    <row r="1038" spans="1:11" s="734" customFormat="1" ht="28.8" x14ac:dyDescent="0.3">
      <c r="A1038" s="738" t="s">
        <v>2017</v>
      </c>
      <c r="B1038" s="750">
        <f>'[1]PLAN DE DESARROLLO 2024 - 2027'!$M$123</f>
        <v>0.20174333228533195</v>
      </c>
      <c r="C1038" s="738" t="s">
        <v>2047</v>
      </c>
      <c r="D1038" s="747">
        <f>'[1]PLAN DE DESARROLLO 2024 - 2027'!$M$130</f>
        <v>9.8146749999999991E-2</v>
      </c>
      <c r="E1038" s="738" t="s">
        <v>2053</v>
      </c>
      <c r="F1038" s="748">
        <f>[2]Hoja1!$B$98</f>
        <v>0.25802750000000002</v>
      </c>
      <c r="G1038" s="738" t="s">
        <v>845</v>
      </c>
      <c r="H1038" s="738" t="s">
        <v>1301</v>
      </c>
      <c r="I1038" s="738"/>
      <c r="J1038" s="738" t="s">
        <v>698</v>
      </c>
      <c r="K1038" s="749" t="s">
        <v>2256</v>
      </c>
    </row>
    <row r="1039" spans="1:11" s="734" customFormat="1" x14ac:dyDescent="0.3">
      <c r="A1039" s="738" t="s">
        <v>2017</v>
      </c>
      <c r="B1039" s="750">
        <f>'[1]PLAN DE DESARROLLO 2024 - 2027'!$M$123</f>
        <v>0.20174333228533195</v>
      </c>
      <c r="C1039" s="738" t="s">
        <v>2047</v>
      </c>
      <c r="D1039" s="747">
        <f>'[1]PLAN DE DESARROLLO 2024 - 2027'!$M$130</f>
        <v>9.8146749999999991E-2</v>
      </c>
      <c r="E1039" s="738" t="s">
        <v>2053</v>
      </c>
      <c r="F1039" s="748">
        <f>[2]Hoja1!$B$98</f>
        <v>0.25802750000000002</v>
      </c>
      <c r="G1039" s="738" t="s">
        <v>846</v>
      </c>
      <c r="H1039" s="738" t="s">
        <v>1302</v>
      </c>
      <c r="I1039" s="738"/>
      <c r="J1039" s="738" t="s">
        <v>698</v>
      </c>
      <c r="K1039" s="749" t="s">
        <v>2256</v>
      </c>
    </row>
    <row r="1040" spans="1:11" s="734" customFormat="1" ht="28.8" x14ac:dyDescent="0.3">
      <c r="A1040" s="738" t="s">
        <v>2017</v>
      </c>
      <c r="B1040" s="750">
        <f>'[1]PLAN DE DESARROLLO 2024 - 2027'!$M$123</f>
        <v>0.20174333228533195</v>
      </c>
      <c r="C1040" s="738" t="s">
        <v>2025</v>
      </c>
      <c r="D1040" s="752">
        <f>'[1]PLAN DE DESARROLLO 2024 - 2027'!$M$153</f>
        <v>0.24618175</v>
      </c>
      <c r="E1040" s="738" t="s">
        <v>2026</v>
      </c>
      <c r="F1040" s="748">
        <f>[2]Hoja1!$B$82</f>
        <v>0</v>
      </c>
      <c r="G1040" s="738" t="s">
        <v>944</v>
      </c>
      <c r="H1040" s="738" t="s">
        <v>1381</v>
      </c>
      <c r="I1040" s="738"/>
      <c r="J1040" s="738" t="s">
        <v>560</v>
      </c>
      <c r="K1040" s="749" t="s">
        <v>2256</v>
      </c>
    </row>
    <row r="1041" spans="1:11" s="734" customFormat="1" ht="28.8" x14ac:dyDescent="0.3">
      <c r="A1041" s="738" t="s">
        <v>2017</v>
      </c>
      <c r="B1041" s="750">
        <f>'[1]PLAN DE DESARROLLO 2024 - 2027'!$M$123</f>
        <v>0.20174333228533195</v>
      </c>
      <c r="C1041" s="738" t="s">
        <v>2025</v>
      </c>
      <c r="D1041" s="752">
        <f>'[1]PLAN DE DESARROLLO 2024 - 2027'!$M$153</f>
        <v>0.24618175</v>
      </c>
      <c r="E1041" s="738" t="s">
        <v>2026</v>
      </c>
      <c r="F1041" s="748">
        <f>[2]Hoja1!$B$82</f>
        <v>0</v>
      </c>
      <c r="G1041" s="738" t="s">
        <v>945</v>
      </c>
      <c r="H1041" s="738" t="s">
        <v>1382</v>
      </c>
      <c r="I1041" s="738"/>
      <c r="J1041" s="738" t="s">
        <v>560</v>
      </c>
      <c r="K1041" s="749" t="s">
        <v>2256</v>
      </c>
    </row>
    <row r="1042" spans="1:11" s="734" customFormat="1" x14ac:dyDescent="0.3">
      <c r="A1042" s="738" t="s">
        <v>2017</v>
      </c>
      <c r="B1042" s="750">
        <f>'[1]PLAN DE DESARROLLO 2024 - 2027'!$M$123</f>
        <v>0.20174333228533195</v>
      </c>
      <c r="C1042" s="738" t="s">
        <v>2025</v>
      </c>
      <c r="D1042" s="752">
        <f>'[1]PLAN DE DESARROLLO 2024 - 2027'!$M$153</f>
        <v>0.24618175</v>
      </c>
      <c r="E1042" s="738" t="s">
        <v>2026</v>
      </c>
      <c r="F1042" s="748">
        <f>[2]Hoja1!$B$82</f>
        <v>0</v>
      </c>
      <c r="G1042" s="738" t="s">
        <v>946</v>
      </c>
      <c r="H1042" s="738" t="s">
        <v>1383</v>
      </c>
      <c r="I1042" s="738"/>
      <c r="J1042" s="738" t="s">
        <v>560</v>
      </c>
      <c r="K1042" s="749" t="s">
        <v>2256</v>
      </c>
    </row>
    <row r="1043" spans="1:11" s="734" customFormat="1" ht="43.2" x14ac:dyDescent="0.3">
      <c r="A1043" s="738" t="s">
        <v>2017</v>
      </c>
      <c r="B1043" s="750">
        <f>'[1]PLAN DE DESARROLLO 2024 - 2027'!$M$123</f>
        <v>0.20174333228533195</v>
      </c>
      <c r="C1043" s="738" t="s">
        <v>2025</v>
      </c>
      <c r="D1043" s="752">
        <f>'[1]PLAN DE DESARROLLO 2024 - 2027'!$M$153</f>
        <v>0.24618175</v>
      </c>
      <c r="E1043" s="738" t="s">
        <v>2026</v>
      </c>
      <c r="F1043" s="748">
        <f>[2]Hoja1!$B$82</f>
        <v>0</v>
      </c>
      <c r="G1043" s="738" t="s">
        <v>947</v>
      </c>
      <c r="H1043" s="738" t="s">
        <v>1384</v>
      </c>
      <c r="I1043" s="738"/>
      <c r="J1043" s="738" t="s">
        <v>560</v>
      </c>
      <c r="K1043" s="749" t="s">
        <v>2256</v>
      </c>
    </row>
    <row r="1044" spans="1:11" s="734" customFormat="1" x14ac:dyDescent="0.3">
      <c r="A1044" s="738" t="s">
        <v>2068</v>
      </c>
      <c r="B1044" s="750">
        <f>'[1]PLAN DE DESARROLLO 2024 - 2027'!$M$92</f>
        <v>0.25050860314981654</v>
      </c>
      <c r="C1044" s="738" t="s">
        <v>2069</v>
      </c>
      <c r="D1044" s="747">
        <f>'[1]PLAN DE DESARROLLO 2024 - 2027'!$M$105</f>
        <v>0.1233525</v>
      </c>
      <c r="E1044" s="738" t="s">
        <v>2094</v>
      </c>
      <c r="F1044" s="748">
        <f>[2]Hoja1!$B$29</f>
        <v>0.146425</v>
      </c>
      <c r="G1044" s="738" t="s">
        <v>728</v>
      </c>
      <c r="H1044" s="738" t="s">
        <v>1431</v>
      </c>
      <c r="I1044" s="738"/>
      <c r="J1044" s="738" t="s">
        <v>58</v>
      </c>
      <c r="K1044" s="749" t="s">
        <v>2256</v>
      </c>
    </row>
    <row r="1045" spans="1:11" s="734" customFormat="1" x14ac:dyDescent="0.3">
      <c r="A1045" s="738" t="s">
        <v>2068</v>
      </c>
      <c r="B1045" s="750">
        <f>'[1]PLAN DE DESARROLLO 2024 - 2027'!$M$92</f>
        <v>0.25050860314981654</v>
      </c>
      <c r="C1045" s="738" t="s">
        <v>2069</v>
      </c>
      <c r="D1045" s="747">
        <f>'[1]PLAN DE DESARROLLO 2024 - 2027'!$M$105</f>
        <v>0.1233525</v>
      </c>
      <c r="E1045" s="738" t="s">
        <v>2094</v>
      </c>
      <c r="F1045" s="748">
        <f>[2]Hoja1!$B$29</f>
        <v>0.146425</v>
      </c>
      <c r="G1045" s="738" t="s">
        <v>729</v>
      </c>
      <c r="H1045" s="738" t="s">
        <v>1432</v>
      </c>
      <c r="I1045" s="738"/>
      <c r="J1045" s="738" t="s">
        <v>58</v>
      </c>
      <c r="K1045" s="749" t="s">
        <v>2256</v>
      </c>
    </row>
    <row r="1046" spans="1:11" s="734" customFormat="1" ht="28.8" x14ac:dyDescent="0.3">
      <c r="A1046" s="738" t="s">
        <v>2068</v>
      </c>
      <c r="B1046" s="750">
        <f>'[1]PLAN DE DESARROLLO 2024 - 2027'!$M$92</f>
        <v>0.25050860314981654</v>
      </c>
      <c r="C1046" s="738" t="s">
        <v>2069</v>
      </c>
      <c r="D1046" s="747">
        <f>'[1]PLAN DE DESARROLLO 2024 - 2027'!$M$105</f>
        <v>0.1233525</v>
      </c>
      <c r="E1046" s="738" t="s">
        <v>2094</v>
      </c>
      <c r="F1046" s="748">
        <f>[2]Hoja1!$B$29</f>
        <v>0.146425</v>
      </c>
      <c r="G1046" s="738" t="s">
        <v>730</v>
      </c>
      <c r="H1046" s="738" t="s">
        <v>1433</v>
      </c>
      <c r="I1046" s="738"/>
      <c r="J1046" s="738" t="s">
        <v>58</v>
      </c>
      <c r="K1046" s="749" t="s">
        <v>2256</v>
      </c>
    </row>
    <row r="1047" spans="1:11" s="734" customFormat="1" ht="43.2" x14ac:dyDescent="0.3">
      <c r="A1047" s="738" t="s">
        <v>1993</v>
      </c>
      <c r="B1047" s="750">
        <f>'[1]PLAN DE DESARROLLO 2024 - 2027'!$M$198</f>
        <v>3.4556250000000004E-2</v>
      </c>
      <c r="C1047" s="738" t="s">
        <v>1994</v>
      </c>
      <c r="D1047" s="752">
        <f>'[1]PLAN DE DESARROLLO 2024 - 2027'!$M$199</f>
        <v>3.5866666666666672E-2</v>
      </c>
      <c r="E1047" s="738" t="s">
        <v>1998</v>
      </c>
      <c r="F1047" s="753">
        <f>[2]Hoja1!$B$88</f>
        <v>6.9666666666666668E-2</v>
      </c>
      <c r="G1047" s="738" t="s">
        <v>1066</v>
      </c>
      <c r="H1047" s="738" t="s">
        <v>1067</v>
      </c>
      <c r="I1047" s="738"/>
      <c r="J1047" s="738" t="s">
        <v>1999</v>
      </c>
      <c r="K1047" s="749" t="s">
        <v>2256</v>
      </c>
    </row>
    <row r="1048" spans="1:11" s="734" customFormat="1" ht="43.2" x14ac:dyDescent="0.3">
      <c r="A1048" s="738" t="s">
        <v>1993</v>
      </c>
      <c r="B1048" s="750">
        <f>'[1]PLAN DE DESARROLLO 2024 - 2027'!$M$198</f>
        <v>3.4556250000000004E-2</v>
      </c>
      <c r="C1048" s="738" t="s">
        <v>1994</v>
      </c>
      <c r="D1048" s="752">
        <f>'[1]PLAN DE DESARROLLO 2024 - 2027'!$M$199</f>
        <v>3.5866666666666672E-2</v>
      </c>
      <c r="E1048" s="738" t="s">
        <v>1998</v>
      </c>
      <c r="F1048" s="753">
        <f>[2]Hoja1!$B$88</f>
        <v>6.9666666666666668E-2</v>
      </c>
      <c r="G1048" s="738" t="s">
        <v>1069</v>
      </c>
      <c r="H1048" s="738" t="s">
        <v>1070</v>
      </c>
      <c r="I1048" s="738"/>
      <c r="J1048" s="738" t="s">
        <v>2000</v>
      </c>
      <c r="K1048" s="749" t="s">
        <v>2256</v>
      </c>
    </row>
    <row r="1049" spans="1:11" s="734" customFormat="1" ht="43.2" x14ac:dyDescent="0.3">
      <c r="A1049" s="738" t="s">
        <v>1993</v>
      </c>
      <c r="B1049" s="750">
        <f>'[1]PLAN DE DESARROLLO 2024 - 2027'!$M$198</f>
        <v>3.4556250000000004E-2</v>
      </c>
      <c r="C1049" s="738" t="s">
        <v>1994</v>
      </c>
      <c r="D1049" s="752">
        <f>'[1]PLAN DE DESARROLLO 2024 - 2027'!$M$199</f>
        <v>3.5866666666666672E-2</v>
      </c>
      <c r="E1049" s="738" t="s">
        <v>1998</v>
      </c>
      <c r="F1049" s="753">
        <f>[2]Hoja1!$B$88</f>
        <v>6.9666666666666668E-2</v>
      </c>
      <c r="G1049" s="738" t="s">
        <v>1072</v>
      </c>
      <c r="H1049" s="738" t="s">
        <v>1073</v>
      </c>
      <c r="I1049" s="738"/>
      <c r="J1049" s="738" t="s">
        <v>1999</v>
      </c>
      <c r="K1049" s="749" t="s">
        <v>2256</v>
      </c>
    </row>
    <row r="1050" spans="1:11" s="734" customFormat="1" ht="43.2" x14ac:dyDescent="0.3">
      <c r="A1050" s="738" t="s">
        <v>1993</v>
      </c>
      <c r="B1050" s="750">
        <f>'[1]PLAN DE DESARROLLO 2024 - 2027'!$M$198</f>
        <v>3.4556250000000004E-2</v>
      </c>
      <c r="C1050" s="738" t="s">
        <v>1994</v>
      </c>
      <c r="D1050" s="752">
        <f>'[1]PLAN DE DESARROLLO 2024 - 2027'!$M$199</f>
        <v>3.5866666666666672E-2</v>
      </c>
      <c r="E1050" s="738" t="s">
        <v>1998</v>
      </c>
      <c r="F1050" s="753">
        <f>[2]Hoja1!$B$88</f>
        <v>6.9666666666666668E-2</v>
      </c>
      <c r="G1050" s="738" t="s">
        <v>2001</v>
      </c>
      <c r="H1050" s="738" t="s">
        <v>2002</v>
      </c>
      <c r="I1050" s="738"/>
      <c r="J1050" s="738" t="s">
        <v>1999</v>
      </c>
      <c r="K1050" s="749" t="s">
        <v>2256</v>
      </c>
    </row>
    <row r="1051" spans="1:11" s="734" customFormat="1" ht="43.2" x14ac:dyDescent="0.3">
      <c r="A1051" s="738" t="s">
        <v>1993</v>
      </c>
      <c r="B1051" s="750">
        <f>'[1]PLAN DE DESARROLLO 2024 - 2027'!$M$198</f>
        <v>3.4556250000000004E-2</v>
      </c>
      <c r="C1051" s="738" t="s">
        <v>1994</v>
      </c>
      <c r="D1051" s="752">
        <f>'[1]PLAN DE DESARROLLO 2024 - 2027'!$M$199</f>
        <v>3.5866666666666672E-2</v>
      </c>
      <c r="E1051" s="738" t="s">
        <v>1998</v>
      </c>
      <c r="F1051" s="753">
        <f>[2]Hoja1!$B$88</f>
        <v>6.9666666666666668E-2</v>
      </c>
      <c r="G1051" s="738" t="s">
        <v>1076</v>
      </c>
      <c r="H1051" s="738" t="s">
        <v>1077</v>
      </c>
      <c r="I1051" s="738"/>
      <c r="J1051" s="738" t="s">
        <v>1999</v>
      </c>
      <c r="K1051" s="749" t="s">
        <v>2256</v>
      </c>
    </row>
    <row r="1052" spans="1:11" s="734" customFormat="1" ht="43.2" x14ac:dyDescent="0.3">
      <c r="A1052" s="738" t="s">
        <v>1993</v>
      </c>
      <c r="B1052" s="750">
        <f>'[1]PLAN DE DESARROLLO 2024 - 2027'!$M$198</f>
        <v>3.4556250000000004E-2</v>
      </c>
      <c r="C1052" s="738" t="s">
        <v>1994</v>
      </c>
      <c r="D1052" s="752">
        <f>'[1]PLAN DE DESARROLLO 2024 - 2027'!$M$199</f>
        <v>3.5866666666666672E-2</v>
      </c>
      <c r="E1052" s="738" t="s">
        <v>1998</v>
      </c>
      <c r="F1052" s="753">
        <f>[2]Hoja1!$B$88</f>
        <v>6.9666666666666668E-2</v>
      </c>
      <c r="G1052" s="738" t="s">
        <v>1078</v>
      </c>
      <c r="H1052" s="738" t="s">
        <v>1079</v>
      </c>
      <c r="I1052" s="738"/>
      <c r="J1052" s="738" t="s">
        <v>1999</v>
      </c>
      <c r="K1052" s="749" t="s">
        <v>2256</v>
      </c>
    </row>
    <row r="1053" spans="1:11" s="734" customFormat="1" ht="43.2" x14ac:dyDescent="0.3">
      <c r="A1053" s="738" t="s">
        <v>1993</v>
      </c>
      <c r="B1053" s="750">
        <f>'[1]PLAN DE DESARROLLO 2024 - 2027'!$M$198</f>
        <v>3.4556250000000004E-2</v>
      </c>
      <c r="C1053" s="738" t="s">
        <v>1994</v>
      </c>
      <c r="D1053" s="752">
        <f>'[1]PLAN DE DESARROLLO 2024 - 2027'!$M$199</f>
        <v>3.5866666666666672E-2</v>
      </c>
      <c r="E1053" s="738" t="s">
        <v>1998</v>
      </c>
      <c r="F1053" s="753">
        <f>[2]Hoja1!$B$88</f>
        <v>6.9666666666666668E-2</v>
      </c>
      <c r="G1053" s="738" t="s">
        <v>1080</v>
      </c>
      <c r="H1053" s="738" t="s">
        <v>1081</v>
      </c>
      <c r="I1053" s="738"/>
      <c r="J1053" s="738" t="s">
        <v>1999</v>
      </c>
      <c r="K1053" s="749" t="s">
        <v>2256</v>
      </c>
    </row>
    <row r="1054" spans="1:11" s="734" customFormat="1" ht="43.2" x14ac:dyDescent="0.3">
      <c r="A1054" s="738" t="s">
        <v>1993</v>
      </c>
      <c r="B1054" s="750">
        <f>'[1]PLAN DE DESARROLLO 2024 - 2027'!$M$198</f>
        <v>3.4556250000000004E-2</v>
      </c>
      <c r="C1054" s="738" t="s">
        <v>1994</v>
      </c>
      <c r="D1054" s="752">
        <f>'[1]PLAN DE DESARROLLO 2024 - 2027'!$M$199</f>
        <v>3.5866666666666672E-2</v>
      </c>
      <c r="E1054" s="738" t="s">
        <v>1998</v>
      </c>
      <c r="F1054" s="753">
        <f>[2]Hoja1!$B$88</f>
        <v>6.9666666666666668E-2</v>
      </c>
      <c r="G1054" s="738" t="s">
        <v>1082</v>
      </c>
      <c r="H1054" s="738" t="s">
        <v>1083</v>
      </c>
      <c r="I1054" s="738"/>
      <c r="J1054" s="738" t="s">
        <v>1999</v>
      </c>
      <c r="K1054" s="749" t="s">
        <v>2256</v>
      </c>
    </row>
    <row r="1055" spans="1:11" s="734" customFormat="1" ht="43.2" x14ac:dyDescent="0.3">
      <c r="A1055" s="738" t="s">
        <v>2143</v>
      </c>
      <c r="B1055" s="746">
        <f>'[1]PLAN DE DESARROLLO 2024 - 2027'!$M$4</f>
        <v>0.24028917333263158</v>
      </c>
      <c r="C1055" s="738" t="s">
        <v>2149</v>
      </c>
      <c r="D1055" s="747">
        <f>'[1]PLAN DE DESARROLLO 2024 - 2027'!$M$20</f>
        <v>0.2170625911038922</v>
      </c>
      <c r="E1055" s="738" t="s">
        <v>1629</v>
      </c>
      <c r="F1055" s="748">
        <f>[2]Hoja1!$B$139</f>
        <v>0.25787869115937234</v>
      </c>
      <c r="G1055" s="738" t="s">
        <v>186</v>
      </c>
      <c r="H1055" s="738" t="s">
        <v>187</v>
      </c>
      <c r="I1055" s="738"/>
      <c r="J1055" s="738" t="s">
        <v>162</v>
      </c>
      <c r="K1055" s="749" t="s">
        <v>2256</v>
      </c>
    </row>
    <row r="1056" spans="1:11" s="734" customFormat="1" ht="28.8" x14ac:dyDescent="0.3">
      <c r="A1056" s="738" t="s">
        <v>2110</v>
      </c>
      <c r="B1056" s="750">
        <f>'[1]PLAN DE DESARROLLO 2024 - 2027'!$M$161</f>
        <v>0.24647581985093744</v>
      </c>
      <c r="C1056" s="738" t="s">
        <v>2116</v>
      </c>
      <c r="D1056" s="747">
        <f>'[1]PLAN DE DESARROLLO 2024 - 2027'!$M$175</f>
        <v>0.32167780464535306</v>
      </c>
      <c r="E1056" s="738" t="s">
        <v>2117</v>
      </c>
      <c r="F1056" s="748">
        <f>[2]Hoja1!$B$90</f>
        <v>0.25</v>
      </c>
      <c r="G1056" s="738" t="s">
        <v>996</v>
      </c>
      <c r="H1056" s="738" t="s">
        <v>1197</v>
      </c>
      <c r="I1056" s="738"/>
      <c r="J1056" s="738" t="s">
        <v>683</v>
      </c>
      <c r="K1056" s="749" t="s">
        <v>2256</v>
      </c>
    </row>
    <row r="1057" spans="1:11" s="734" customFormat="1" ht="43.2" x14ac:dyDescent="0.3">
      <c r="A1057" s="738" t="s">
        <v>2143</v>
      </c>
      <c r="B1057" s="746">
        <f>'[1]PLAN DE DESARROLLO 2024 - 2027'!$M$4</f>
        <v>0.24028917333263158</v>
      </c>
      <c r="C1057" s="738" t="s">
        <v>2149</v>
      </c>
      <c r="D1057" s="747">
        <f>'[1]PLAN DE DESARROLLO 2024 - 2027'!$M$20</f>
        <v>0.2170625911038922</v>
      </c>
      <c r="E1057" s="738" t="s">
        <v>1629</v>
      </c>
      <c r="F1057" s="748">
        <f>[2]Hoja1!$B$139</f>
        <v>0.25787869115937234</v>
      </c>
      <c r="G1057" s="738" t="s">
        <v>188</v>
      </c>
      <c r="H1057" s="738" t="s">
        <v>189</v>
      </c>
      <c r="I1057" s="738"/>
      <c r="J1057" s="738" t="s">
        <v>162</v>
      </c>
      <c r="K1057" s="749" t="s">
        <v>2256</v>
      </c>
    </row>
    <row r="1058" spans="1:11" s="734" customFormat="1" x14ac:dyDescent="0.3">
      <c r="A1058" s="738" t="s">
        <v>2143</v>
      </c>
      <c r="B1058" s="746">
        <f>'[1]PLAN DE DESARROLLO 2024 - 2027'!$M$4</f>
        <v>0.24028917333263158</v>
      </c>
      <c r="C1058" s="738" t="s">
        <v>2149</v>
      </c>
      <c r="D1058" s="747">
        <f>'[1]PLAN DE DESARROLLO 2024 - 2027'!$M$20</f>
        <v>0.2170625911038922</v>
      </c>
      <c r="E1058" s="738" t="s">
        <v>1629</v>
      </c>
      <c r="F1058" s="748">
        <f>[2]Hoja1!$B$139</f>
        <v>0.25787869115937234</v>
      </c>
      <c r="G1058" s="738" t="s">
        <v>2156</v>
      </c>
      <c r="H1058" s="738" t="s">
        <v>191</v>
      </c>
      <c r="I1058" s="738"/>
      <c r="J1058" s="738" t="s">
        <v>162</v>
      </c>
      <c r="K1058" s="749" t="s">
        <v>2256</v>
      </c>
    </row>
    <row r="1059" spans="1:11" s="734" customFormat="1" ht="28.8" x14ac:dyDescent="0.3">
      <c r="A1059" s="738" t="s">
        <v>2068</v>
      </c>
      <c r="B1059" s="750">
        <f>'[1]PLAN DE DESARROLLO 2024 - 2027'!$M$92</f>
        <v>0.25050860314981654</v>
      </c>
      <c r="C1059" s="738" t="s">
        <v>2069</v>
      </c>
      <c r="D1059" s="747">
        <f>'[1]PLAN DE DESARROLLO 2024 - 2027'!$M$105</f>
        <v>0.1233525</v>
      </c>
      <c r="E1059" s="738" t="s">
        <v>2094</v>
      </c>
      <c r="F1059" s="748">
        <f>[2]Hoja1!$B$29</f>
        <v>0.146425</v>
      </c>
      <c r="G1059" s="738" t="s">
        <v>731</v>
      </c>
      <c r="H1059" s="738" t="s">
        <v>1434</v>
      </c>
      <c r="I1059" s="738"/>
      <c r="J1059" s="738" t="s">
        <v>58</v>
      </c>
      <c r="K1059" s="749" t="s">
        <v>2256</v>
      </c>
    </row>
    <row r="1060" spans="1:11" s="734" customFormat="1" ht="28.8" x14ac:dyDescent="0.3">
      <c r="A1060" s="738" t="s">
        <v>2068</v>
      </c>
      <c r="B1060" s="750">
        <f>'[1]PLAN DE DESARROLLO 2024 - 2027'!$M$92</f>
        <v>0.25050860314981654</v>
      </c>
      <c r="C1060" s="738" t="s">
        <v>2069</v>
      </c>
      <c r="D1060" s="747">
        <f>'[1]PLAN DE DESARROLLO 2024 - 2027'!$M$105</f>
        <v>0.1233525</v>
      </c>
      <c r="E1060" s="738" t="s">
        <v>1794</v>
      </c>
      <c r="F1060" s="748">
        <f>[2]Hoja1!$B$65</f>
        <v>0</v>
      </c>
      <c r="G1060" s="738" t="s">
        <v>732</v>
      </c>
      <c r="H1060" s="738" t="s">
        <v>1435</v>
      </c>
      <c r="I1060" s="738"/>
      <c r="J1060" s="738" t="s">
        <v>733</v>
      </c>
      <c r="K1060" s="749" t="s">
        <v>2256</v>
      </c>
    </row>
    <row r="1061" spans="1:11" s="734" customFormat="1" x14ac:dyDescent="0.3">
      <c r="A1061" s="738" t="s">
        <v>2068</v>
      </c>
      <c r="B1061" s="750">
        <f>'[1]PLAN DE DESARROLLO 2024 - 2027'!$M$92</f>
        <v>0.25050860314981654</v>
      </c>
      <c r="C1061" s="738" t="s">
        <v>2069</v>
      </c>
      <c r="D1061" s="747">
        <f>'[1]PLAN DE DESARROLLO 2024 - 2027'!$M$105</f>
        <v>0.1233525</v>
      </c>
      <c r="E1061" s="738" t="s">
        <v>1794</v>
      </c>
      <c r="F1061" s="748">
        <f>[2]Hoja1!$B$65</f>
        <v>0</v>
      </c>
      <c r="G1061" s="738" t="s">
        <v>734</v>
      </c>
      <c r="H1061" s="738" t="s">
        <v>1436</v>
      </c>
      <c r="I1061" s="738"/>
      <c r="J1061" s="738" t="s">
        <v>733</v>
      </c>
      <c r="K1061" s="749" t="s">
        <v>2256</v>
      </c>
    </row>
    <row r="1062" spans="1:11" s="734" customFormat="1" ht="86.4" x14ac:dyDescent="0.3">
      <c r="A1062" s="738" t="s">
        <v>2068</v>
      </c>
      <c r="B1062" s="750">
        <f>'[1]PLAN DE DESARROLLO 2024 - 2027'!$M$92</f>
        <v>0.25050860314981654</v>
      </c>
      <c r="C1062" s="738" t="s">
        <v>2105</v>
      </c>
      <c r="D1062" s="747">
        <f>'[1]PLAN DE DESARROLLO 2024 - 2027'!$M$120</f>
        <v>0.19011249999999999</v>
      </c>
      <c r="E1062" s="738" t="s">
        <v>2106</v>
      </c>
      <c r="F1062" s="748">
        <f>[2]Hoja1!$B$49</f>
        <v>0.16666666666666666</v>
      </c>
      <c r="G1062" s="738" t="s">
        <v>791</v>
      </c>
      <c r="H1062" s="738" t="s">
        <v>2107</v>
      </c>
      <c r="I1062" s="738"/>
      <c r="J1062" s="738" t="s">
        <v>2108</v>
      </c>
      <c r="K1062" s="749" t="s">
        <v>2256</v>
      </c>
    </row>
    <row r="1063" spans="1:11" s="734" customFormat="1" ht="43.2" x14ac:dyDescent="0.3">
      <c r="A1063" s="738" t="s">
        <v>2068</v>
      </c>
      <c r="B1063" s="750">
        <f>'[1]PLAN DE DESARROLLO 2024 - 2027'!$M$92</f>
        <v>0.25050860314981654</v>
      </c>
      <c r="C1063" s="738" t="s">
        <v>2105</v>
      </c>
      <c r="D1063" s="747">
        <f>'[1]PLAN DE DESARROLLO 2024 - 2027'!$M$120</f>
        <v>0.19011249999999999</v>
      </c>
      <c r="E1063" s="738" t="s">
        <v>2106</v>
      </c>
      <c r="F1063" s="748">
        <f>[2]Hoja1!$B$49</f>
        <v>0.16666666666666666</v>
      </c>
      <c r="G1063" s="738" t="s">
        <v>793</v>
      </c>
      <c r="H1063" s="738" t="s">
        <v>1485</v>
      </c>
      <c r="I1063" s="738"/>
      <c r="J1063" s="738" t="s">
        <v>1540</v>
      </c>
      <c r="K1063" s="749" t="s">
        <v>2256</v>
      </c>
    </row>
    <row r="1064" spans="1:11" s="734" customFormat="1" ht="43.2" x14ac:dyDescent="0.3">
      <c r="A1064" s="738" t="s">
        <v>2068</v>
      </c>
      <c r="B1064" s="750">
        <f>'[1]PLAN DE DESARROLLO 2024 - 2027'!$M$92</f>
        <v>0.25050860314981654</v>
      </c>
      <c r="C1064" s="738" t="s">
        <v>2105</v>
      </c>
      <c r="D1064" s="747">
        <f>'[1]PLAN DE DESARROLLO 2024 - 2027'!$M$120</f>
        <v>0.19011249999999999</v>
      </c>
      <c r="E1064" s="738" t="s">
        <v>2106</v>
      </c>
      <c r="F1064" s="748">
        <f>[2]Hoja1!$B$49</f>
        <v>0.16666666666666666</v>
      </c>
      <c r="G1064" s="738" t="s">
        <v>795</v>
      </c>
      <c r="H1064" s="738" t="s">
        <v>1486</v>
      </c>
      <c r="I1064" s="738"/>
      <c r="J1064" s="738" t="s">
        <v>1540</v>
      </c>
      <c r="K1064" s="749" t="s">
        <v>2256</v>
      </c>
    </row>
    <row r="1065" spans="1:11" s="734" customFormat="1" ht="28.8" x14ac:dyDescent="0.3">
      <c r="A1065" s="738" t="s">
        <v>2068</v>
      </c>
      <c r="B1065" s="750">
        <f>'[1]PLAN DE DESARROLLO 2024 - 2027'!$M$92</f>
        <v>0.25050860314981654</v>
      </c>
      <c r="C1065" s="738" t="s">
        <v>2105</v>
      </c>
      <c r="D1065" s="747">
        <f>'[1]PLAN DE DESARROLLO 2024 - 2027'!$M$120</f>
        <v>0.19011249999999999</v>
      </c>
      <c r="E1065" s="738" t="s">
        <v>2109</v>
      </c>
      <c r="F1065" s="748">
        <f>[2]Hoja1!$B$84</f>
        <v>0.26044999999999996</v>
      </c>
      <c r="G1065" s="738" t="s">
        <v>796</v>
      </c>
      <c r="H1065" s="738" t="s">
        <v>1487</v>
      </c>
      <c r="I1065" s="738"/>
      <c r="J1065" s="738" t="s">
        <v>516</v>
      </c>
      <c r="K1065" s="749" t="s">
        <v>2256</v>
      </c>
    </row>
    <row r="1066" spans="1:11" s="734" customFormat="1" ht="28.8" x14ac:dyDescent="0.3">
      <c r="A1066" s="738" t="s">
        <v>2068</v>
      </c>
      <c r="B1066" s="750">
        <f>'[1]PLAN DE DESARROLLO 2024 - 2027'!$M$92</f>
        <v>0.25050860314981654</v>
      </c>
      <c r="C1066" s="738" t="s">
        <v>2105</v>
      </c>
      <c r="D1066" s="747">
        <f>'[1]PLAN DE DESARROLLO 2024 - 2027'!$M$120</f>
        <v>0.19011249999999999</v>
      </c>
      <c r="E1066" s="738" t="s">
        <v>2109</v>
      </c>
      <c r="F1066" s="748">
        <f>[2]Hoja1!$B$84</f>
        <v>0.26044999999999996</v>
      </c>
      <c r="G1066" s="738" t="s">
        <v>797</v>
      </c>
      <c r="H1066" s="738" t="s">
        <v>1488</v>
      </c>
      <c r="I1066" s="738"/>
      <c r="J1066" s="738" t="s">
        <v>516</v>
      </c>
      <c r="K1066" s="749" t="s">
        <v>2256</v>
      </c>
    </row>
    <row r="1067" spans="1:11" s="734" customFormat="1" ht="43.2" x14ac:dyDescent="0.3">
      <c r="A1067" s="738" t="s">
        <v>2068</v>
      </c>
      <c r="B1067" s="750">
        <f>'[1]PLAN DE DESARROLLO 2024 - 2027'!$M$92</f>
        <v>0.25050860314981654</v>
      </c>
      <c r="C1067" s="738" t="s">
        <v>2105</v>
      </c>
      <c r="D1067" s="747">
        <f>'[1]PLAN DE DESARROLLO 2024 - 2027'!$M$120</f>
        <v>0.19011249999999999</v>
      </c>
      <c r="E1067" s="738" t="s">
        <v>2109</v>
      </c>
      <c r="F1067" s="748">
        <f>[2]Hoja1!$B$84</f>
        <v>0.26044999999999996</v>
      </c>
      <c r="G1067" s="738" t="s">
        <v>798</v>
      </c>
      <c r="H1067" s="738" t="s">
        <v>1489</v>
      </c>
      <c r="I1067" s="738"/>
      <c r="J1067" s="738" t="s">
        <v>516</v>
      </c>
      <c r="K1067" s="749" t="s">
        <v>2256</v>
      </c>
    </row>
    <row r="1068" spans="1:11" s="734" customFormat="1" ht="43.2" x14ac:dyDescent="0.3">
      <c r="A1068" s="738" t="s">
        <v>2143</v>
      </c>
      <c r="B1068" s="746">
        <f>'[1]PLAN DE DESARROLLO 2024 - 2027'!$M$4</f>
        <v>0.24028917333263158</v>
      </c>
      <c r="C1068" s="738" t="s">
        <v>2149</v>
      </c>
      <c r="D1068" s="747">
        <f>'[1]PLAN DE DESARROLLO 2024 - 2027'!$M$20</f>
        <v>0.2170625911038922</v>
      </c>
      <c r="E1068" s="738" t="s">
        <v>1629</v>
      </c>
      <c r="F1068" s="748">
        <f>[2]Hoja1!$B$139</f>
        <v>0.25787869115937234</v>
      </c>
      <c r="G1068" s="738" t="s">
        <v>192</v>
      </c>
      <c r="H1068" s="738" t="s">
        <v>193</v>
      </c>
      <c r="I1068" s="738"/>
      <c r="J1068" s="738" t="s">
        <v>162</v>
      </c>
      <c r="K1068" s="749" t="s">
        <v>2256</v>
      </c>
    </row>
    <row r="1069" spans="1:11" s="734" customFormat="1" ht="57.6" x14ac:dyDescent="0.3">
      <c r="A1069" s="738" t="s">
        <v>2143</v>
      </c>
      <c r="B1069" s="746">
        <f>'[1]PLAN DE DESARROLLO 2024 - 2027'!$M$4</f>
        <v>0.24028917333263158</v>
      </c>
      <c r="C1069" s="738" t="s">
        <v>2149</v>
      </c>
      <c r="D1069" s="747">
        <f>'[1]PLAN DE DESARROLLO 2024 - 2027'!$M$20</f>
        <v>0.2170625911038922</v>
      </c>
      <c r="E1069" s="738" t="s">
        <v>1629</v>
      </c>
      <c r="F1069" s="748">
        <f>[2]Hoja1!$B$139</f>
        <v>0.25787869115937234</v>
      </c>
      <c r="G1069" s="738" t="s">
        <v>194</v>
      </c>
      <c r="H1069" s="738" t="s">
        <v>195</v>
      </c>
      <c r="I1069" s="738"/>
      <c r="J1069" s="738" t="s">
        <v>162</v>
      </c>
      <c r="K1069" s="749" t="s">
        <v>2256</v>
      </c>
    </row>
    <row r="1070" spans="1:11" s="734" customFormat="1" ht="43.2" x14ac:dyDescent="0.3">
      <c r="A1070" s="738" t="s">
        <v>2143</v>
      </c>
      <c r="B1070" s="746">
        <f>'[1]PLAN DE DESARROLLO 2024 - 2027'!$M$4</f>
        <v>0.24028917333263158</v>
      </c>
      <c r="C1070" s="738" t="s">
        <v>2149</v>
      </c>
      <c r="D1070" s="747">
        <f>'[1]PLAN DE DESARROLLO 2024 - 2027'!$M$20</f>
        <v>0.2170625911038922</v>
      </c>
      <c r="E1070" s="738" t="s">
        <v>1629</v>
      </c>
      <c r="F1070" s="748">
        <f>[2]Hoja1!$B$139</f>
        <v>0.25787869115937234</v>
      </c>
      <c r="G1070" s="738" t="s">
        <v>196</v>
      </c>
      <c r="H1070" s="738" t="s">
        <v>197</v>
      </c>
      <c r="I1070" s="738"/>
      <c r="J1070" s="738" t="s">
        <v>162</v>
      </c>
      <c r="K1070" s="749" t="s">
        <v>2256</v>
      </c>
    </row>
    <row r="1071" spans="1:11" s="734" customFormat="1" ht="57.6" x14ac:dyDescent="0.3">
      <c r="A1071" s="738" t="s">
        <v>2143</v>
      </c>
      <c r="B1071" s="746">
        <f>'[1]PLAN DE DESARROLLO 2024 - 2027'!$M$4</f>
        <v>0.24028917333263158</v>
      </c>
      <c r="C1071" s="738" t="s">
        <v>2149</v>
      </c>
      <c r="D1071" s="747">
        <f>'[1]PLAN DE DESARROLLO 2024 - 2027'!$M$20</f>
        <v>0.2170625911038922</v>
      </c>
      <c r="E1071" s="738" t="s">
        <v>1629</v>
      </c>
      <c r="F1071" s="748">
        <f>[2]Hoja1!$B$139</f>
        <v>0.25787869115937234</v>
      </c>
      <c r="G1071" s="738" t="s">
        <v>198</v>
      </c>
      <c r="H1071" s="738" t="s">
        <v>199</v>
      </c>
      <c r="I1071" s="738"/>
      <c r="J1071" s="738" t="s">
        <v>162</v>
      </c>
      <c r="K1071" s="749" t="s">
        <v>2256</v>
      </c>
    </row>
    <row r="1072" spans="1:11" s="734" customFormat="1" ht="28.8" x14ac:dyDescent="0.3">
      <c r="A1072" s="738" t="s">
        <v>2143</v>
      </c>
      <c r="B1072" s="746">
        <f>'[1]PLAN DE DESARROLLO 2024 - 2027'!$M$4</f>
        <v>0.24028917333263158</v>
      </c>
      <c r="C1072" s="738" t="s">
        <v>2149</v>
      </c>
      <c r="D1072" s="747">
        <f>'[1]PLAN DE DESARROLLO 2024 - 2027'!$M$20</f>
        <v>0.2170625911038922</v>
      </c>
      <c r="E1072" s="738" t="s">
        <v>1629</v>
      </c>
      <c r="F1072" s="748">
        <f>[2]Hoja1!$B$139</f>
        <v>0.25787869115937234</v>
      </c>
      <c r="G1072" s="738" t="s">
        <v>200</v>
      </c>
      <c r="H1072" s="738" t="s">
        <v>201</v>
      </c>
      <c r="I1072" s="738"/>
      <c r="J1072" s="738" t="s">
        <v>162</v>
      </c>
      <c r="K1072" s="749" t="s">
        <v>2256</v>
      </c>
    </row>
    <row r="1073" spans="1:11" s="734" customFormat="1" ht="28.8" x14ac:dyDescent="0.3">
      <c r="A1073" s="738" t="s">
        <v>2017</v>
      </c>
      <c r="B1073" s="750">
        <f>'[1]PLAN DE DESARROLLO 2024 - 2027'!$M$123</f>
        <v>0.20174333228533195</v>
      </c>
      <c r="C1073" s="738" t="s">
        <v>2025</v>
      </c>
      <c r="D1073" s="752">
        <f>'[1]PLAN DE DESARROLLO 2024 - 2027'!$M$153</f>
        <v>0.24618175</v>
      </c>
      <c r="E1073" s="738" t="s">
        <v>2026</v>
      </c>
      <c r="F1073" s="748">
        <f>[2]Hoja1!$B$82</f>
        <v>0</v>
      </c>
      <c r="G1073" s="738" t="s">
        <v>948</v>
      </c>
      <c r="H1073" s="738" t="s">
        <v>1385</v>
      </c>
      <c r="I1073" s="738"/>
      <c r="J1073" s="738" t="s">
        <v>2027</v>
      </c>
      <c r="K1073" s="749" t="s">
        <v>2256</v>
      </c>
    </row>
    <row r="1074" spans="1:11" s="734" customFormat="1" ht="43.2" x14ac:dyDescent="0.3">
      <c r="A1074" s="738" t="s">
        <v>2017</v>
      </c>
      <c r="B1074" s="750">
        <f>'[1]PLAN DE DESARROLLO 2024 - 2027'!$M$123</f>
        <v>0.20174333228533195</v>
      </c>
      <c r="C1074" s="738" t="s">
        <v>2025</v>
      </c>
      <c r="D1074" s="752">
        <f>'[1]PLAN DE DESARROLLO 2024 - 2027'!$M$153</f>
        <v>0.24618175</v>
      </c>
      <c r="E1074" s="738" t="s">
        <v>2026</v>
      </c>
      <c r="F1074" s="748">
        <f>[2]Hoja1!$B$82</f>
        <v>0</v>
      </c>
      <c r="G1074" s="738" t="s">
        <v>949</v>
      </c>
      <c r="H1074" s="738" t="s">
        <v>1386</v>
      </c>
      <c r="I1074" s="738"/>
      <c r="J1074" s="738" t="s">
        <v>560</v>
      </c>
      <c r="K1074" s="749" t="s">
        <v>2256</v>
      </c>
    </row>
    <row r="1075" spans="1:11" s="734" customFormat="1" ht="57.6" x14ac:dyDescent="0.3">
      <c r="A1075" s="738" t="s">
        <v>2017</v>
      </c>
      <c r="B1075" s="750">
        <f>'[1]PLAN DE DESARROLLO 2024 - 2027'!$M$123</f>
        <v>0.20174333228533195</v>
      </c>
      <c r="C1075" s="738" t="s">
        <v>2025</v>
      </c>
      <c r="D1075" s="752">
        <f>'[1]PLAN DE DESARROLLO 2024 - 2027'!$M$153</f>
        <v>0.24618175</v>
      </c>
      <c r="E1075" s="738" t="s">
        <v>2026</v>
      </c>
      <c r="F1075" s="748">
        <f>[2]Hoja1!$B$82</f>
        <v>0</v>
      </c>
      <c r="G1075" s="738" t="s">
        <v>950</v>
      </c>
      <c r="H1075" s="738" t="s">
        <v>1387</v>
      </c>
      <c r="I1075" s="738"/>
      <c r="J1075" s="738" t="s">
        <v>560</v>
      </c>
      <c r="K1075" s="749" t="s">
        <v>2256</v>
      </c>
    </row>
    <row r="1076" spans="1:11" s="734" customFormat="1" x14ac:dyDescent="0.3">
      <c r="A1076" s="738" t="s">
        <v>2017</v>
      </c>
      <c r="B1076" s="750">
        <f>'[1]PLAN DE DESARROLLO 2024 - 2027'!$M$123</f>
        <v>0.20174333228533195</v>
      </c>
      <c r="C1076" s="738" t="s">
        <v>2025</v>
      </c>
      <c r="D1076" s="752">
        <f>'[1]PLAN DE DESARROLLO 2024 - 2027'!$M$153</f>
        <v>0.24618175</v>
      </c>
      <c r="E1076" s="738" t="s">
        <v>1816</v>
      </c>
      <c r="F1076" s="748">
        <f>[2]Hoja1!$B$86</f>
        <v>8.3283750000000004E-2</v>
      </c>
      <c r="G1076" s="738" t="s">
        <v>922</v>
      </c>
      <c r="H1076" s="738" t="s">
        <v>1362</v>
      </c>
      <c r="I1076" s="738"/>
      <c r="J1076" s="738" t="s">
        <v>698</v>
      </c>
      <c r="K1076" s="749" t="s">
        <v>2256</v>
      </c>
    </row>
    <row r="1077" spans="1:11" s="734" customFormat="1" ht="28.8" x14ac:dyDescent="0.3">
      <c r="A1077" s="738" t="s">
        <v>2017</v>
      </c>
      <c r="B1077" s="750">
        <f>'[1]PLAN DE DESARROLLO 2024 - 2027'!$M$123</f>
        <v>0.20174333228533195</v>
      </c>
      <c r="C1077" s="738" t="s">
        <v>2025</v>
      </c>
      <c r="D1077" s="752">
        <f>'[1]PLAN DE DESARROLLO 2024 - 2027'!$M$153</f>
        <v>0.24618175</v>
      </c>
      <c r="E1077" s="738" t="s">
        <v>1816</v>
      </c>
      <c r="F1077" s="748">
        <f>[2]Hoja1!$B$86</f>
        <v>8.3283750000000004E-2</v>
      </c>
      <c r="G1077" s="738" t="s">
        <v>923</v>
      </c>
      <c r="H1077" s="738" t="s">
        <v>1363</v>
      </c>
      <c r="I1077" s="738"/>
      <c r="J1077" s="738" t="s">
        <v>2035</v>
      </c>
      <c r="K1077" s="749" t="s">
        <v>2256</v>
      </c>
    </row>
    <row r="1078" spans="1:11" s="734" customFormat="1" ht="28.8" x14ac:dyDescent="0.3">
      <c r="A1078" s="738" t="s">
        <v>2017</v>
      </c>
      <c r="B1078" s="750">
        <f>'[1]PLAN DE DESARROLLO 2024 - 2027'!$M$123</f>
        <v>0.20174333228533195</v>
      </c>
      <c r="C1078" s="738" t="s">
        <v>2025</v>
      </c>
      <c r="D1078" s="752">
        <f>'[1]PLAN DE DESARROLLO 2024 - 2027'!$M$153</f>
        <v>0.24618175</v>
      </c>
      <c r="E1078" s="738" t="s">
        <v>1816</v>
      </c>
      <c r="F1078" s="748">
        <f>[2]Hoja1!$B$86</f>
        <v>8.3283750000000004E-2</v>
      </c>
      <c r="G1078" s="738" t="s">
        <v>925</v>
      </c>
      <c r="H1078" s="738" t="s">
        <v>1364</v>
      </c>
      <c r="I1078" s="738"/>
      <c r="J1078" s="738" t="s">
        <v>2036</v>
      </c>
      <c r="K1078" s="749" t="s">
        <v>2256</v>
      </c>
    </row>
    <row r="1079" spans="1:11" s="734" customFormat="1" ht="28.8" x14ac:dyDescent="0.3">
      <c r="A1079" s="738" t="s">
        <v>2017</v>
      </c>
      <c r="B1079" s="750">
        <f>'[1]PLAN DE DESARROLLO 2024 - 2027'!$M$123</f>
        <v>0.20174333228533195</v>
      </c>
      <c r="C1079" s="738" t="s">
        <v>2025</v>
      </c>
      <c r="D1079" s="752">
        <f>'[1]PLAN DE DESARROLLO 2024 - 2027'!$M$153</f>
        <v>0.24618175</v>
      </c>
      <c r="E1079" s="738" t="s">
        <v>2040</v>
      </c>
      <c r="F1079" s="748">
        <f>[2]Hoja1!$B$120</f>
        <v>0.10250000000000001</v>
      </c>
      <c r="G1079" s="738" t="s">
        <v>935</v>
      </c>
      <c r="H1079" s="738" t="s">
        <v>1373</v>
      </c>
      <c r="I1079" s="738"/>
      <c r="J1079" s="738" t="s">
        <v>698</v>
      </c>
      <c r="K1079" s="749" t="s">
        <v>2256</v>
      </c>
    </row>
    <row r="1080" spans="1:11" s="734" customFormat="1" ht="43.2" x14ac:dyDescent="0.3">
      <c r="A1080" s="738" t="s">
        <v>2017</v>
      </c>
      <c r="B1080" s="750">
        <f>'[1]PLAN DE DESARROLLO 2024 - 2027'!$M$123</f>
        <v>0.20174333228533195</v>
      </c>
      <c r="C1080" s="738" t="s">
        <v>2025</v>
      </c>
      <c r="D1080" s="752">
        <f>'[1]PLAN DE DESARROLLO 2024 - 2027'!$M$153</f>
        <v>0.24618175</v>
      </c>
      <c r="E1080" s="738" t="s">
        <v>2040</v>
      </c>
      <c r="F1080" s="748">
        <f>[2]Hoja1!$B$120</f>
        <v>0.10250000000000001</v>
      </c>
      <c r="G1080" s="738" t="s">
        <v>937</v>
      </c>
      <c r="H1080" s="738" t="s">
        <v>1374</v>
      </c>
      <c r="I1080" s="738"/>
      <c r="J1080" s="738" t="s">
        <v>698</v>
      </c>
      <c r="K1080" s="749" t="s">
        <v>2256</v>
      </c>
    </row>
    <row r="1081" spans="1:11" s="734" customFormat="1" ht="28.8" x14ac:dyDescent="0.3">
      <c r="A1081" s="738" t="s">
        <v>2017</v>
      </c>
      <c r="B1081" s="750">
        <f>'[1]PLAN DE DESARROLLO 2024 - 2027'!$M$123</f>
        <v>0.20174333228533195</v>
      </c>
      <c r="C1081" s="738" t="s">
        <v>2025</v>
      </c>
      <c r="D1081" s="752">
        <f>'[1]PLAN DE DESARROLLO 2024 - 2027'!$M$153</f>
        <v>0.24618175</v>
      </c>
      <c r="E1081" s="738" t="s">
        <v>2040</v>
      </c>
      <c r="F1081" s="748">
        <f>[2]Hoja1!$B$120</f>
        <v>0.10250000000000001</v>
      </c>
      <c r="G1081" s="738" t="s">
        <v>938</v>
      </c>
      <c r="H1081" s="738" t="s">
        <v>1375</v>
      </c>
      <c r="I1081" s="738"/>
      <c r="J1081" s="738" t="s">
        <v>698</v>
      </c>
      <c r="K1081" s="749" t="s">
        <v>2256</v>
      </c>
    </row>
    <row r="1082" spans="1:11" s="734" customFormat="1" ht="28.8" x14ac:dyDescent="0.3">
      <c r="A1082" s="738" t="s">
        <v>2017</v>
      </c>
      <c r="B1082" s="750">
        <f>'[1]PLAN DE DESARROLLO 2024 - 2027'!$M$123</f>
        <v>0.20174333228533195</v>
      </c>
      <c r="C1082" s="738" t="s">
        <v>2025</v>
      </c>
      <c r="D1082" s="752">
        <f>'[1]PLAN DE DESARROLLO 2024 - 2027'!$M$153</f>
        <v>0.24618175</v>
      </c>
      <c r="E1082" s="738" t="s">
        <v>2040</v>
      </c>
      <c r="F1082" s="748">
        <f>[2]Hoja1!$B$120</f>
        <v>0.10250000000000001</v>
      </c>
      <c r="G1082" s="738" t="s">
        <v>939</v>
      </c>
      <c r="H1082" s="738" t="s">
        <v>1376</v>
      </c>
      <c r="I1082" s="738"/>
      <c r="J1082" s="738" t="s">
        <v>560</v>
      </c>
      <c r="K1082" s="749" t="s">
        <v>2256</v>
      </c>
    </row>
    <row r="1083" spans="1:11" s="734" customFormat="1" ht="28.8" x14ac:dyDescent="0.3">
      <c r="A1083" s="738" t="s">
        <v>2017</v>
      </c>
      <c r="B1083" s="750">
        <f>'[1]PLAN DE DESARROLLO 2024 - 2027'!$M$123</f>
        <v>0.20174333228533195</v>
      </c>
      <c r="C1083" s="738" t="s">
        <v>2025</v>
      </c>
      <c r="D1083" s="752">
        <f>'[1]PLAN DE DESARROLLO 2024 - 2027'!$M$153</f>
        <v>0.24618175</v>
      </c>
      <c r="E1083" s="738" t="s">
        <v>2040</v>
      </c>
      <c r="F1083" s="748">
        <f>[2]Hoja1!$B$120</f>
        <v>0.10250000000000001</v>
      </c>
      <c r="G1083" s="738" t="s">
        <v>940</v>
      </c>
      <c r="H1083" s="738" t="s">
        <v>1377</v>
      </c>
      <c r="I1083" s="738"/>
      <c r="J1083" s="738" t="s">
        <v>560</v>
      </c>
      <c r="K1083" s="749" t="s">
        <v>2256</v>
      </c>
    </row>
    <row r="1084" spans="1:11" s="734" customFormat="1" x14ac:dyDescent="0.3">
      <c r="A1084" s="738" t="s">
        <v>2017</v>
      </c>
      <c r="B1084" s="750">
        <f>'[1]PLAN DE DESARROLLO 2024 - 2027'!$M$123</f>
        <v>0.20174333228533195</v>
      </c>
      <c r="C1084" s="738" t="s">
        <v>2025</v>
      </c>
      <c r="D1084" s="752">
        <f>'[1]PLAN DE DESARROLLO 2024 - 2027'!$M$153</f>
        <v>0.24618175</v>
      </c>
      <c r="E1084" s="738" t="s">
        <v>2040</v>
      </c>
      <c r="F1084" s="748">
        <f>[2]Hoja1!$B$120</f>
        <v>0.10250000000000001</v>
      </c>
      <c r="G1084" s="738" t="s">
        <v>941</v>
      </c>
      <c r="H1084" s="738" t="s">
        <v>1378</v>
      </c>
      <c r="I1084" s="738"/>
      <c r="J1084" s="738" t="s">
        <v>560</v>
      </c>
      <c r="K1084" s="749" t="s">
        <v>2256</v>
      </c>
    </row>
    <row r="1085" spans="1:11" s="734" customFormat="1" x14ac:dyDescent="0.3">
      <c r="A1085" s="738" t="s">
        <v>2017</v>
      </c>
      <c r="B1085" s="750">
        <f>'[1]PLAN DE DESARROLLO 2024 - 2027'!$M$123</f>
        <v>0.20174333228533195</v>
      </c>
      <c r="C1085" s="738" t="s">
        <v>2025</v>
      </c>
      <c r="D1085" s="752">
        <f>'[1]PLAN DE DESARROLLO 2024 - 2027'!$M$153</f>
        <v>0.24618175</v>
      </c>
      <c r="E1085" s="738" t="s">
        <v>2040</v>
      </c>
      <c r="F1085" s="748">
        <f>[2]Hoja1!$B$120</f>
        <v>0.10250000000000001</v>
      </c>
      <c r="G1085" s="738" t="s">
        <v>942</v>
      </c>
      <c r="H1085" s="738" t="s">
        <v>1379</v>
      </c>
      <c r="I1085" s="738"/>
      <c r="J1085" s="738" t="s">
        <v>560</v>
      </c>
      <c r="K1085" s="749" t="s">
        <v>2256</v>
      </c>
    </row>
    <row r="1086" spans="1:11" s="734" customFormat="1" ht="28.8" x14ac:dyDescent="0.3">
      <c r="A1086" s="738" t="s">
        <v>2017</v>
      </c>
      <c r="B1086" s="750">
        <f>'[1]PLAN DE DESARROLLO 2024 - 2027'!$M$123</f>
        <v>0.20174333228533195</v>
      </c>
      <c r="C1086" s="738" t="s">
        <v>2025</v>
      </c>
      <c r="D1086" s="752">
        <f>'[1]PLAN DE DESARROLLO 2024 - 2027'!$M$153</f>
        <v>0.24618175</v>
      </c>
      <c r="E1086" s="738" t="s">
        <v>2040</v>
      </c>
      <c r="F1086" s="748">
        <f>[2]Hoja1!$B$120</f>
        <v>0.10250000000000001</v>
      </c>
      <c r="G1086" s="738" t="s">
        <v>943</v>
      </c>
      <c r="H1086" s="738" t="s">
        <v>1380</v>
      </c>
      <c r="I1086" s="738"/>
      <c r="J1086" s="738" t="s">
        <v>560</v>
      </c>
      <c r="K1086" s="749" t="s">
        <v>2256</v>
      </c>
    </row>
    <row r="1087" spans="1:11" s="734" customFormat="1" ht="28.8" x14ac:dyDescent="0.3">
      <c r="A1087" s="738" t="s">
        <v>2017</v>
      </c>
      <c r="B1087" s="750">
        <f>'[1]PLAN DE DESARROLLO 2024 - 2027'!$M$123</f>
        <v>0.20174333228533195</v>
      </c>
      <c r="C1087" s="738" t="s">
        <v>2025</v>
      </c>
      <c r="D1087" s="752">
        <f>'[1]PLAN DE DESARROLLO 2024 - 2027'!$M$153</f>
        <v>0.24618175</v>
      </c>
      <c r="E1087" s="738" t="s">
        <v>1817</v>
      </c>
      <c r="F1087" s="748">
        <f>[2]Hoja1!$B$130</f>
        <v>0.79849999999999999</v>
      </c>
      <c r="G1087" s="738" t="s">
        <v>926</v>
      </c>
      <c r="H1087" s="738" t="s">
        <v>1365</v>
      </c>
      <c r="I1087" s="738"/>
      <c r="J1087" s="738" t="s">
        <v>2037</v>
      </c>
      <c r="K1087" s="749" t="s">
        <v>2256</v>
      </c>
    </row>
    <row r="1088" spans="1:11" s="734" customFormat="1" ht="28.8" x14ac:dyDescent="0.3">
      <c r="A1088" s="738" t="s">
        <v>2017</v>
      </c>
      <c r="B1088" s="750">
        <f>'[1]PLAN DE DESARROLLO 2024 - 2027'!$M$123</f>
        <v>0.20174333228533195</v>
      </c>
      <c r="C1088" s="738" t="s">
        <v>2025</v>
      </c>
      <c r="D1088" s="752">
        <f>'[1]PLAN DE DESARROLLO 2024 - 2027'!$M$153</f>
        <v>0.24618175</v>
      </c>
      <c r="E1088" s="738" t="s">
        <v>1817</v>
      </c>
      <c r="F1088" s="748">
        <f>[2]Hoja1!$B$130</f>
        <v>0.79849999999999999</v>
      </c>
      <c r="G1088" s="738" t="s">
        <v>928</v>
      </c>
      <c r="H1088" s="738" t="s">
        <v>1366</v>
      </c>
      <c r="I1088" s="738"/>
      <c r="J1088" s="738" t="s">
        <v>2037</v>
      </c>
      <c r="K1088" s="749" t="s">
        <v>2256</v>
      </c>
    </row>
    <row r="1089" spans="1:11" s="734" customFormat="1" ht="28.8" x14ac:dyDescent="0.3">
      <c r="A1089" s="738" t="s">
        <v>2017</v>
      </c>
      <c r="B1089" s="750">
        <f>'[1]PLAN DE DESARROLLO 2024 - 2027'!$M$123</f>
        <v>0.20174333228533195</v>
      </c>
      <c r="C1089" s="738" t="s">
        <v>2025</v>
      </c>
      <c r="D1089" s="752">
        <f>'[1]PLAN DE DESARROLLO 2024 - 2027'!$M$153</f>
        <v>0.24618175</v>
      </c>
      <c r="E1089" s="738" t="s">
        <v>1817</v>
      </c>
      <c r="F1089" s="748">
        <f>[2]Hoja1!$B$130</f>
        <v>0.79849999999999999</v>
      </c>
      <c r="G1089" s="738" t="s">
        <v>929</v>
      </c>
      <c r="H1089" s="738" t="s">
        <v>1367</v>
      </c>
      <c r="I1089" s="738"/>
      <c r="J1089" s="738" t="s">
        <v>2037</v>
      </c>
      <c r="K1089" s="749" t="s">
        <v>2256</v>
      </c>
    </row>
    <row r="1090" spans="1:11" s="734" customFormat="1" ht="28.8" x14ac:dyDescent="0.3">
      <c r="A1090" s="738" t="s">
        <v>2110</v>
      </c>
      <c r="B1090" s="750">
        <f>'[1]PLAN DE DESARROLLO 2024 - 2027'!$M$161</f>
        <v>0.24647581985093744</v>
      </c>
      <c r="C1090" s="738" t="s">
        <v>2134</v>
      </c>
      <c r="D1090" s="747">
        <f>'[1]PLAN DE DESARROLLO 2024 - 2027'!$M$191</f>
        <v>0.22981556695992181</v>
      </c>
      <c r="E1090" s="738" t="s">
        <v>2138</v>
      </c>
      <c r="F1090" s="748">
        <f>[2]Hoja1!$B$97</f>
        <v>0.29315510752688173</v>
      </c>
      <c r="G1090" s="738" t="s">
        <v>1049</v>
      </c>
      <c r="H1090" s="738" t="s">
        <v>1247</v>
      </c>
      <c r="I1090" s="738"/>
      <c r="J1090" s="738" t="s">
        <v>560</v>
      </c>
      <c r="K1090" s="749" t="s">
        <v>2256</v>
      </c>
    </row>
    <row r="1091" spans="1:11" s="734" customFormat="1" ht="28.8" x14ac:dyDescent="0.3">
      <c r="A1091" s="738" t="s">
        <v>2110</v>
      </c>
      <c r="B1091" s="750">
        <f>'[1]PLAN DE DESARROLLO 2024 - 2027'!$M$161</f>
        <v>0.24647581985093744</v>
      </c>
      <c r="C1091" s="738" t="s">
        <v>2134</v>
      </c>
      <c r="D1091" s="747">
        <f>'[1]PLAN DE DESARROLLO 2024 - 2027'!$M$191</f>
        <v>0.22981556695992181</v>
      </c>
      <c r="E1091" s="738" t="s">
        <v>2138</v>
      </c>
      <c r="F1091" s="748">
        <f>[2]Hoja1!$B$97</f>
        <v>0.29315510752688173</v>
      </c>
      <c r="G1091" s="738" t="s">
        <v>1050</v>
      </c>
      <c r="H1091" s="738" t="s">
        <v>1248</v>
      </c>
      <c r="I1091" s="738"/>
      <c r="J1091" s="738" t="s">
        <v>560</v>
      </c>
      <c r="K1091" s="749" t="s">
        <v>2256</v>
      </c>
    </row>
    <row r="1092" spans="1:11" s="734" customFormat="1" ht="28.8" x14ac:dyDescent="0.3">
      <c r="A1092" s="738" t="s">
        <v>2110</v>
      </c>
      <c r="B1092" s="750">
        <f>'[1]PLAN DE DESARROLLO 2024 - 2027'!$M$161</f>
        <v>0.24647581985093744</v>
      </c>
      <c r="C1092" s="738" t="s">
        <v>2134</v>
      </c>
      <c r="D1092" s="747">
        <f>'[1]PLAN DE DESARROLLO 2024 - 2027'!$M$191</f>
        <v>0.22981556695992181</v>
      </c>
      <c r="E1092" s="738" t="s">
        <v>2138</v>
      </c>
      <c r="F1092" s="748">
        <f>[2]Hoja1!$B$97</f>
        <v>0.29315510752688173</v>
      </c>
      <c r="G1092" s="738" t="s">
        <v>1051</v>
      </c>
      <c r="H1092" s="738" t="s">
        <v>1249</v>
      </c>
      <c r="I1092" s="738"/>
      <c r="J1092" s="738" t="s">
        <v>560</v>
      </c>
      <c r="K1092" s="749" t="s">
        <v>2256</v>
      </c>
    </row>
    <row r="1093" spans="1:11" s="734" customFormat="1" ht="28.8" x14ac:dyDescent="0.3">
      <c r="A1093" s="738" t="s">
        <v>2110</v>
      </c>
      <c r="B1093" s="750">
        <f>'[1]PLAN DE DESARROLLO 2024 - 2027'!$M$161</f>
        <v>0.24647581985093744</v>
      </c>
      <c r="C1093" s="738" t="s">
        <v>2134</v>
      </c>
      <c r="D1093" s="747">
        <f>'[1]PLAN DE DESARROLLO 2024 - 2027'!$M$191</f>
        <v>0.22981556695992181</v>
      </c>
      <c r="E1093" s="738" t="s">
        <v>2138</v>
      </c>
      <c r="F1093" s="748">
        <f>[2]Hoja1!$B$97</f>
        <v>0.29315510752688173</v>
      </c>
      <c r="G1093" s="738" t="s">
        <v>1052</v>
      </c>
      <c r="H1093" s="738" t="s">
        <v>1250</v>
      </c>
      <c r="I1093" s="738"/>
      <c r="J1093" s="738" t="s">
        <v>560</v>
      </c>
      <c r="K1093" s="749" t="s">
        <v>2256</v>
      </c>
    </row>
    <row r="1094" spans="1:11" s="734" customFormat="1" ht="28.8" x14ac:dyDescent="0.3">
      <c r="A1094" s="738" t="s">
        <v>2110</v>
      </c>
      <c r="B1094" s="750">
        <f>'[1]PLAN DE DESARROLLO 2024 - 2027'!$M$161</f>
        <v>0.24647581985093744</v>
      </c>
      <c r="C1094" s="738" t="s">
        <v>2134</v>
      </c>
      <c r="D1094" s="747">
        <f>'[1]PLAN DE DESARROLLO 2024 - 2027'!$M$191</f>
        <v>0.22981556695992181</v>
      </c>
      <c r="E1094" s="738" t="s">
        <v>2138</v>
      </c>
      <c r="F1094" s="748">
        <f>[2]Hoja1!$B$97</f>
        <v>0.29315510752688173</v>
      </c>
      <c r="G1094" s="738" t="s">
        <v>1053</v>
      </c>
      <c r="H1094" s="738" t="s">
        <v>1251</v>
      </c>
      <c r="I1094" s="738"/>
      <c r="J1094" s="738" t="s">
        <v>560</v>
      </c>
      <c r="K1094" s="749" t="s">
        <v>2256</v>
      </c>
    </row>
    <row r="1095" spans="1:11" s="734" customFormat="1" ht="28.8" x14ac:dyDescent="0.3">
      <c r="A1095" s="738" t="s">
        <v>2110</v>
      </c>
      <c r="B1095" s="750">
        <f>'[1]PLAN DE DESARROLLO 2024 - 2027'!$M$161</f>
        <v>0.24647581985093744</v>
      </c>
      <c r="C1095" s="738" t="s">
        <v>2134</v>
      </c>
      <c r="D1095" s="747">
        <f>'[1]PLAN DE DESARROLLO 2024 - 2027'!$M$191</f>
        <v>0.22981556695992181</v>
      </c>
      <c r="E1095" s="738" t="s">
        <v>2138</v>
      </c>
      <c r="F1095" s="748">
        <f>[2]Hoja1!$B$97</f>
        <v>0.29315510752688173</v>
      </c>
      <c r="G1095" s="738" t="s">
        <v>1054</v>
      </c>
      <c r="H1095" s="738" t="s">
        <v>1252</v>
      </c>
      <c r="I1095" s="738"/>
      <c r="J1095" s="738" t="s">
        <v>560</v>
      </c>
      <c r="K1095" s="749" t="s">
        <v>2256</v>
      </c>
    </row>
    <row r="1096" spans="1:11" s="734" customFormat="1" ht="28.8" x14ac:dyDescent="0.3">
      <c r="A1096" s="738" t="s">
        <v>2110</v>
      </c>
      <c r="B1096" s="750">
        <f>'[1]PLAN DE DESARROLLO 2024 - 2027'!$M$161</f>
        <v>0.24647581985093744</v>
      </c>
      <c r="C1096" s="738" t="s">
        <v>2134</v>
      </c>
      <c r="D1096" s="747">
        <f>'[1]PLAN DE DESARROLLO 2024 - 2027'!$M$191</f>
        <v>0.22981556695992181</v>
      </c>
      <c r="E1096" s="738" t="s">
        <v>2138</v>
      </c>
      <c r="F1096" s="748">
        <f>[2]Hoja1!$B$97</f>
        <v>0.29315510752688173</v>
      </c>
      <c r="G1096" s="738" t="s">
        <v>1055</v>
      </c>
      <c r="H1096" s="738" t="s">
        <v>1253</v>
      </c>
      <c r="I1096" s="738"/>
      <c r="J1096" s="738" t="s">
        <v>560</v>
      </c>
      <c r="K1096" s="749" t="s">
        <v>2256</v>
      </c>
    </row>
    <row r="1097" spans="1:11" s="734" customFormat="1" ht="28.8" x14ac:dyDescent="0.3">
      <c r="A1097" s="738" t="s">
        <v>2017</v>
      </c>
      <c r="B1097" s="750">
        <f>'[1]PLAN DE DESARROLLO 2024 - 2027'!$M$123</f>
        <v>0.20174333228533195</v>
      </c>
      <c r="C1097" s="738" t="s">
        <v>2025</v>
      </c>
      <c r="D1097" s="752">
        <f>'[1]PLAN DE DESARROLLO 2024 - 2027'!$M$153</f>
        <v>0.24618175</v>
      </c>
      <c r="E1097" s="738" t="s">
        <v>2038</v>
      </c>
      <c r="F1097" s="748">
        <f>[2]Hoja1!$B$131</f>
        <v>0.31600000000000006</v>
      </c>
      <c r="G1097" s="738" t="s">
        <v>930</v>
      </c>
      <c r="H1097" s="738" t="s">
        <v>1368</v>
      </c>
      <c r="I1097" s="738"/>
      <c r="J1097" s="738" t="s">
        <v>2039</v>
      </c>
      <c r="K1097" s="749" t="s">
        <v>2256</v>
      </c>
    </row>
    <row r="1098" spans="1:11" s="734" customFormat="1" ht="28.8" x14ac:dyDescent="0.3">
      <c r="A1098" s="738" t="s">
        <v>2017</v>
      </c>
      <c r="B1098" s="750">
        <f>'[1]PLAN DE DESARROLLO 2024 - 2027'!$M$123</f>
        <v>0.20174333228533195</v>
      </c>
      <c r="C1098" s="738" t="s">
        <v>2025</v>
      </c>
      <c r="D1098" s="752">
        <f>'[1]PLAN DE DESARROLLO 2024 - 2027'!$M$153</f>
        <v>0.24618175</v>
      </c>
      <c r="E1098" s="738" t="s">
        <v>2038</v>
      </c>
      <c r="F1098" s="748">
        <f>[2]Hoja1!$B$131</f>
        <v>0.31600000000000006</v>
      </c>
      <c r="G1098" s="738" t="s">
        <v>931</v>
      </c>
      <c r="H1098" s="738" t="s">
        <v>1369</v>
      </c>
      <c r="I1098" s="738"/>
      <c r="J1098" s="738" t="s">
        <v>698</v>
      </c>
      <c r="K1098" s="749" t="s">
        <v>2256</v>
      </c>
    </row>
    <row r="1099" spans="1:11" s="734" customFormat="1" ht="28.8" x14ac:dyDescent="0.3">
      <c r="A1099" s="738" t="s">
        <v>2017</v>
      </c>
      <c r="B1099" s="750">
        <f>'[1]PLAN DE DESARROLLO 2024 - 2027'!$M$123</f>
        <v>0.20174333228533195</v>
      </c>
      <c r="C1099" s="738" t="s">
        <v>2025</v>
      </c>
      <c r="D1099" s="752">
        <f>'[1]PLAN DE DESARROLLO 2024 - 2027'!$M$153</f>
        <v>0.24618175</v>
      </c>
      <c r="E1099" s="738" t="s">
        <v>2038</v>
      </c>
      <c r="F1099" s="748">
        <f>[2]Hoja1!$B$131</f>
        <v>0.31600000000000006</v>
      </c>
      <c r="G1099" s="738" t="s">
        <v>932</v>
      </c>
      <c r="H1099" s="738" t="s">
        <v>1370</v>
      </c>
      <c r="I1099" s="738"/>
      <c r="J1099" s="738" t="s">
        <v>698</v>
      </c>
      <c r="K1099" s="749" t="s">
        <v>2256</v>
      </c>
    </row>
    <row r="1100" spans="1:11" s="734" customFormat="1" ht="28.8" x14ac:dyDescent="0.3">
      <c r="A1100" s="738" t="s">
        <v>2197</v>
      </c>
      <c r="B1100" s="746">
        <f>'[1]PLAN DE DESARROLLO 2024 - 2027'!$M$46</f>
        <v>0.25251661967012345</v>
      </c>
      <c r="C1100" s="738" t="s">
        <v>2198</v>
      </c>
      <c r="D1100" s="747">
        <f>'[1]PLAN DE DESARROLLO 2024 - 2027'!$M$47</f>
        <v>0.26592582694462413</v>
      </c>
      <c r="E1100" s="738" t="s">
        <v>1654</v>
      </c>
      <c r="F1100" s="748">
        <f>[2]Hoja1!$B$67</f>
        <v>0.60631944444444441</v>
      </c>
      <c r="G1100" s="738" t="s">
        <v>493</v>
      </c>
      <c r="H1100" s="738" t="s">
        <v>494</v>
      </c>
      <c r="I1100" s="738"/>
      <c r="J1100" s="738" t="s">
        <v>490</v>
      </c>
      <c r="K1100" s="749" t="s">
        <v>2256</v>
      </c>
    </row>
    <row r="1101" spans="1:11" s="734" customFormat="1" ht="28.8" x14ac:dyDescent="0.3">
      <c r="A1101" s="738" t="s">
        <v>2197</v>
      </c>
      <c r="B1101" s="746">
        <f>'[1]PLAN DE DESARROLLO 2024 - 2027'!$M$46</f>
        <v>0.25251661967012345</v>
      </c>
      <c r="C1101" s="738" t="s">
        <v>2198</v>
      </c>
      <c r="D1101" s="747">
        <f>'[1]PLAN DE DESARROLLO 2024 - 2027'!$M$47</f>
        <v>0.26592582694462413</v>
      </c>
      <c r="E1101" s="738" t="s">
        <v>1654</v>
      </c>
      <c r="F1101" s="748">
        <f>[2]Hoja1!$B$67</f>
        <v>0.60631944444444441</v>
      </c>
      <c r="G1101" s="738" t="s">
        <v>495</v>
      </c>
      <c r="H1101" s="738" t="s">
        <v>496</v>
      </c>
      <c r="I1101" s="738"/>
      <c r="J1101" s="738" t="s">
        <v>490</v>
      </c>
      <c r="K1101" s="749" t="s">
        <v>2256</v>
      </c>
    </row>
    <row r="1102" spans="1:11" s="734" customFormat="1" x14ac:dyDescent="0.3">
      <c r="A1102" s="738" t="s">
        <v>2197</v>
      </c>
      <c r="B1102" s="746">
        <f>'[1]PLAN DE DESARROLLO 2024 - 2027'!$M$46</f>
        <v>0.25251661967012345</v>
      </c>
      <c r="C1102" s="738" t="s">
        <v>2198</v>
      </c>
      <c r="D1102" s="747">
        <f>'[1]PLAN DE DESARROLLO 2024 - 2027'!$M$47</f>
        <v>0.26592582694462413</v>
      </c>
      <c r="E1102" s="738" t="s">
        <v>1654</v>
      </c>
      <c r="F1102" s="748">
        <f>[2]Hoja1!$B$67</f>
        <v>0.60631944444444441</v>
      </c>
      <c r="G1102" s="738" t="s">
        <v>497</v>
      </c>
      <c r="H1102" s="738" t="s">
        <v>498</v>
      </c>
      <c r="I1102" s="738"/>
      <c r="J1102" s="738" t="s">
        <v>490</v>
      </c>
      <c r="K1102" s="749" t="s">
        <v>2256</v>
      </c>
    </row>
    <row r="1103" spans="1:11" s="734" customFormat="1" ht="28.8" x14ac:dyDescent="0.3">
      <c r="A1103" s="738" t="s">
        <v>2197</v>
      </c>
      <c r="B1103" s="746">
        <f>'[1]PLAN DE DESARROLLO 2024 - 2027'!$M$46</f>
        <v>0.25251661967012345</v>
      </c>
      <c r="C1103" s="738" t="s">
        <v>2198</v>
      </c>
      <c r="D1103" s="747">
        <f>'[1]PLAN DE DESARROLLO 2024 - 2027'!$M$47</f>
        <v>0.26592582694462413</v>
      </c>
      <c r="E1103" s="738" t="s">
        <v>2215</v>
      </c>
      <c r="F1103" s="748">
        <f>[2]Hoja1!$B$68</f>
        <v>0.3801401869158878</v>
      </c>
      <c r="G1103" s="738" t="s">
        <v>432</v>
      </c>
      <c r="H1103" s="738" t="s">
        <v>433</v>
      </c>
      <c r="I1103" s="738"/>
      <c r="J1103" s="738" t="s">
        <v>2199</v>
      </c>
      <c r="K1103" s="749" t="s">
        <v>2256</v>
      </c>
    </row>
    <row r="1104" spans="1:11" s="734" customFormat="1" ht="28.8" x14ac:dyDescent="0.3">
      <c r="A1104" s="738" t="s">
        <v>2197</v>
      </c>
      <c r="B1104" s="746">
        <f>'[1]PLAN DE DESARROLLO 2024 - 2027'!$M$46</f>
        <v>0.25251661967012345</v>
      </c>
      <c r="C1104" s="738" t="s">
        <v>2198</v>
      </c>
      <c r="D1104" s="747">
        <f>'[1]PLAN DE DESARROLLO 2024 - 2027'!$M$47</f>
        <v>0.26592582694462413</v>
      </c>
      <c r="E1104" s="738" t="s">
        <v>2215</v>
      </c>
      <c r="F1104" s="748">
        <f>[2]Hoja1!$B$68</f>
        <v>0.3801401869158878</v>
      </c>
      <c r="G1104" s="738" t="s">
        <v>434</v>
      </c>
      <c r="H1104" s="738" t="s">
        <v>435</v>
      </c>
      <c r="I1104" s="738"/>
      <c r="J1104" s="738" t="s">
        <v>2199</v>
      </c>
      <c r="K1104" s="749" t="s">
        <v>2256</v>
      </c>
    </row>
    <row r="1105" spans="1:11" s="734" customFormat="1" x14ac:dyDescent="0.3">
      <c r="A1105" s="738" t="s">
        <v>2197</v>
      </c>
      <c r="B1105" s="746">
        <f>'[1]PLAN DE DESARROLLO 2024 - 2027'!$M$46</f>
        <v>0.25251661967012345</v>
      </c>
      <c r="C1105" s="738" t="s">
        <v>2198</v>
      </c>
      <c r="D1105" s="747">
        <f>'[1]PLAN DE DESARROLLO 2024 - 2027'!$M$47</f>
        <v>0.26592582694462413</v>
      </c>
      <c r="E1105" s="738" t="s">
        <v>2215</v>
      </c>
      <c r="F1105" s="748">
        <f>[2]Hoja1!$B$68</f>
        <v>0.3801401869158878</v>
      </c>
      <c r="G1105" s="738" t="s">
        <v>436</v>
      </c>
      <c r="H1105" s="738" t="s">
        <v>437</v>
      </c>
      <c r="I1105" s="738"/>
      <c r="J1105" s="738" t="s">
        <v>2199</v>
      </c>
      <c r="K1105" s="749" t="s">
        <v>2256</v>
      </c>
    </row>
    <row r="1106" spans="1:11" s="734" customFormat="1" ht="43.2" x14ac:dyDescent="0.3">
      <c r="A1106" s="738" t="s">
        <v>2197</v>
      </c>
      <c r="B1106" s="746">
        <f>'[1]PLAN DE DESARROLLO 2024 - 2027'!$M$46</f>
        <v>0.25251661967012345</v>
      </c>
      <c r="C1106" s="738" t="s">
        <v>2198</v>
      </c>
      <c r="D1106" s="747">
        <f>'[1]PLAN DE DESARROLLO 2024 - 2027'!$M$47</f>
        <v>0.26592582694462413</v>
      </c>
      <c r="E1106" s="738" t="s">
        <v>2216</v>
      </c>
      <c r="F1106" s="748">
        <f>[2]Hoja1!$B$71</f>
        <v>0.19542056074766356</v>
      </c>
      <c r="G1106" s="738" t="s">
        <v>438</v>
      </c>
      <c r="H1106" s="738" t="s">
        <v>439</v>
      </c>
      <c r="I1106" s="738"/>
      <c r="J1106" s="738" t="s">
        <v>2199</v>
      </c>
      <c r="K1106" s="749" t="s">
        <v>2256</v>
      </c>
    </row>
    <row r="1107" spans="1:11" s="734" customFormat="1" ht="28.8" x14ac:dyDescent="0.3">
      <c r="A1107" s="738" t="s">
        <v>2017</v>
      </c>
      <c r="B1107" s="750">
        <f>'[1]PLAN DE DESARROLLO 2024 - 2027'!$M$123</f>
        <v>0.20174333228533195</v>
      </c>
      <c r="C1107" s="738" t="s">
        <v>2025</v>
      </c>
      <c r="D1107" s="752">
        <f>'[1]PLAN DE DESARROLLO 2024 - 2027'!$M$153</f>
        <v>0.24618175</v>
      </c>
      <c r="E1107" s="738" t="s">
        <v>2038</v>
      </c>
      <c r="F1107" s="748">
        <f>[2]Hoja1!$B$131</f>
        <v>0.31600000000000006</v>
      </c>
      <c r="G1107" s="738" t="s">
        <v>933</v>
      </c>
      <c r="H1107" s="738" t="s">
        <v>1371</v>
      </c>
      <c r="I1107" s="738"/>
      <c r="J1107" s="738" t="s">
        <v>560</v>
      </c>
      <c r="K1107" s="749" t="s">
        <v>2256</v>
      </c>
    </row>
    <row r="1108" spans="1:11" s="734" customFormat="1" ht="28.8" x14ac:dyDescent="0.3">
      <c r="A1108" s="738" t="s">
        <v>2017</v>
      </c>
      <c r="B1108" s="750">
        <f>'[1]PLAN DE DESARROLLO 2024 - 2027'!$M$123</f>
        <v>0.20174333228533195</v>
      </c>
      <c r="C1108" s="738" t="s">
        <v>2025</v>
      </c>
      <c r="D1108" s="752">
        <f>'[1]PLAN DE DESARROLLO 2024 - 2027'!$M$153</f>
        <v>0.24618175</v>
      </c>
      <c r="E1108" s="738" t="s">
        <v>2038</v>
      </c>
      <c r="F1108" s="748">
        <f>[2]Hoja1!$B$131</f>
        <v>0.31600000000000006</v>
      </c>
      <c r="G1108" s="738" t="s">
        <v>934</v>
      </c>
      <c r="H1108" s="738" t="s">
        <v>1372</v>
      </c>
      <c r="I1108" s="738"/>
      <c r="J1108" s="738" t="s">
        <v>2036</v>
      </c>
      <c r="K1108" s="749" t="s">
        <v>2256</v>
      </c>
    </row>
    <row r="1109" spans="1:11" s="734" customFormat="1" ht="21.75" customHeight="1" x14ac:dyDescent="0.3">
      <c r="A1109" s="738" t="s">
        <v>2017</v>
      </c>
      <c r="B1109" s="750">
        <f>'[1]PLAN DE DESARROLLO 2024 - 2027'!$M$123</f>
        <v>0.20174333228533195</v>
      </c>
      <c r="C1109" s="738" t="s">
        <v>2018</v>
      </c>
      <c r="D1109" s="752">
        <f>'[1]PLAN DE DESARROLLO 2024 - 2027'!$M$143</f>
        <v>9.5123946428571443E-2</v>
      </c>
      <c r="E1109" s="738" t="s">
        <v>2019</v>
      </c>
      <c r="F1109" s="748">
        <f>[2]Hoja1!$B$39</f>
        <v>0.01</v>
      </c>
      <c r="G1109" s="738" t="s">
        <v>878</v>
      </c>
      <c r="H1109" s="738" t="s">
        <v>1327</v>
      </c>
      <c r="I1109" s="738"/>
      <c r="J1109" s="738" t="s">
        <v>2020</v>
      </c>
      <c r="K1109" s="749" t="s">
        <v>2256</v>
      </c>
    </row>
    <row r="1110" spans="1:11" s="734" customFormat="1" ht="28.8" x14ac:dyDescent="0.3">
      <c r="A1110" s="738" t="s">
        <v>2197</v>
      </c>
      <c r="B1110" s="746">
        <f>'[1]PLAN DE DESARROLLO 2024 - 2027'!$M$46</f>
        <v>0.25251661967012345</v>
      </c>
      <c r="C1110" s="738" t="s">
        <v>2198</v>
      </c>
      <c r="D1110" s="747">
        <f>'[1]PLAN DE DESARROLLO 2024 - 2027'!$M$47</f>
        <v>0.26592582694462413</v>
      </c>
      <c r="E1110" s="738" t="s">
        <v>2216</v>
      </c>
      <c r="F1110" s="748">
        <f>[2]Hoja1!$B$71</f>
        <v>0.19542056074766356</v>
      </c>
      <c r="G1110" s="738" t="s">
        <v>440</v>
      </c>
      <c r="H1110" s="738" t="s">
        <v>441</v>
      </c>
      <c r="I1110" s="738"/>
      <c r="J1110" s="738" t="s">
        <v>2199</v>
      </c>
      <c r="K1110" s="749" t="s">
        <v>2256</v>
      </c>
    </row>
    <row r="1111" spans="1:11" s="734" customFormat="1" ht="43.2" x14ac:dyDescent="0.3">
      <c r="A1111" s="738" t="s">
        <v>2197</v>
      </c>
      <c r="B1111" s="746">
        <f>'[1]PLAN DE DESARROLLO 2024 - 2027'!$M$46</f>
        <v>0.25251661967012345</v>
      </c>
      <c r="C1111" s="738" t="s">
        <v>2198</v>
      </c>
      <c r="D1111" s="747">
        <f>'[1]PLAN DE DESARROLLO 2024 - 2027'!$M$47</f>
        <v>0.26592582694462413</v>
      </c>
      <c r="E1111" s="738" t="s">
        <v>2216</v>
      </c>
      <c r="F1111" s="748">
        <f>[2]Hoja1!$B$71</f>
        <v>0.19542056074766356</v>
      </c>
      <c r="G1111" s="738" t="s">
        <v>2217</v>
      </c>
      <c r="H1111" s="738" t="s">
        <v>2218</v>
      </c>
      <c r="I1111" s="738"/>
      <c r="J1111" s="738" t="s">
        <v>2199</v>
      </c>
      <c r="K1111" s="749" t="s">
        <v>2256</v>
      </c>
    </row>
    <row r="1112" spans="1:11" s="734" customFormat="1" ht="43.2" x14ac:dyDescent="0.3">
      <c r="A1112" s="738" t="s">
        <v>2197</v>
      </c>
      <c r="B1112" s="746">
        <f>'[1]PLAN DE DESARROLLO 2024 - 2027'!$M$46</f>
        <v>0.25251661967012345</v>
      </c>
      <c r="C1112" s="738" t="s">
        <v>2198</v>
      </c>
      <c r="D1112" s="747">
        <f>'[1]PLAN DE DESARROLLO 2024 - 2027'!$M$47</f>
        <v>0.26592582694462413</v>
      </c>
      <c r="E1112" s="738" t="s">
        <v>2214</v>
      </c>
      <c r="F1112" s="748">
        <f>[2]Hoja1!$B$100</f>
        <v>0.22135057471264369</v>
      </c>
      <c r="G1112" s="738" t="s">
        <v>418</v>
      </c>
      <c r="H1112" s="738" t="s">
        <v>419</v>
      </c>
      <c r="I1112" s="738"/>
      <c r="J1112" s="738" t="s">
        <v>2199</v>
      </c>
      <c r="K1112" s="749" t="s">
        <v>2256</v>
      </c>
    </row>
    <row r="1113" spans="1:11" s="734" customFormat="1" ht="28.8" x14ac:dyDescent="0.3">
      <c r="A1113" s="738" t="s">
        <v>2197</v>
      </c>
      <c r="B1113" s="746">
        <f>'[1]PLAN DE DESARROLLO 2024 - 2027'!$M$46</f>
        <v>0.25251661967012345</v>
      </c>
      <c r="C1113" s="738" t="s">
        <v>2198</v>
      </c>
      <c r="D1113" s="747">
        <f>'[1]PLAN DE DESARROLLO 2024 - 2027'!$M$47</f>
        <v>0.26592582694462413</v>
      </c>
      <c r="E1113" s="738" t="s">
        <v>2214</v>
      </c>
      <c r="F1113" s="748">
        <f>[2]Hoja1!$B$100</f>
        <v>0.22135057471264369</v>
      </c>
      <c r="G1113" s="738" t="s">
        <v>420</v>
      </c>
      <c r="H1113" s="738" t="s">
        <v>421</v>
      </c>
      <c r="I1113" s="738"/>
      <c r="J1113" s="738" t="s">
        <v>2199</v>
      </c>
      <c r="K1113" s="749" t="s">
        <v>2256</v>
      </c>
    </row>
    <row r="1114" spans="1:11" s="734" customFormat="1" ht="28.8" x14ac:dyDescent="0.3">
      <c r="A1114" s="738" t="s">
        <v>2197</v>
      </c>
      <c r="B1114" s="746">
        <f>'[1]PLAN DE DESARROLLO 2024 - 2027'!$M$46</f>
        <v>0.25251661967012345</v>
      </c>
      <c r="C1114" s="738" t="s">
        <v>2198</v>
      </c>
      <c r="D1114" s="747">
        <f>'[1]PLAN DE DESARROLLO 2024 - 2027'!$M$47</f>
        <v>0.26592582694462413</v>
      </c>
      <c r="E1114" s="738" t="s">
        <v>2214</v>
      </c>
      <c r="F1114" s="748">
        <f>[2]Hoja1!$B$100</f>
        <v>0.22135057471264369</v>
      </c>
      <c r="G1114" s="738" t="s">
        <v>422</v>
      </c>
      <c r="H1114" s="738" t="s">
        <v>423</v>
      </c>
      <c r="I1114" s="738"/>
      <c r="J1114" s="738" t="s">
        <v>2199</v>
      </c>
      <c r="K1114" s="749" t="s">
        <v>2256</v>
      </c>
    </row>
    <row r="1115" spans="1:11" s="734" customFormat="1" ht="28.8" x14ac:dyDescent="0.3">
      <c r="A1115" s="738" t="s">
        <v>2110</v>
      </c>
      <c r="B1115" s="750">
        <f>'[1]PLAN DE DESARROLLO 2024 - 2027'!$M$161</f>
        <v>0.24647581985093744</v>
      </c>
      <c r="C1115" s="738" t="s">
        <v>2112</v>
      </c>
      <c r="D1115" s="747">
        <f>'[1]PLAN DE DESARROLLO 2024 - 2027'!$M$166</f>
        <v>0.23451309458253802</v>
      </c>
      <c r="E1115" s="738" t="s">
        <v>1824</v>
      </c>
      <c r="F1115" s="748">
        <f>[2]Hoja1!$B$103</f>
        <v>0.25</v>
      </c>
      <c r="G1115" s="738" t="s">
        <v>972</v>
      </c>
      <c r="H1115" s="738" t="s">
        <v>1175</v>
      </c>
      <c r="I1115" s="738"/>
      <c r="J1115" s="738" t="s">
        <v>516</v>
      </c>
      <c r="K1115" s="749" t="s">
        <v>2256</v>
      </c>
    </row>
    <row r="1116" spans="1:11" s="734" customFormat="1" ht="28.8" x14ac:dyDescent="0.3">
      <c r="A1116" s="738" t="s">
        <v>2110</v>
      </c>
      <c r="B1116" s="750">
        <f>'[1]PLAN DE DESARROLLO 2024 - 2027'!$M$161</f>
        <v>0.24647581985093744</v>
      </c>
      <c r="C1116" s="738" t="s">
        <v>2112</v>
      </c>
      <c r="D1116" s="747">
        <f>'[1]PLAN DE DESARROLLO 2024 - 2027'!$M$166</f>
        <v>0.23451309458253802</v>
      </c>
      <c r="E1116" s="738" t="s">
        <v>1824</v>
      </c>
      <c r="F1116" s="748">
        <f>[2]Hoja1!$B$103</f>
        <v>0.25</v>
      </c>
      <c r="G1116" s="738" t="s">
        <v>973</v>
      </c>
      <c r="H1116" s="738" t="s">
        <v>1176</v>
      </c>
      <c r="I1116" s="738"/>
      <c r="J1116" s="738" t="s">
        <v>516</v>
      </c>
      <c r="K1116" s="749" t="s">
        <v>2256</v>
      </c>
    </row>
    <row r="1117" spans="1:11" s="734" customFormat="1" x14ac:dyDescent="0.3">
      <c r="A1117" s="738" t="s">
        <v>2197</v>
      </c>
      <c r="B1117" s="746">
        <f>'[1]PLAN DE DESARROLLO 2024 - 2027'!$M$46</f>
        <v>0.25251661967012345</v>
      </c>
      <c r="C1117" s="738" t="s">
        <v>2198</v>
      </c>
      <c r="D1117" s="747">
        <f>'[1]PLAN DE DESARROLLO 2024 - 2027'!$M$47</f>
        <v>0.26592582694462413</v>
      </c>
      <c r="E1117" s="738" t="s">
        <v>2214</v>
      </c>
      <c r="F1117" s="748">
        <f>[2]Hoja1!$B$100</f>
        <v>0.22135057471264369</v>
      </c>
      <c r="G1117" s="738" t="s">
        <v>424</v>
      </c>
      <c r="H1117" s="738" t="s">
        <v>425</v>
      </c>
      <c r="I1117" s="738"/>
      <c r="J1117" s="738" t="s">
        <v>2199</v>
      </c>
      <c r="K1117" s="749" t="s">
        <v>2256</v>
      </c>
    </row>
    <row r="1118" spans="1:11" s="734" customFormat="1" ht="28.8" x14ac:dyDescent="0.3">
      <c r="A1118" s="738" t="s">
        <v>2197</v>
      </c>
      <c r="B1118" s="746">
        <f>'[1]PLAN DE DESARROLLO 2024 - 2027'!$M$46</f>
        <v>0.25251661967012345</v>
      </c>
      <c r="C1118" s="738" t="s">
        <v>2198</v>
      </c>
      <c r="D1118" s="747">
        <f>'[1]PLAN DE DESARROLLO 2024 - 2027'!$M$47</f>
        <v>0.26592582694462413</v>
      </c>
      <c r="E1118" s="738" t="s">
        <v>2214</v>
      </c>
      <c r="F1118" s="748">
        <f>[2]Hoja1!$B$100</f>
        <v>0.22135057471264369</v>
      </c>
      <c r="G1118" s="738" t="s">
        <v>426</v>
      </c>
      <c r="H1118" s="738" t="s">
        <v>427</v>
      </c>
      <c r="I1118" s="738"/>
      <c r="J1118" s="738" t="s">
        <v>2199</v>
      </c>
      <c r="K1118" s="749" t="s">
        <v>2256</v>
      </c>
    </row>
    <row r="1119" spans="1:11" s="734" customFormat="1" ht="28.8" x14ac:dyDescent="0.3">
      <c r="A1119" s="738" t="s">
        <v>2197</v>
      </c>
      <c r="B1119" s="746">
        <f>'[1]PLAN DE DESARROLLO 2024 - 2027'!$M$46</f>
        <v>0.25251661967012345</v>
      </c>
      <c r="C1119" s="738" t="s">
        <v>2198</v>
      </c>
      <c r="D1119" s="747">
        <f>'[1]PLAN DE DESARROLLO 2024 - 2027'!$M$47</f>
        <v>0.26592582694462413</v>
      </c>
      <c r="E1119" s="738" t="s">
        <v>1642</v>
      </c>
      <c r="F1119" s="748">
        <f>[2]Hoja1!$B$102</f>
        <v>0.30189198330677819</v>
      </c>
      <c r="G1119" s="738" t="s">
        <v>372</v>
      </c>
      <c r="H1119" s="738" t="s">
        <v>373</v>
      </c>
      <c r="I1119" s="738"/>
      <c r="J1119" s="738" t="s">
        <v>2199</v>
      </c>
      <c r="K1119" s="749" t="s">
        <v>2256</v>
      </c>
    </row>
    <row r="1120" spans="1:11" s="734" customFormat="1" ht="43.2" x14ac:dyDescent="0.3">
      <c r="A1120" s="738" t="s">
        <v>2197</v>
      </c>
      <c r="B1120" s="746">
        <f>'[1]PLAN DE DESARROLLO 2024 - 2027'!$M$46</f>
        <v>0.25251661967012345</v>
      </c>
      <c r="C1120" s="738" t="s">
        <v>2198</v>
      </c>
      <c r="D1120" s="747">
        <f>'[1]PLAN DE DESARROLLO 2024 - 2027'!$M$47</f>
        <v>0.26592582694462413</v>
      </c>
      <c r="E1120" s="738" t="s">
        <v>1642</v>
      </c>
      <c r="F1120" s="748">
        <f>[2]Hoja1!$B$102</f>
        <v>0.30189198330677819</v>
      </c>
      <c r="G1120" s="738" t="s">
        <v>374</v>
      </c>
      <c r="H1120" s="738" t="s">
        <v>375</v>
      </c>
      <c r="I1120" s="738"/>
      <c r="J1120" s="738" t="s">
        <v>2199</v>
      </c>
      <c r="K1120" s="749" t="s">
        <v>2256</v>
      </c>
    </row>
    <row r="1121" spans="1:11" s="734" customFormat="1" ht="28.8" x14ac:dyDescent="0.3">
      <c r="A1121" s="738" t="s">
        <v>2197</v>
      </c>
      <c r="B1121" s="746">
        <f>'[1]PLAN DE DESARROLLO 2024 - 2027'!$M$46</f>
        <v>0.25251661967012345</v>
      </c>
      <c r="C1121" s="738" t="s">
        <v>2198</v>
      </c>
      <c r="D1121" s="747">
        <f>'[1]PLAN DE DESARROLLO 2024 - 2027'!$M$47</f>
        <v>0.26592582694462413</v>
      </c>
      <c r="E1121" s="738" t="s">
        <v>1642</v>
      </c>
      <c r="F1121" s="748">
        <f>[2]Hoja1!$B$102</f>
        <v>0.30189198330677819</v>
      </c>
      <c r="G1121" s="738" t="s">
        <v>376</v>
      </c>
      <c r="H1121" s="738" t="s">
        <v>377</v>
      </c>
      <c r="I1121" s="738"/>
      <c r="J1121" s="738" t="s">
        <v>2199</v>
      </c>
      <c r="K1121" s="749" t="s">
        <v>2256</v>
      </c>
    </row>
    <row r="1122" spans="1:11" s="734" customFormat="1" ht="28.8" x14ac:dyDescent="0.3">
      <c r="A1122" s="738" t="s">
        <v>2068</v>
      </c>
      <c r="B1122" s="750">
        <f>'[1]PLAN DE DESARROLLO 2024 - 2027'!$M$92</f>
        <v>0.25050860314981654</v>
      </c>
      <c r="C1122" s="738" t="s">
        <v>2086</v>
      </c>
      <c r="D1122" s="747">
        <f>'[1]PLAN DE DESARROLLO 2024 - 2027'!$M$120</f>
        <v>0.19011249999999999</v>
      </c>
      <c r="E1122" s="738" t="s">
        <v>2089</v>
      </c>
      <c r="F1122" s="748">
        <f>[2]Hoja1!$B$45</f>
        <v>0.44538461538461538</v>
      </c>
      <c r="G1122" s="738" t="s">
        <v>714</v>
      </c>
      <c r="H1122" s="738" t="s">
        <v>1419</v>
      </c>
      <c r="I1122" s="738"/>
      <c r="J1122" s="738" t="s">
        <v>58</v>
      </c>
      <c r="K1122" s="749" t="s">
        <v>2256</v>
      </c>
    </row>
    <row r="1123" spans="1:11" s="734" customFormat="1" ht="43.2" x14ac:dyDescent="0.3">
      <c r="A1123" s="738" t="s">
        <v>2068</v>
      </c>
      <c r="B1123" s="750">
        <f>'[1]PLAN DE DESARROLLO 2024 - 2027'!$M$92</f>
        <v>0.25050860314981654</v>
      </c>
      <c r="C1123" s="738" t="s">
        <v>2086</v>
      </c>
      <c r="D1123" s="747">
        <f>'[1]PLAN DE DESARROLLO 2024 - 2027'!$M$120</f>
        <v>0.19011249999999999</v>
      </c>
      <c r="E1123" s="738" t="s">
        <v>2087</v>
      </c>
      <c r="F1123" s="748">
        <f>[2]Hoja1!$B$58</f>
        <v>9.4384999999999997E-2</v>
      </c>
      <c r="G1123" s="738" t="s">
        <v>706</v>
      </c>
      <c r="H1123" s="738" t="s">
        <v>1412</v>
      </c>
      <c r="I1123" s="738"/>
      <c r="J1123" s="738" t="s">
        <v>707</v>
      </c>
      <c r="K1123" s="749" t="s">
        <v>2256</v>
      </c>
    </row>
    <row r="1124" spans="1:11" s="734" customFormat="1" ht="43.2" x14ac:dyDescent="0.3">
      <c r="A1124" s="738" t="s">
        <v>2197</v>
      </c>
      <c r="B1124" s="746">
        <f>'[1]PLAN DE DESARROLLO 2024 - 2027'!$M$46</f>
        <v>0.25251661967012345</v>
      </c>
      <c r="C1124" s="738" t="s">
        <v>2198</v>
      </c>
      <c r="D1124" s="747">
        <f>'[1]PLAN DE DESARROLLO 2024 - 2027'!$M$47</f>
        <v>0.26592582694462413</v>
      </c>
      <c r="E1124" s="738" t="s">
        <v>1642</v>
      </c>
      <c r="F1124" s="748">
        <f>[2]Hoja1!$B$102</f>
        <v>0.30189198330677819</v>
      </c>
      <c r="G1124" s="738" t="s">
        <v>378</v>
      </c>
      <c r="H1124" s="738" t="s">
        <v>379</v>
      </c>
      <c r="I1124" s="738"/>
      <c r="J1124" s="738" t="s">
        <v>2199</v>
      </c>
      <c r="K1124" s="749" t="s">
        <v>2256</v>
      </c>
    </row>
    <row r="1125" spans="1:11" s="734" customFormat="1" ht="43.2" x14ac:dyDescent="0.3">
      <c r="A1125" s="738" t="s">
        <v>2197</v>
      </c>
      <c r="B1125" s="746">
        <f>'[1]PLAN DE DESARROLLO 2024 - 2027'!$M$46</f>
        <v>0.25251661967012345</v>
      </c>
      <c r="C1125" s="738" t="s">
        <v>2198</v>
      </c>
      <c r="D1125" s="747">
        <f>'[1]PLAN DE DESARROLLO 2024 - 2027'!$M$47</f>
        <v>0.26592582694462413</v>
      </c>
      <c r="E1125" s="738" t="s">
        <v>1642</v>
      </c>
      <c r="F1125" s="748">
        <f>[2]Hoja1!$B$102</f>
        <v>0.30189198330677819</v>
      </c>
      <c r="G1125" s="738" t="s">
        <v>380</v>
      </c>
      <c r="H1125" s="738" t="s">
        <v>381</v>
      </c>
      <c r="I1125" s="738"/>
      <c r="J1125" s="738" t="s">
        <v>2199</v>
      </c>
      <c r="K1125" s="749" t="s">
        <v>2256</v>
      </c>
    </row>
    <row r="1126" spans="1:11" s="734" customFormat="1" ht="28.8" x14ac:dyDescent="0.3">
      <c r="A1126" s="738" t="s">
        <v>2197</v>
      </c>
      <c r="B1126" s="746">
        <f>'[1]PLAN DE DESARROLLO 2024 - 2027'!$M$46</f>
        <v>0.25251661967012345</v>
      </c>
      <c r="C1126" s="738" t="s">
        <v>2198</v>
      </c>
      <c r="D1126" s="747">
        <f>'[1]PLAN DE DESARROLLO 2024 - 2027'!$M$47</f>
        <v>0.26592582694462413</v>
      </c>
      <c r="E1126" s="738" t="s">
        <v>1640</v>
      </c>
      <c r="F1126" s="748">
        <f>[2]Hoja1!$B$110</f>
        <v>0.16166666666666668</v>
      </c>
      <c r="G1126" s="738" t="s">
        <v>355</v>
      </c>
      <c r="H1126" s="738" t="s">
        <v>356</v>
      </c>
      <c r="I1126" s="738"/>
      <c r="J1126" s="738" t="s">
        <v>2199</v>
      </c>
      <c r="K1126" s="749" t="s">
        <v>2256</v>
      </c>
    </row>
    <row r="1127" spans="1:11" s="734" customFormat="1" ht="28.8" x14ac:dyDescent="0.3">
      <c r="A1127" s="738" t="s">
        <v>2110</v>
      </c>
      <c r="B1127" s="750">
        <f>'[1]PLAN DE DESARROLLO 2024 - 2027'!$M$161</f>
        <v>0.24647581985093744</v>
      </c>
      <c r="C1127" s="738" t="s">
        <v>2112</v>
      </c>
      <c r="D1127" s="747">
        <f>'[1]PLAN DE DESARROLLO 2024 - 2027'!$M$166</f>
        <v>0.23451309458253802</v>
      </c>
      <c r="E1127" s="738" t="s">
        <v>2123</v>
      </c>
      <c r="F1127" s="748">
        <f>[2]Hoja1!$B$109</f>
        <v>0.44041666666666668</v>
      </c>
      <c r="G1127" s="738" t="s">
        <v>967</v>
      </c>
      <c r="H1127" s="738" t="s">
        <v>1171</v>
      </c>
      <c r="I1127" s="738"/>
      <c r="J1127" s="738" t="s">
        <v>516</v>
      </c>
      <c r="K1127" s="749" t="s">
        <v>2256</v>
      </c>
    </row>
    <row r="1128" spans="1:11" s="734" customFormat="1" ht="28.8" x14ac:dyDescent="0.3">
      <c r="A1128" s="738" t="s">
        <v>2110</v>
      </c>
      <c r="B1128" s="750">
        <f>'[1]PLAN DE DESARROLLO 2024 - 2027'!$M$161</f>
        <v>0.24647581985093744</v>
      </c>
      <c r="C1128" s="738" t="s">
        <v>2112</v>
      </c>
      <c r="D1128" s="747">
        <f>'[1]PLAN DE DESARROLLO 2024 - 2027'!$M$166</f>
        <v>0.23451309458253802</v>
      </c>
      <c r="E1128" s="738" t="s">
        <v>2123</v>
      </c>
      <c r="F1128" s="748">
        <f>[2]Hoja1!$B$109</f>
        <v>0.44041666666666668</v>
      </c>
      <c r="G1128" s="738" t="s">
        <v>968</v>
      </c>
      <c r="H1128" s="738" t="s">
        <v>1172</v>
      </c>
      <c r="I1128" s="738"/>
      <c r="J1128" s="738" t="s">
        <v>516</v>
      </c>
      <c r="K1128" s="749" t="s">
        <v>2256</v>
      </c>
    </row>
    <row r="1129" spans="1:11" s="734" customFormat="1" ht="28.8" x14ac:dyDescent="0.3">
      <c r="A1129" s="738" t="s">
        <v>2110</v>
      </c>
      <c r="B1129" s="750">
        <f>'[1]PLAN DE DESARROLLO 2024 - 2027'!$M$161</f>
        <v>0.24647581985093744</v>
      </c>
      <c r="C1129" s="738" t="s">
        <v>2112</v>
      </c>
      <c r="D1129" s="747">
        <f>'[1]PLAN DE DESARROLLO 2024 - 2027'!$M$166</f>
        <v>0.23451309458253802</v>
      </c>
      <c r="E1129" s="738" t="s">
        <v>2123</v>
      </c>
      <c r="F1129" s="748">
        <f>[2]Hoja1!$B$109</f>
        <v>0.44041666666666668</v>
      </c>
      <c r="G1129" s="738" t="s">
        <v>970</v>
      </c>
      <c r="H1129" s="738" t="s">
        <v>1173</v>
      </c>
      <c r="I1129" s="738"/>
      <c r="J1129" s="738" t="s">
        <v>698</v>
      </c>
      <c r="K1129" s="749" t="s">
        <v>2256</v>
      </c>
    </row>
    <row r="1130" spans="1:11" s="734" customFormat="1" ht="28.8" x14ac:dyDescent="0.3">
      <c r="A1130" s="738" t="s">
        <v>2110</v>
      </c>
      <c r="B1130" s="750">
        <f>'[1]PLAN DE DESARROLLO 2024 - 2027'!$M$161</f>
        <v>0.24647581985093744</v>
      </c>
      <c r="C1130" s="738" t="s">
        <v>2112</v>
      </c>
      <c r="D1130" s="747">
        <f>'[1]PLAN DE DESARROLLO 2024 - 2027'!$M$166</f>
        <v>0.23451309458253802</v>
      </c>
      <c r="E1130" s="738" t="s">
        <v>2123</v>
      </c>
      <c r="F1130" s="748">
        <f>[2]Hoja1!$B$109</f>
        <v>0.44041666666666668</v>
      </c>
      <c r="G1130" s="738" t="s">
        <v>971</v>
      </c>
      <c r="H1130" s="738" t="s">
        <v>1174</v>
      </c>
      <c r="I1130" s="738"/>
      <c r="J1130" s="738" t="s">
        <v>698</v>
      </c>
      <c r="K1130" s="749" t="s">
        <v>2256</v>
      </c>
    </row>
    <row r="1131" spans="1:11" s="734" customFormat="1" x14ac:dyDescent="0.3">
      <c r="A1131" s="738" t="s">
        <v>2197</v>
      </c>
      <c r="B1131" s="746">
        <f>'[1]PLAN DE DESARROLLO 2024 - 2027'!$M$46</f>
        <v>0.25251661967012345</v>
      </c>
      <c r="C1131" s="738" t="s">
        <v>2198</v>
      </c>
      <c r="D1131" s="747">
        <f>'[1]PLAN DE DESARROLLO 2024 - 2027'!$M$47</f>
        <v>0.26592582694462413</v>
      </c>
      <c r="E1131" s="738" t="s">
        <v>1640</v>
      </c>
      <c r="F1131" s="748">
        <f>[2]Hoja1!$B$110</f>
        <v>0.16166666666666668</v>
      </c>
      <c r="G1131" s="738" t="s">
        <v>358</v>
      </c>
      <c r="H1131" s="738" t="s">
        <v>359</v>
      </c>
      <c r="I1131" s="738"/>
      <c r="J1131" s="738" t="s">
        <v>2199</v>
      </c>
      <c r="K1131" s="749" t="s">
        <v>2256</v>
      </c>
    </row>
    <row r="1132" spans="1:11" s="734" customFormat="1" x14ac:dyDescent="0.3">
      <c r="A1132" s="738" t="s">
        <v>2197</v>
      </c>
      <c r="B1132" s="746">
        <f>'[1]PLAN DE DESARROLLO 2024 - 2027'!$M$46</f>
        <v>0.25251661967012345</v>
      </c>
      <c r="C1132" s="738" t="s">
        <v>2198</v>
      </c>
      <c r="D1132" s="747">
        <f>'[1]PLAN DE DESARROLLO 2024 - 2027'!$M$47</f>
        <v>0.26592582694462413</v>
      </c>
      <c r="E1132" s="738" t="s">
        <v>1640</v>
      </c>
      <c r="F1132" s="748">
        <f>[2]Hoja1!$B$110</f>
        <v>0.16166666666666668</v>
      </c>
      <c r="G1132" s="738" t="s">
        <v>360</v>
      </c>
      <c r="H1132" s="738" t="s">
        <v>361</v>
      </c>
      <c r="I1132" s="738"/>
      <c r="J1132" s="738" t="s">
        <v>2199</v>
      </c>
      <c r="K1132" s="749" t="s">
        <v>2256</v>
      </c>
    </row>
    <row r="1133" spans="1:11" s="734" customFormat="1" ht="28.8" x14ac:dyDescent="0.3">
      <c r="A1133" s="738" t="s">
        <v>2197</v>
      </c>
      <c r="B1133" s="746">
        <f>'[1]PLAN DE DESARROLLO 2024 - 2027'!$M$46</f>
        <v>0.25251661967012345</v>
      </c>
      <c r="C1133" s="738" t="s">
        <v>2198</v>
      </c>
      <c r="D1133" s="747">
        <f>'[1]PLAN DE DESARROLLO 2024 - 2027'!$M$47</f>
        <v>0.26592582694462413</v>
      </c>
      <c r="E1133" s="738" t="s">
        <v>1640</v>
      </c>
      <c r="F1133" s="748">
        <f>[2]Hoja1!$B$110</f>
        <v>0.16166666666666668</v>
      </c>
      <c r="G1133" s="738" t="s">
        <v>362</v>
      </c>
      <c r="H1133" s="738" t="s">
        <v>363</v>
      </c>
      <c r="I1133" s="738"/>
      <c r="J1133" s="738" t="s">
        <v>2199</v>
      </c>
      <c r="K1133" s="749" t="s">
        <v>2256</v>
      </c>
    </row>
    <row r="1134" spans="1:11" s="734" customFormat="1" x14ac:dyDescent="0.3">
      <c r="A1134" s="738" t="s">
        <v>2197</v>
      </c>
      <c r="B1134" s="746">
        <f>'[1]PLAN DE DESARROLLO 2024 - 2027'!$M$46</f>
        <v>0.25251661967012345</v>
      </c>
      <c r="C1134" s="738" t="s">
        <v>2198</v>
      </c>
      <c r="D1134" s="747">
        <f>'[1]PLAN DE DESARROLLO 2024 - 2027'!$M$47</f>
        <v>0.26592582694462413</v>
      </c>
      <c r="E1134" s="738" t="s">
        <v>1640</v>
      </c>
      <c r="F1134" s="748">
        <f>[2]Hoja1!$B$110</f>
        <v>0.16166666666666668</v>
      </c>
      <c r="G1134" s="738" t="s">
        <v>364</v>
      </c>
      <c r="H1134" s="738" t="s">
        <v>365</v>
      </c>
      <c r="I1134" s="738"/>
      <c r="J1134" s="738" t="s">
        <v>2199</v>
      </c>
      <c r="K1134" s="749" t="s">
        <v>2256</v>
      </c>
    </row>
    <row r="1135" spans="1:11" s="734" customFormat="1" ht="28.8" x14ac:dyDescent="0.3">
      <c r="A1135" s="738" t="s">
        <v>2197</v>
      </c>
      <c r="B1135" s="746">
        <f>'[1]PLAN DE DESARROLLO 2024 - 2027'!$M$46</f>
        <v>0.25251661967012345</v>
      </c>
      <c r="C1135" s="738" t="s">
        <v>2198</v>
      </c>
      <c r="D1135" s="747">
        <f>'[1]PLAN DE DESARROLLO 2024 - 2027'!$M$47</f>
        <v>0.26592582694462413</v>
      </c>
      <c r="E1135" s="738" t="s">
        <v>1640</v>
      </c>
      <c r="F1135" s="748">
        <f>[2]Hoja1!$B$110</f>
        <v>0.16166666666666668</v>
      </c>
      <c r="G1135" s="738" t="s">
        <v>366</v>
      </c>
      <c r="H1135" s="738" t="s">
        <v>367</v>
      </c>
      <c r="I1135" s="738"/>
      <c r="J1135" s="738" t="s">
        <v>2199</v>
      </c>
      <c r="K1135" s="749" t="s">
        <v>2256</v>
      </c>
    </row>
    <row r="1136" spans="1:11" s="734" customFormat="1" ht="28.8" x14ac:dyDescent="0.3">
      <c r="A1136" s="738" t="s">
        <v>2197</v>
      </c>
      <c r="B1136" s="746">
        <f>'[1]PLAN DE DESARROLLO 2024 - 2027'!$M$46</f>
        <v>0.25251661967012345</v>
      </c>
      <c r="C1136" s="738" t="s">
        <v>2198</v>
      </c>
      <c r="D1136" s="747">
        <f>'[1]PLAN DE DESARROLLO 2024 - 2027'!$M$47</f>
        <v>0.26592582694462413</v>
      </c>
      <c r="E1136" s="738" t="s">
        <v>1653</v>
      </c>
      <c r="F1136" s="748">
        <f>[2]Hoja1!$B$114</f>
        <v>0</v>
      </c>
      <c r="G1136" s="738" t="s">
        <v>473</v>
      </c>
      <c r="H1136" s="738" t="s">
        <v>474</v>
      </c>
      <c r="I1136" s="738"/>
      <c r="J1136" s="738" t="s">
        <v>2200</v>
      </c>
      <c r="K1136" s="749" t="s">
        <v>2256</v>
      </c>
    </row>
    <row r="1137" spans="1:11" s="734" customFormat="1" ht="57.6" x14ac:dyDescent="0.3">
      <c r="A1137" s="738" t="s">
        <v>2017</v>
      </c>
      <c r="B1137" s="750">
        <f>'[1]PLAN DE DESARROLLO 2024 - 2027'!$M$123</f>
        <v>0.20174333228533195</v>
      </c>
      <c r="C1137" s="738" t="s">
        <v>2018</v>
      </c>
      <c r="D1137" s="752">
        <f>'[1]PLAN DE DESARROLLO 2024 - 2027'!$M$143</f>
        <v>9.5123946428571443E-2</v>
      </c>
      <c r="E1137" s="738" t="s">
        <v>2019</v>
      </c>
      <c r="F1137" s="748">
        <f>[2]Hoja1!$B$39</f>
        <v>0.01</v>
      </c>
      <c r="G1137" s="738" t="s">
        <v>880</v>
      </c>
      <c r="H1137" s="738" t="s">
        <v>1328</v>
      </c>
      <c r="I1137" s="738"/>
      <c r="J1137" s="738" t="s">
        <v>2021</v>
      </c>
      <c r="K1137" s="749" t="s">
        <v>2256</v>
      </c>
    </row>
    <row r="1138" spans="1:11" s="734" customFormat="1" ht="43.2" x14ac:dyDescent="0.3">
      <c r="A1138" s="738" t="s">
        <v>2017</v>
      </c>
      <c r="B1138" s="750">
        <f>'[1]PLAN DE DESARROLLO 2024 - 2027'!$M$123</f>
        <v>0.20174333228533195</v>
      </c>
      <c r="C1138" s="738" t="s">
        <v>2018</v>
      </c>
      <c r="D1138" s="752">
        <f>'[1]PLAN DE DESARROLLO 2024 - 2027'!$M$143</f>
        <v>9.5123946428571443E-2</v>
      </c>
      <c r="E1138" s="738" t="s">
        <v>2019</v>
      </c>
      <c r="F1138" s="748">
        <f>[2]Hoja1!$B$39</f>
        <v>0.01</v>
      </c>
      <c r="G1138" s="738" t="s">
        <v>881</v>
      </c>
      <c r="H1138" s="738" t="s">
        <v>1329</v>
      </c>
      <c r="I1138" s="738"/>
      <c r="J1138" s="738" t="s">
        <v>2022</v>
      </c>
      <c r="K1138" s="749" t="s">
        <v>2256</v>
      </c>
    </row>
    <row r="1139" spans="1:11" s="734" customFormat="1" ht="28.8" x14ac:dyDescent="0.3">
      <c r="A1139" s="738" t="s">
        <v>2017</v>
      </c>
      <c r="B1139" s="750">
        <f>'[1]PLAN DE DESARROLLO 2024 - 2027'!$M$123</f>
        <v>0.20174333228533195</v>
      </c>
      <c r="C1139" s="738" t="s">
        <v>2018</v>
      </c>
      <c r="D1139" s="752">
        <f>'[1]PLAN DE DESARROLLO 2024 - 2027'!$M$143</f>
        <v>9.5123946428571443E-2</v>
      </c>
      <c r="E1139" s="738" t="s">
        <v>2067</v>
      </c>
      <c r="F1139" s="748">
        <f>[2]Hoja1!$B$113</f>
        <v>0.375</v>
      </c>
      <c r="G1139" s="738" t="s">
        <v>883</v>
      </c>
      <c r="H1139" s="738" t="s">
        <v>1330</v>
      </c>
      <c r="I1139" s="738"/>
      <c r="J1139" s="738" t="s">
        <v>490</v>
      </c>
      <c r="K1139" s="749" t="s">
        <v>2256</v>
      </c>
    </row>
    <row r="1140" spans="1:11" s="734" customFormat="1" ht="43.2" x14ac:dyDescent="0.3">
      <c r="A1140" s="738" t="s">
        <v>2017</v>
      </c>
      <c r="B1140" s="750">
        <f>'[1]PLAN DE DESARROLLO 2024 - 2027'!$M$123</f>
        <v>0.20174333228533195</v>
      </c>
      <c r="C1140" s="738" t="s">
        <v>2018</v>
      </c>
      <c r="D1140" s="752">
        <f>'[1]PLAN DE DESARROLLO 2024 - 2027'!$M$143</f>
        <v>9.5123946428571443E-2</v>
      </c>
      <c r="E1140" s="738" t="s">
        <v>2062</v>
      </c>
      <c r="F1140" s="748">
        <f>[2]Hoja1!$B$150</f>
        <v>0.1180532142857143</v>
      </c>
      <c r="G1140" s="738" t="s">
        <v>866</v>
      </c>
      <c r="H1140" s="738" t="s">
        <v>1320</v>
      </c>
      <c r="I1140" s="738"/>
      <c r="J1140" s="738" t="s">
        <v>2063</v>
      </c>
      <c r="K1140" s="749" t="s">
        <v>2256</v>
      </c>
    </row>
    <row r="1141" spans="1:11" s="734" customFormat="1" ht="28.8" x14ac:dyDescent="0.3">
      <c r="A1141" s="738" t="s">
        <v>2017</v>
      </c>
      <c r="B1141" s="750">
        <f>'[1]PLAN DE DESARROLLO 2024 - 2027'!$M$123</f>
        <v>0.20174333228533195</v>
      </c>
      <c r="C1141" s="738" t="s">
        <v>2018</v>
      </c>
      <c r="D1141" s="752">
        <f>'[1]PLAN DE DESARROLLO 2024 - 2027'!$M$143</f>
        <v>9.5123946428571443E-2</v>
      </c>
      <c r="E1141" s="738" t="s">
        <v>2062</v>
      </c>
      <c r="F1141" s="748">
        <f>[2]Hoja1!$B$150</f>
        <v>0.1180532142857143</v>
      </c>
      <c r="G1141" s="738" t="s">
        <v>868</v>
      </c>
      <c r="H1141" s="738" t="s">
        <v>1321</v>
      </c>
      <c r="I1141" s="738"/>
      <c r="J1141" s="738" t="s">
        <v>825</v>
      </c>
      <c r="K1141" s="749" t="s">
        <v>2256</v>
      </c>
    </row>
    <row r="1142" spans="1:11" s="734" customFormat="1" ht="28.8" x14ac:dyDescent="0.3">
      <c r="A1142" s="738" t="s">
        <v>2017</v>
      </c>
      <c r="B1142" s="750">
        <f>'[1]PLAN DE DESARROLLO 2024 - 2027'!$M$123</f>
        <v>0.20174333228533195</v>
      </c>
      <c r="C1142" s="738" t="s">
        <v>2018</v>
      </c>
      <c r="D1142" s="752">
        <f>'[1]PLAN DE DESARROLLO 2024 - 2027'!$M$143</f>
        <v>9.5123946428571443E-2</v>
      </c>
      <c r="E1142" s="738" t="s">
        <v>2062</v>
      </c>
      <c r="F1142" s="748">
        <f>[2]Hoja1!$B$150</f>
        <v>0.1180532142857143</v>
      </c>
      <c r="G1142" s="738" t="s">
        <v>869</v>
      </c>
      <c r="H1142" s="738" t="s">
        <v>1322</v>
      </c>
      <c r="I1142" s="738"/>
      <c r="J1142" s="738" t="s">
        <v>1540</v>
      </c>
      <c r="K1142" s="749" t="s">
        <v>2256</v>
      </c>
    </row>
    <row r="1143" spans="1:11" s="734" customFormat="1" ht="28.8" x14ac:dyDescent="0.3">
      <c r="A1143" s="738" t="s">
        <v>2017</v>
      </c>
      <c r="B1143" s="750">
        <f>'[1]PLAN DE DESARROLLO 2024 - 2027'!$M$123</f>
        <v>0.20174333228533195</v>
      </c>
      <c r="C1143" s="738" t="s">
        <v>2018</v>
      </c>
      <c r="D1143" s="752">
        <f>'[1]PLAN DE DESARROLLO 2024 - 2027'!$M$143</f>
        <v>9.5123946428571443E-2</v>
      </c>
      <c r="E1143" s="738" t="s">
        <v>2062</v>
      </c>
      <c r="F1143" s="748">
        <f>[2]Hoja1!$B$150</f>
        <v>0.1180532142857143</v>
      </c>
      <c r="G1143" s="738" t="s">
        <v>870</v>
      </c>
      <c r="H1143" s="738" t="s">
        <v>1323</v>
      </c>
      <c r="I1143" s="738"/>
      <c r="J1143" s="738" t="s">
        <v>2064</v>
      </c>
      <c r="K1143" s="749" t="s">
        <v>2256</v>
      </c>
    </row>
    <row r="1144" spans="1:11" s="734" customFormat="1" ht="28.8" x14ac:dyDescent="0.3">
      <c r="A1144" s="738" t="s">
        <v>2017</v>
      </c>
      <c r="B1144" s="750">
        <f>'[1]PLAN DE DESARROLLO 2024 - 2027'!$M$123</f>
        <v>0.20174333228533195</v>
      </c>
      <c r="C1144" s="738" t="s">
        <v>2018</v>
      </c>
      <c r="D1144" s="752">
        <f>'[1]PLAN DE DESARROLLO 2024 - 2027'!$M$143</f>
        <v>9.5123946428571443E-2</v>
      </c>
      <c r="E1144" s="738" t="s">
        <v>2062</v>
      </c>
      <c r="F1144" s="748">
        <f>[2]Hoja1!$B$150</f>
        <v>0.1180532142857143</v>
      </c>
      <c r="G1144" s="738" t="s">
        <v>872</v>
      </c>
      <c r="H1144" s="738" t="s">
        <v>1324</v>
      </c>
      <c r="I1144" s="738"/>
      <c r="J1144" s="738" t="s">
        <v>2065</v>
      </c>
      <c r="K1144" s="749" t="s">
        <v>2256</v>
      </c>
    </row>
    <row r="1145" spans="1:11" s="734" customFormat="1" ht="57.6" x14ac:dyDescent="0.3">
      <c r="A1145" s="738" t="s">
        <v>2017</v>
      </c>
      <c r="B1145" s="750">
        <f>'[1]PLAN DE DESARROLLO 2024 - 2027'!$M$123</f>
        <v>0.20174333228533195</v>
      </c>
      <c r="C1145" s="738" t="s">
        <v>2018</v>
      </c>
      <c r="D1145" s="752">
        <f>'[1]PLAN DE DESARROLLO 2024 - 2027'!$M$143</f>
        <v>9.5123946428571443E-2</v>
      </c>
      <c r="E1145" s="738" t="s">
        <v>2062</v>
      </c>
      <c r="F1145" s="748">
        <f>[2]Hoja1!$B$150</f>
        <v>0.1180532142857143</v>
      </c>
      <c r="G1145" s="738" t="s">
        <v>874</v>
      </c>
      <c r="H1145" s="738" t="s">
        <v>1325</v>
      </c>
      <c r="I1145" s="738"/>
      <c r="J1145" s="738" t="s">
        <v>2066</v>
      </c>
      <c r="K1145" s="749" t="s">
        <v>2256</v>
      </c>
    </row>
    <row r="1146" spans="1:11" s="734" customFormat="1" ht="28.8" x14ac:dyDescent="0.3">
      <c r="A1146" s="738" t="s">
        <v>2017</v>
      </c>
      <c r="B1146" s="750">
        <f>'[1]PLAN DE DESARROLLO 2024 - 2027'!$M$123</f>
        <v>0.20174333228533195</v>
      </c>
      <c r="C1146" s="738" t="s">
        <v>2018</v>
      </c>
      <c r="D1146" s="752">
        <f>'[1]PLAN DE DESARROLLO 2024 - 2027'!$M$143</f>
        <v>9.5123946428571443E-2</v>
      </c>
      <c r="E1146" s="738" t="s">
        <v>2062</v>
      </c>
      <c r="F1146" s="748">
        <f>[2]Hoja1!$B$150</f>
        <v>0.1180532142857143</v>
      </c>
      <c r="G1146" s="738" t="s">
        <v>876</v>
      </c>
      <c r="H1146" s="738" t="s">
        <v>1326</v>
      </c>
      <c r="I1146" s="738"/>
      <c r="J1146" s="738" t="s">
        <v>516</v>
      </c>
      <c r="K1146" s="749" t="s">
        <v>2256</v>
      </c>
    </row>
    <row r="1147" spans="1:11" s="734" customFormat="1" ht="28.8" x14ac:dyDescent="0.3">
      <c r="A1147" s="738" t="s">
        <v>2017</v>
      </c>
      <c r="B1147" s="750">
        <f>'[1]PLAN DE DESARROLLO 2024 - 2027'!$M$123</f>
        <v>0.20174333228533195</v>
      </c>
      <c r="C1147" s="738" t="s">
        <v>2044</v>
      </c>
      <c r="D1147" s="747">
        <f>'[1]PLAN DE DESARROLLO 2024 - 2027'!$M$127</f>
        <v>0.32068750000000001</v>
      </c>
      <c r="E1147" s="738" t="s">
        <v>2046</v>
      </c>
      <c r="F1147" s="748">
        <f>[2]Hoja1!$B$22</f>
        <v>0.15775</v>
      </c>
      <c r="G1147" s="738" t="s">
        <v>827</v>
      </c>
      <c r="H1147" s="738" t="s">
        <v>1286</v>
      </c>
      <c r="I1147" s="738"/>
      <c r="J1147" s="738" t="s">
        <v>560</v>
      </c>
      <c r="K1147" s="749" t="s">
        <v>2256</v>
      </c>
    </row>
    <row r="1148" spans="1:11" s="734" customFormat="1" ht="28.8" x14ac:dyDescent="0.3">
      <c r="A1148" s="738" t="s">
        <v>1993</v>
      </c>
      <c r="B1148" s="750">
        <f>'[1]PLAN DE DESARROLLO 2024 - 2027'!$M$198</f>
        <v>3.4556250000000004E-2</v>
      </c>
      <c r="C1148" s="738" t="s">
        <v>1997</v>
      </c>
      <c r="D1148" s="752">
        <f>'[1]PLAN DE DESARROLLO 2024 - 2027'!$M$203</f>
        <v>3.0624999999999999E-2</v>
      </c>
      <c r="E1148" s="738" t="s">
        <v>1841</v>
      </c>
      <c r="F1148" s="748">
        <f>[2]Hoja1!$B$112</f>
        <v>5.2499999999999998E-2</v>
      </c>
      <c r="G1148" s="738" t="s">
        <v>1142</v>
      </c>
      <c r="H1148" s="738" t="s">
        <v>1143</v>
      </c>
      <c r="I1148" s="738"/>
      <c r="J1148" s="738" t="s">
        <v>58</v>
      </c>
      <c r="K1148" s="749" t="s">
        <v>2256</v>
      </c>
    </row>
    <row r="1149" spans="1:11" s="734" customFormat="1" ht="28.8" x14ac:dyDescent="0.3">
      <c r="A1149" s="738" t="s">
        <v>1993</v>
      </c>
      <c r="B1149" s="750">
        <f>'[1]PLAN DE DESARROLLO 2024 - 2027'!$M$198</f>
        <v>3.4556250000000004E-2</v>
      </c>
      <c r="C1149" s="738" t="s">
        <v>1997</v>
      </c>
      <c r="D1149" s="752">
        <f>'[1]PLAN DE DESARROLLO 2024 - 2027'!$M$203</f>
        <v>3.0624999999999999E-2</v>
      </c>
      <c r="E1149" s="738" t="s">
        <v>1841</v>
      </c>
      <c r="F1149" s="748">
        <f>[2]Hoja1!$B$112</f>
        <v>5.2499999999999998E-2</v>
      </c>
      <c r="G1149" s="738" t="s">
        <v>1144</v>
      </c>
      <c r="H1149" s="738" t="s">
        <v>1145</v>
      </c>
      <c r="I1149" s="738"/>
      <c r="J1149" s="738" t="s">
        <v>297</v>
      </c>
      <c r="K1149" s="749" t="s">
        <v>2256</v>
      </c>
    </row>
    <row r="1150" spans="1:11" s="734" customFormat="1" ht="43.2" x14ac:dyDescent="0.3">
      <c r="A1150" s="738" t="s">
        <v>1993</v>
      </c>
      <c r="B1150" s="750">
        <f>'[1]PLAN DE DESARROLLO 2024 - 2027'!$M$198</f>
        <v>3.4556250000000004E-2</v>
      </c>
      <c r="C1150" s="738" t="s">
        <v>1997</v>
      </c>
      <c r="D1150" s="752">
        <f>'[1]PLAN DE DESARROLLO 2024 - 2027'!$M$203</f>
        <v>3.0624999999999999E-2</v>
      </c>
      <c r="E1150" s="738" t="s">
        <v>1841</v>
      </c>
      <c r="F1150" s="748">
        <f>[2]Hoja1!$B$112</f>
        <v>5.2499999999999998E-2</v>
      </c>
      <c r="G1150" s="738" t="s">
        <v>1147</v>
      </c>
      <c r="H1150" s="738" t="s">
        <v>1148</v>
      </c>
      <c r="I1150" s="738"/>
      <c r="J1150" s="738" t="s">
        <v>516</v>
      </c>
      <c r="K1150" s="749" t="s">
        <v>2256</v>
      </c>
    </row>
    <row r="1151" spans="1:11" s="734" customFormat="1" ht="28.8" x14ac:dyDescent="0.3">
      <c r="A1151" s="738" t="s">
        <v>1993</v>
      </c>
      <c r="B1151" s="750">
        <f>'[1]PLAN DE DESARROLLO 2024 - 2027'!$M$198</f>
        <v>3.4556250000000004E-2</v>
      </c>
      <c r="C1151" s="738" t="s">
        <v>1997</v>
      </c>
      <c r="D1151" s="752">
        <f>'[1]PLAN DE DESARROLLO 2024 - 2027'!$M$203</f>
        <v>3.0624999999999999E-2</v>
      </c>
      <c r="E1151" s="738" t="s">
        <v>1841</v>
      </c>
      <c r="F1151" s="748">
        <f>[2]Hoja1!$B$112</f>
        <v>5.2499999999999998E-2</v>
      </c>
      <c r="G1151" s="738" t="s">
        <v>1149</v>
      </c>
      <c r="H1151" s="738" t="s">
        <v>1150</v>
      </c>
      <c r="I1151" s="738"/>
      <c r="J1151" s="738" t="s">
        <v>1151</v>
      </c>
      <c r="K1151" s="749" t="s">
        <v>2256</v>
      </c>
    </row>
    <row r="1152" spans="1:11" s="734" customFormat="1" ht="28.8" x14ac:dyDescent="0.3">
      <c r="A1152" s="738" t="s">
        <v>1993</v>
      </c>
      <c r="B1152" s="750">
        <f>'[1]PLAN DE DESARROLLO 2024 - 2027'!$M$198</f>
        <v>3.4556250000000004E-2</v>
      </c>
      <c r="C1152" s="738" t="s">
        <v>1997</v>
      </c>
      <c r="D1152" s="752">
        <f>'[1]PLAN DE DESARROLLO 2024 - 2027'!$M$203</f>
        <v>3.0624999999999999E-2</v>
      </c>
      <c r="E1152" s="738" t="s">
        <v>1841</v>
      </c>
      <c r="F1152" s="748">
        <f>[2]Hoja1!$B$112</f>
        <v>5.2499999999999998E-2</v>
      </c>
      <c r="G1152" s="738" t="s">
        <v>1152</v>
      </c>
      <c r="H1152" s="738" t="s">
        <v>1153</v>
      </c>
      <c r="I1152" s="738"/>
      <c r="J1152" s="738" t="s">
        <v>1151</v>
      </c>
      <c r="K1152" s="749" t="s">
        <v>2256</v>
      </c>
    </row>
    <row r="1153" spans="1:11" s="734" customFormat="1" ht="28.8" x14ac:dyDescent="0.3">
      <c r="A1153" s="738" t="s">
        <v>2017</v>
      </c>
      <c r="B1153" s="750">
        <f>'[1]PLAN DE DESARROLLO 2024 - 2027'!$M$123</f>
        <v>0.20174333228533195</v>
      </c>
      <c r="C1153" s="738" t="s">
        <v>2044</v>
      </c>
      <c r="D1153" s="747">
        <f>'[1]PLAN DE DESARROLLO 2024 - 2027'!$M$127</f>
        <v>0.32068750000000001</v>
      </c>
      <c r="E1153" s="738" t="s">
        <v>2046</v>
      </c>
      <c r="F1153" s="748">
        <f>[2]Hoja1!$B$22</f>
        <v>0.15775</v>
      </c>
      <c r="G1153" s="738" t="s">
        <v>828</v>
      </c>
      <c r="H1153" s="738" t="s">
        <v>1287</v>
      </c>
      <c r="I1153" s="738"/>
      <c r="J1153" s="738" t="s">
        <v>560</v>
      </c>
      <c r="K1153" s="749" t="s">
        <v>2256</v>
      </c>
    </row>
    <row r="1154" spans="1:11" s="734" customFormat="1" x14ac:dyDescent="0.3">
      <c r="A1154" s="738" t="s">
        <v>2197</v>
      </c>
      <c r="B1154" s="746">
        <f>'[1]PLAN DE DESARROLLO 2024 - 2027'!$M$46</f>
        <v>0.25251661967012345</v>
      </c>
      <c r="C1154" s="738" t="s">
        <v>2198</v>
      </c>
      <c r="D1154" s="747">
        <f>'[1]PLAN DE DESARROLLO 2024 - 2027'!$M$47</f>
        <v>0.26592582694462413</v>
      </c>
      <c r="E1154" s="738" t="s">
        <v>1653</v>
      </c>
      <c r="F1154" s="748">
        <f>[2]Hoja1!$B$114</f>
        <v>0</v>
      </c>
      <c r="G1154" s="738" t="s">
        <v>476</v>
      </c>
      <c r="H1154" s="738" t="s">
        <v>477</v>
      </c>
      <c r="I1154" s="738"/>
      <c r="J1154" s="738" t="s">
        <v>2200</v>
      </c>
      <c r="K1154" s="749" t="s">
        <v>2256</v>
      </c>
    </row>
    <row r="1155" spans="1:11" s="734" customFormat="1" ht="28.8" x14ac:dyDescent="0.3">
      <c r="A1155" s="738" t="s">
        <v>2197</v>
      </c>
      <c r="B1155" s="746">
        <f>'[1]PLAN DE DESARROLLO 2024 - 2027'!$M$46</f>
        <v>0.25251661967012345</v>
      </c>
      <c r="C1155" s="738" t="s">
        <v>2198</v>
      </c>
      <c r="D1155" s="747">
        <f>'[1]PLAN DE DESARROLLO 2024 - 2027'!$M$47</f>
        <v>0.26592582694462413</v>
      </c>
      <c r="E1155" s="738" t="s">
        <v>1653</v>
      </c>
      <c r="F1155" s="748">
        <f>[2]Hoja1!$B$114</f>
        <v>0</v>
      </c>
      <c r="G1155" s="738" t="s">
        <v>478</v>
      </c>
      <c r="H1155" s="738" t="s">
        <v>479</v>
      </c>
      <c r="I1155" s="738"/>
      <c r="J1155" s="738" t="s">
        <v>2200</v>
      </c>
      <c r="K1155" s="749" t="s">
        <v>2256</v>
      </c>
    </row>
    <row r="1156" spans="1:11" s="734" customFormat="1" ht="28.8" x14ac:dyDescent="0.3">
      <c r="A1156" s="738" t="s">
        <v>2197</v>
      </c>
      <c r="B1156" s="746">
        <f>'[1]PLAN DE DESARROLLO 2024 - 2027'!$M$46</f>
        <v>0.25251661967012345</v>
      </c>
      <c r="C1156" s="738" t="s">
        <v>2198</v>
      </c>
      <c r="D1156" s="747">
        <f>'[1]PLAN DE DESARROLLO 2024 - 2027'!$M$47</f>
        <v>0.26592582694462413</v>
      </c>
      <c r="E1156" s="738" t="s">
        <v>1653</v>
      </c>
      <c r="F1156" s="748">
        <f>[2]Hoja1!$B$114</f>
        <v>0</v>
      </c>
      <c r="G1156" s="738" t="s">
        <v>480</v>
      </c>
      <c r="H1156" s="738" t="s">
        <v>481</v>
      </c>
      <c r="I1156" s="738"/>
      <c r="J1156" s="738" t="s">
        <v>2200</v>
      </c>
      <c r="K1156" s="749" t="s">
        <v>2256</v>
      </c>
    </row>
    <row r="1157" spans="1:11" s="734" customFormat="1" x14ac:dyDescent="0.3">
      <c r="A1157" s="738" t="s">
        <v>2197</v>
      </c>
      <c r="B1157" s="746">
        <f>'[1]PLAN DE DESARROLLO 2024 - 2027'!$M$46</f>
        <v>0.25251661967012345</v>
      </c>
      <c r="C1157" s="738" t="s">
        <v>2198</v>
      </c>
      <c r="D1157" s="747">
        <f>'[1]PLAN DE DESARROLLO 2024 - 2027'!$M$47</f>
        <v>0.26592582694462413</v>
      </c>
      <c r="E1157" s="738" t="s">
        <v>1653</v>
      </c>
      <c r="F1157" s="748">
        <f>[2]Hoja1!$B$114</f>
        <v>0</v>
      </c>
      <c r="G1157" s="738" t="s">
        <v>482</v>
      </c>
      <c r="H1157" s="738" t="s">
        <v>483</v>
      </c>
      <c r="I1157" s="738"/>
      <c r="J1157" s="738" t="s">
        <v>2200</v>
      </c>
      <c r="K1157" s="749" t="s">
        <v>2256</v>
      </c>
    </row>
    <row r="1158" spans="1:11" s="734" customFormat="1" x14ac:dyDescent="0.3">
      <c r="A1158" s="738" t="s">
        <v>2197</v>
      </c>
      <c r="B1158" s="746">
        <f>'[1]PLAN DE DESARROLLO 2024 - 2027'!$M$46</f>
        <v>0.25251661967012345</v>
      </c>
      <c r="C1158" s="738" t="s">
        <v>2198</v>
      </c>
      <c r="D1158" s="747">
        <f>'[1]PLAN DE DESARROLLO 2024 - 2027'!$M$47</f>
        <v>0.26592582694462413</v>
      </c>
      <c r="E1158" s="738" t="s">
        <v>1653</v>
      </c>
      <c r="F1158" s="748">
        <f>[2]Hoja1!$B$114</f>
        <v>0</v>
      </c>
      <c r="G1158" s="738" t="s">
        <v>484</v>
      </c>
      <c r="H1158" s="738" t="s">
        <v>485</v>
      </c>
      <c r="I1158" s="738"/>
      <c r="J1158" s="738" t="s">
        <v>2200</v>
      </c>
      <c r="K1158" s="749" t="s">
        <v>2256</v>
      </c>
    </row>
    <row r="1159" spans="1:11" s="734" customFormat="1" x14ac:dyDescent="0.3">
      <c r="A1159" s="738" t="s">
        <v>2197</v>
      </c>
      <c r="B1159" s="746">
        <f>'[1]PLAN DE DESARROLLO 2024 - 2027'!$M$46</f>
        <v>0.25251661967012345</v>
      </c>
      <c r="C1159" s="738" t="s">
        <v>2198</v>
      </c>
      <c r="D1159" s="747">
        <f>'[1]PLAN DE DESARROLLO 2024 - 2027'!$M$47</f>
        <v>0.26592582694462413</v>
      </c>
      <c r="E1159" s="738" t="s">
        <v>1653</v>
      </c>
      <c r="F1159" s="748">
        <f>[2]Hoja1!$B$114</f>
        <v>0</v>
      </c>
      <c r="G1159" s="738" t="s">
        <v>486</v>
      </c>
      <c r="H1159" s="738" t="s">
        <v>487</v>
      </c>
      <c r="I1159" s="738"/>
      <c r="J1159" s="738" t="s">
        <v>2200</v>
      </c>
      <c r="K1159" s="749" t="s">
        <v>2256</v>
      </c>
    </row>
    <row r="1160" spans="1:11" s="734" customFormat="1" ht="43.2" x14ac:dyDescent="0.3">
      <c r="A1160" s="738" t="s">
        <v>2197</v>
      </c>
      <c r="B1160" s="746">
        <f>'[1]PLAN DE DESARROLLO 2024 - 2027'!$M$46</f>
        <v>0.25251661967012345</v>
      </c>
      <c r="C1160" s="738" t="s">
        <v>2198</v>
      </c>
      <c r="D1160" s="747">
        <f>'[1]PLAN DE DESARROLLO 2024 - 2027'!$M$47</f>
        <v>0.26592582694462413</v>
      </c>
      <c r="E1160" s="738" t="s">
        <v>1651</v>
      </c>
      <c r="F1160" s="748">
        <f>[2]Hoja1!$B$159</f>
        <v>0.15592630718954248</v>
      </c>
      <c r="G1160" s="738" t="s">
        <v>2219</v>
      </c>
      <c r="H1160" s="738" t="s">
        <v>2220</v>
      </c>
      <c r="I1160" s="738"/>
      <c r="J1160" s="738" t="s">
        <v>2199</v>
      </c>
      <c r="K1160" s="749" t="s">
        <v>2256</v>
      </c>
    </row>
    <row r="1161" spans="1:11" s="734" customFormat="1" ht="28.8" x14ac:dyDescent="0.3">
      <c r="A1161" s="738" t="s">
        <v>2017</v>
      </c>
      <c r="B1161" s="750">
        <f>'[1]PLAN DE DESARROLLO 2024 - 2027'!$M$123</f>
        <v>0.20174333228533195</v>
      </c>
      <c r="C1161" s="738" t="s">
        <v>2044</v>
      </c>
      <c r="D1161" s="747">
        <f>'[1]PLAN DE DESARROLLO 2024 - 2027'!$M$127</f>
        <v>0.32068750000000001</v>
      </c>
      <c r="E1161" s="738" t="s">
        <v>2046</v>
      </c>
      <c r="F1161" s="748">
        <f>[2]Hoja1!$B$22</f>
        <v>0.15775</v>
      </c>
      <c r="G1161" s="738" t="s">
        <v>829</v>
      </c>
      <c r="H1161" s="738" t="s">
        <v>1288</v>
      </c>
      <c r="I1161" s="738"/>
      <c r="J1161" s="738" t="s">
        <v>560</v>
      </c>
      <c r="K1161" s="749" t="s">
        <v>2256</v>
      </c>
    </row>
    <row r="1162" spans="1:11" s="734" customFormat="1" ht="28.8" x14ac:dyDescent="0.3">
      <c r="A1162" s="738" t="s">
        <v>2017</v>
      </c>
      <c r="B1162" s="750">
        <f>'[1]PLAN DE DESARROLLO 2024 - 2027'!$M$123</f>
        <v>0.20174333228533195</v>
      </c>
      <c r="C1162" s="738" t="s">
        <v>2044</v>
      </c>
      <c r="D1162" s="747">
        <f>'[1]PLAN DE DESARROLLO 2024 - 2027'!$M$127</f>
        <v>0.32068750000000001</v>
      </c>
      <c r="E1162" s="738" t="s">
        <v>2045</v>
      </c>
      <c r="F1162" s="748">
        <f>[2]Hoja1!$B$133</f>
        <v>0.375</v>
      </c>
      <c r="G1162" s="738" t="s">
        <v>821</v>
      </c>
      <c r="H1162" s="738" t="s">
        <v>1281</v>
      </c>
      <c r="I1162" s="738"/>
      <c r="J1162" s="738" t="s">
        <v>560</v>
      </c>
      <c r="K1162" s="749" t="s">
        <v>2256</v>
      </c>
    </row>
    <row r="1163" spans="1:11" s="734" customFormat="1" ht="43.2" x14ac:dyDescent="0.3">
      <c r="A1163" s="738" t="s">
        <v>2110</v>
      </c>
      <c r="B1163" s="750">
        <f>'[1]PLAN DE DESARROLLO 2024 - 2027'!$M$161</f>
        <v>0.24647581985093744</v>
      </c>
      <c r="C1163" s="738" t="s">
        <v>2118</v>
      </c>
      <c r="D1163" s="747">
        <f>'[1]PLAN DE DESARROLLO 2024 - 2027'!$M$184</f>
        <v>0.18265127235728812</v>
      </c>
      <c r="E1163" s="738" t="s">
        <v>2130</v>
      </c>
      <c r="F1163" s="748">
        <f>[2]Hoja1!$B$116</f>
        <v>0.382994593493032</v>
      </c>
      <c r="G1163" s="738" t="s">
        <v>1011</v>
      </c>
      <c r="H1163" s="738" t="s">
        <v>1211</v>
      </c>
      <c r="I1163" s="738"/>
      <c r="J1163" s="738" t="s">
        <v>1012</v>
      </c>
      <c r="K1163" s="749" t="s">
        <v>2256</v>
      </c>
    </row>
    <row r="1164" spans="1:11" s="734" customFormat="1" ht="43.2" x14ac:dyDescent="0.3">
      <c r="A1164" s="738" t="s">
        <v>2110</v>
      </c>
      <c r="B1164" s="750">
        <f>'[1]PLAN DE DESARROLLO 2024 - 2027'!$M$161</f>
        <v>0.24647581985093744</v>
      </c>
      <c r="C1164" s="738" t="s">
        <v>2118</v>
      </c>
      <c r="D1164" s="747">
        <f>'[1]PLAN DE DESARROLLO 2024 - 2027'!$M$184</f>
        <v>0.18265127235728812</v>
      </c>
      <c r="E1164" s="738" t="s">
        <v>2130</v>
      </c>
      <c r="F1164" s="748">
        <f>[2]Hoja1!$B$116</f>
        <v>0.382994593493032</v>
      </c>
      <c r="G1164" s="738" t="s">
        <v>1013</v>
      </c>
      <c r="H1164" s="738" t="s">
        <v>1212</v>
      </c>
      <c r="I1164" s="738"/>
      <c r="J1164" s="738" t="s">
        <v>1012</v>
      </c>
      <c r="K1164" s="749" t="s">
        <v>2256</v>
      </c>
    </row>
    <row r="1165" spans="1:11" s="734" customFormat="1" ht="28.8" x14ac:dyDescent="0.3">
      <c r="A1165" s="738" t="s">
        <v>2110</v>
      </c>
      <c r="B1165" s="750">
        <f>'[1]PLAN DE DESARROLLO 2024 - 2027'!$M$161</f>
        <v>0.24647581985093744</v>
      </c>
      <c r="C1165" s="738" t="s">
        <v>2118</v>
      </c>
      <c r="D1165" s="747">
        <f>'[1]PLAN DE DESARROLLO 2024 - 2027'!$M$184</f>
        <v>0.18265127235728812</v>
      </c>
      <c r="E1165" s="738" t="s">
        <v>2130</v>
      </c>
      <c r="F1165" s="748">
        <f>[2]Hoja1!$B$116</f>
        <v>0.382994593493032</v>
      </c>
      <c r="G1165" s="738" t="s">
        <v>1014</v>
      </c>
      <c r="H1165" s="738" t="s">
        <v>1213</v>
      </c>
      <c r="I1165" s="738"/>
      <c r="J1165" s="738" t="s">
        <v>1012</v>
      </c>
      <c r="K1165" s="749" t="s">
        <v>2256</v>
      </c>
    </row>
    <row r="1166" spans="1:11" s="734" customFormat="1" ht="28.8" x14ac:dyDescent="0.3">
      <c r="A1166" s="738" t="s">
        <v>2110</v>
      </c>
      <c r="B1166" s="750">
        <f>'[1]PLAN DE DESARROLLO 2024 - 2027'!$M$161</f>
        <v>0.24647581985093744</v>
      </c>
      <c r="C1166" s="738" t="s">
        <v>2118</v>
      </c>
      <c r="D1166" s="747">
        <f>'[1]PLAN DE DESARROLLO 2024 - 2027'!$M$184</f>
        <v>0.18265127235728812</v>
      </c>
      <c r="E1166" s="738" t="s">
        <v>2130</v>
      </c>
      <c r="F1166" s="748">
        <f>[2]Hoja1!$B$116</f>
        <v>0.382994593493032</v>
      </c>
      <c r="G1166" s="738" t="s">
        <v>1015</v>
      </c>
      <c r="H1166" s="738" t="s">
        <v>1214</v>
      </c>
      <c r="I1166" s="738"/>
      <c r="J1166" s="738" t="s">
        <v>1012</v>
      </c>
      <c r="K1166" s="749" t="s">
        <v>2256</v>
      </c>
    </row>
    <row r="1167" spans="1:11" s="734" customFormat="1" ht="43.2" x14ac:dyDescent="0.3">
      <c r="A1167" s="738" t="s">
        <v>2110</v>
      </c>
      <c r="B1167" s="750">
        <f>'[1]PLAN DE DESARROLLO 2024 - 2027'!$M$161</f>
        <v>0.24647581985093744</v>
      </c>
      <c r="C1167" s="738" t="s">
        <v>2118</v>
      </c>
      <c r="D1167" s="747">
        <f>'[1]PLAN DE DESARROLLO 2024 - 2027'!$M$184</f>
        <v>0.18265127235728812</v>
      </c>
      <c r="E1167" s="738" t="s">
        <v>2130</v>
      </c>
      <c r="F1167" s="748">
        <f>[2]Hoja1!$B$116</f>
        <v>0.382994593493032</v>
      </c>
      <c r="G1167" s="738" t="s">
        <v>1016</v>
      </c>
      <c r="H1167" s="738" t="s">
        <v>1215</v>
      </c>
      <c r="I1167" s="738"/>
      <c r="J1167" s="738" t="s">
        <v>1012</v>
      </c>
      <c r="K1167" s="749" t="s">
        <v>2256</v>
      </c>
    </row>
    <row r="1168" spans="1:11" s="734" customFormat="1" ht="43.2" x14ac:dyDescent="0.3">
      <c r="A1168" s="738" t="s">
        <v>2110</v>
      </c>
      <c r="B1168" s="750">
        <f>'[1]PLAN DE DESARROLLO 2024 - 2027'!$M$161</f>
        <v>0.24647581985093744</v>
      </c>
      <c r="C1168" s="738" t="s">
        <v>2118</v>
      </c>
      <c r="D1168" s="747">
        <f>'[1]PLAN DE DESARROLLO 2024 - 2027'!$M$184</f>
        <v>0.18265127235728812</v>
      </c>
      <c r="E1168" s="738" t="s">
        <v>2130</v>
      </c>
      <c r="F1168" s="748">
        <f>[2]Hoja1!$B$116</f>
        <v>0.382994593493032</v>
      </c>
      <c r="G1168" s="738" t="s">
        <v>1017</v>
      </c>
      <c r="H1168" s="738" t="s">
        <v>1216</v>
      </c>
      <c r="I1168" s="738"/>
      <c r="J1168" s="738" t="s">
        <v>1012</v>
      </c>
      <c r="K1168" s="749" t="s">
        <v>2256</v>
      </c>
    </row>
    <row r="1169" spans="1:11" s="734" customFormat="1" ht="28.8" x14ac:dyDescent="0.3">
      <c r="A1169" s="738" t="s">
        <v>2110</v>
      </c>
      <c r="B1169" s="750">
        <f>'[1]PLAN DE DESARROLLO 2024 - 2027'!$M$161</f>
        <v>0.24647581985093744</v>
      </c>
      <c r="C1169" s="738" t="s">
        <v>2118</v>
      </c>
      <c r="D1169" s="747">
        <f>'[1]PLAN DE DESARROLLO 2024 - 2027'!$M$184</f>
        <v>0.18265127235728812</v>
      </c>
      <c r="E1169" s="738" t="s">
        <v>2131</v>
      </c>
      <c r="F1169" s="748">
        <f>[2]Hoja1!$B$117</f>
        <v>0.14799999999999999</v>
      </c>
      <c r="G1169" s="738" t="s">
        <v>1018</v>
      </c>
      <c r="H1169" s="738" t="s">
        <v>1217</v>
      </c>
      <c r="I1169" s="738"/>
      <c r="J1169" s="738" t="s">
        <v>1012</v>
      </c>
      <c r="K1169" s="749" t="s">
        <v>2256</v>
      </c>
    </row>
    <row r="1170" spans="1:11" s="734" customFormat="1" ht="28.8" x14ac:dyDescent="0.3">
      <c r="A1170" s="738" t="s">
        <v>2110</v>
      </c>
      <c r="B1170" s="750">
        <f>'[1]PLAN DE DESARROLLO 2024 - 2027'!$M$161</f>
        <v>0.24647581985093744</v>
      </c>
      <c r="C1170" s="738" t="s">
        <v>2118</v>
      </c>
      <c r="D1170" s="747">
        <f>'[1]PLAN DE DESARROLLO 2024 - 2027'!$M$184</f>
        <v>0.18265127235728812</v>
      </c>
      <c r="E1170" s="738" t="s">
        <v>2131</v>
      </c>
      <c r="F1170" s="748">
        <f>[2]Hoja1!$B$117</f>
        <v>0.14799999999999999</v>
      </c>
      <c r="G1170" s="738" t="s">
        <v>1019</v>
      </c>
      <c r="H1170" s="738" t="s">
        <v>1218</v>
      </c>
      <c r="I1170" s="738"/>
      <c r="J1170" s="738" t="s">
        <v>1012</v>
      </c>
      <c r="K1170" s="749" t="s">
        <v>2256</v>
      </c>
    </row>
    <row r="1171" spans="1:11" s="734" customFormat="1" ht="28.8" x14ac:dyDescent="0.3">
      <c r="A1171" s="738" t="s">
        <v>2110</v>
      </c>
      <c r="B1171" s="750">
        <f>'[1]PLAN DE DESARROLLO 2024 - 2027'!$M$161</f>
        <v>0.24647581985093744</v>
      </c>
      <c r="C1171" s="738" t="s">
        <v>2118</v>
      </c>
      <c r="D1171" s="747">
        <f>'[1]PLAN DE DESARROLLO 2024 - 2027'!$M$184</f>
        <v>0.18265127235728812</v>
      </c>
      <c r="E1171" s="738" t="s">
        <v>2131</v>
      </c>
      <c r="F1171" s="748">
        <f>[2]Hoja1!$B$117</f>
        <v>0.14799999999999999</v>
      </c>
      <c r="G1171" s="738" t="s">
        <v>1020</v>
      </c>
      <c r="H1171" s="738" t="s">
        <v>1219</v>
      </c>
      <c r="I1171" s="738"/>
      <c r="J1171" s="738" t="s">
        <v>1012</v>
      </c>
      <c r="K1171" s="749" t="s">
        <v>2256</v>
      </c>
    </row>
    <row r="1172" spans="1:11" s="734" customFormat="1" ht="28.8" x14ac:dyDescent="0.3">
      <c r="A1172" s="738" t="s">
        <v>2110</v>
      </c>
      <c r="B1172" s="750">
        <f>'[1]PLAN DE DESARROLLO 2024 - 2027'!$M$161</f>
        <v>0.24647581985093744</v>
      </c>
      <c r="C1172" s="738" t="s">
        <v>2118</v>
      </c>
      <c r="D1172" s="747">
        <f>'[1]PLAN DE DESARROLLO 2024 - 2027'!$M$184</f>
        <v>0.18265127235728812</v>
      </c>
      <c r="E1172" s="738" t="s">
        <v>2131</v>
      </c>
      <c r="F1172" s="748">
        <f>[2]Hoja1!$B$117</f>
        <v>0.14799999999999999</v>
      </c>
      <c r="G1172" s="738" t="s">
        <v>1021</v>
      </c>
      <c r="H1172" s="738" t="s">
        <v>1220</v>
      </c>
      <c r="I1172" s="738"/>
      <c r="J1172" s="738" t="s">
        <v>1012</v>
      </c>
      <c r="K1172" s="749" t="s">
        <v>2256</v>
      </c>
    </row>
    <row r="1173" spans="1:11" s="734" customFormat="1" ht="43.2" x14ac:dyDescent="0.3">
      <c r="A1173" s="738" t="s">
        <v>2110</v>
      </c>
      <c r="B1173" s="750">
        <f>'[1]PLAN DE DESARROLLO 2024 - 2027'!$M$161</f>
        <v>0.24647581985093744</v>
      </c>
      <c r="C1173" s="738" t="s">
        <v>2118</v>
      </c>
      <c r="D1173" s="747">
        <f>'[1]PLAN DE DESARROLLO 2024 - 2027'!$M$184</f>
        <v>0.18265127235728812</v>
      </c>
      <c r="E1173" s="738" t="s">
        <v>2131</v>
      </c>
      <c r="F1173" s="748">
        <f>[2]Hoja1!$B$117</f>
        <v>0.14799999999999999</v>
      </c>
      <c r="G1173" s="738" t="s">
        <v>1022</v>
      </c>
      <c r="H1173" s="738" t="s">
        <v>1221</v>
      </c>
      <c r="I1173" s="738"/>
      <c r="J1173" s="738" t="s">
        <v>1012</v>
      </c>
      <c r="K1173" s="749" t="s">
        <v>2256</v>
      </c>
    </row>
    <row r="1174" spans="1:11" s="734" customFormat="1" ht="43.2" x14ac:dyDescent="0.3">
      <c r="A1174" s="738" t="s">
        <v>2110</v>
      </c>
      <c r="B1174" s="750">
        <f>'[1]PLAN DE DESARROLLO 2024 - 2027'!$M$161</f>
        <v>0.24647581985093744</v>
      </c>
      <c r="C1174" s="738" t="s">
        <v>2118</v>
      </c>
      <c r="D1174" s="747">
        <f>'[1]PLAN DE DESARROLLO 2024 - 2027'!$M$184</f>
        <v>0.18265127235728812</v>
      </c>
      <c r="E1174" s="738" t="s">
        <v>2131</v>
      </c>
      <c r="F1174" s="748">
        <f>[2]Hoja1!$B$117</f>
        <v>0.14799999999999999</v>
      </c>
      <c r="G1174" s="738" t="s">
        <v>1023</v>
      </c>
      <c r="H1174" s="738" t="s">
        <v>1222</v>
      </c>
      <c r="I1174" s="738"/>
      <c r="J1174" s="738" t="s">
        <v>1012</v>
      </c>
      <c r="K1174" s="749" t="s">
        <v>2256</v>
      </c>
    </row>
    <row r="1175" spans="1:11" s="734" customFormat="1" ht="28.8" x14ac:dyDescent="0.3">
      <c r="A1175" s="738" t="s">
        <v>2110</v>
      </c>
      <c r="B1175" s="750">
        <f>'[1]PLAN DE DESARROLLO 2024 - 2027'!$M$161</f>
        <v>0.24647581985093744</v>
      </c>
      <c r="C1175" s="738" t="s">
        <v>2118</v>
      </c>
      <c r="D1175" s="747">
        <f>'[1]PLAN DE DESARROLLO 2024 - 2027'!$M$184</f>
        <v>0.18265127235728812</v>
      </c>
      <c r="E1175" s="738" t="s">
        <v>1834</v>
      </c>
      <c r="F1175" s="748">
        <f>[2]Hoja1!$B$118</f>
        <v>0.20865</v>
      </c>
      <c r="G1175" s="738" t="s">
        <v>1026</v>
      </c>
      <c r="H1175" s="738" t="s">
        <v>1224</v>
      </c>
      <c r="I1175" s="738"/>
      <c r="J1175" s="738" t="s">
        <v>1012</v>
      </c>
      <c r="K1175" s="749" t="s">
        <v>2256</v>
      </c>
    </row>
    <row r="1176" spans="1:11" s="734" customFormat="1" ht="28.8" x14ac:dyDescent="0.3">
      <c r="A1176" s="738" t="s">
        <v>2110</v>
      </c>
      <c r="B1176" s="750">
        <f>'[1]PLAN DE DESARROLLO 2024 - 2027'!$M$161</f>
        <v>0.24647581985093744</v>
      </c>
      <c r="C1176" s="738" t="s">
        <v>2118</v>
      </c>
      <c r="D1176" s="747">
        <f>'[1]PLAN DE DESARROLLO 2024 - 2027'!$M$184</f>
        <v>0.18265127235728812</v>
      </c>
      <c r="E1176" s="738" t="s">
        <v>1834</v>
      </c>
      <c r="F1176" s="748">
        <f>[2]Hoja1!$B$118</f>
        <v>0.20865</v>
      </c>
      <c r="G1176" s="738" t="s">
        <v>1027</v>
      </c>
      <c r="H1176" s="738" t="s">
        <v>1225</v>
      </c>
      <c r="I1176" s="738"/>
      <c r="J1176" s="738" t="s">
        <v>1012</v>
      </c>
      <c r="K1176" s="749" t="s">
        <v>2256</v>
      </c>
    </row>
    <row r="1177" spans="1:11" s="734" customFormat="1" ht="43.2" x14ac:dyDescent="0.3">
      <c r="A1177" s="738" t="s">
        <v>2110</v>
      </c>
      <c r="B1177" s="750">
        <f>'[1]PLAN DE DESARROLLO 2024 - 2027'!$M$161</f>
        <v>0.24647581985093744</v>
      </c>
      <c r="C1177" s="738" t="s">
        <v>2118</v>
      </c>
      <c r="D1177" s="747">
        <f>'[1]PLAN DE DESARROLLO 2024 - 2027'!$M$184</f>
        <v>0.18265127235728812</v>
      </c>
      <c r="E1177" s="738" t="s">
        <v>1834</v>
      </c>
      <c r="F1177" s="748">
        <f>[2]Hoja1!$B$118</f>
        <v>0.20865</v>
      </c>
      <c r="G1177" s="738" t="s">
        <v>1028</v>
      </c>
      <c r="H1177" s="738" t="s">
        <v>1226</v>
      </c>
      <c r="I1177" s="738"/>
      <c r="J1177" s="738" t="s">
        <v>1012</v>
      </c>
      <c r="K1177" s="749" t="s">
        <v>2256</v>
      </c>
    </row>
    <row r="1178" spans="1:11" s="734" customFormat="1" ht="43.2" x14ac:dyDescent="0.3">
      <c r="A1178" s="738" t="s">
        <v>2110</v>
      </c>
      <c r="B1178" s="750">
        <f>'[1]PLAN DE DESARROLLO 2024 - 2027'!$M$161</f>
        <v>0.24647581985093744</v>
      </c>
      <c r="C1178" s="738" t="s">
        <v>2118</v>
      </c>
      <c r="D1178" s="747">
        <f>'[1]PLAN DE DESARROLLO 2024 - 2027'!$M$184</f>
        <v>0.18265127235728812</v>
      </c>
      <c r="E1178" s="738" t="s">
        <v>1834</v>
      </c>
      <c r="F1178" s="748">
        <f>[2]Hoja1!$B$118</f>
        <v>0.20865</v>
      </c>
      <c r="G1178" s="738" t="s">
        <v>1029</v>
      </c>
      <c r="H1178" s="738" t="s">
        <v>1227</v>
      </c>
      <c r="I1178" s="738"/>
      <c r="J1178" s="738" t="s">
        <v>1012</v>
      </c>
      <c r="K1178" s="749" t="s">
        <v>2256</v>
      </c>
    </row>
    <row r="1179" spans="1:11" s="734" customFormat="1" ht="28.8" x14ac:dyDescent="0.3">
      <c r="A1179" s="738" t="s">
        <v>2110</v>
      </c>
      <c r="B1179" s="750">
        <f>'[1]PLAN DE DESARROLLO 2024 - 2027'!$M$161</f>
        <v>0.24647581985093744</v>
      </c>
      <c r="C1179" s="738" t="s">
        <v>2112</v>
      </c>
      <c r="D1179" s="747">
        <f>'[1]PLAN DE DESARROLLO 2024 - 2027'!$M$166</f>
        <v>0.23451309458253802</v>
      </c>
      <c r="E1179" s="738" t="s">
        <v>1825</v>
      </c>
      <c r="F1179" s="748">
        <f>[2]Hoja1!$B$119</f>
        <v>0.18272496473906913</v>
      </c>
      <c r="G1179" s="738" t="s">
        <v>974</v>
      </c>
      <c r="H1179" s="738" t="s">
        <v>1177</v>
      </c>
      <c r="I1179" s="738"/>
      <c r="J1179" s="738" t="s">
        <v>516</v>
      </c>
      <c r="K1179" s="749" t="s">
        <v>2256</v>
      </c>
    </row>
    <row r="1180" spans="1:11" s="734" customFormat="1" ht="28.8" x14ac:dyDescent="0.3">
      <c r="A1180" s="738" t="s">
        <v>2110</v>
      </c>
      <c r="B1180" s="750">
        <f>'[1]PLAN DE DESARROLLO 2024 - 2027'!$M$161</f>
        <v>0.24647581985093744</v>
      </c>
      <c r="C1180" s="738" t="s">
        <v>2112</v>
      </c>
      <c r="D1180" s="747">
        <f>'[1]PLAN DE DESARROLLO 2024 - 2027'!$M$166</f>
        <v>0.23451309458253802</v>
      </c>
      <c r="E1180" s="738" t="s">
        <v>1825</v>
      </c>
      <c r="F1180" s="748">
        <f>[2]Hoja1!$B$119</f>
        <v>0.18272496473906913</v>
      </c>
      <c r="G1180" s="738" t="s">
        <v>976</v>
      </c>
      <c r="H1180" s="738" t="s">
        <v>1178</v>
      </c>
      <c r="I1180" s="738"/>
      <c r="J1180" s="738" t="s">
        <v>516</v>
      </c>
      <c r="K1180" s="749" t="s">
        <v>2256</v>
      </c>
    </row>
    <row r="1181" spans="1:11" s="734" customFormat="1" ht="28.8" x14ac:dyDescent="0.3">
      <c r="A1181" s="738" t="s">
        <v>2110</v>
      </c>
      <c r="B1181" s="750">
        <f>'[1]PLAN DE DESARROLLO 2024 - 2027'!$M$161</f>
        <v>0.24647581985093744</v>
      </c>
      <c r="C1181" s="738" t="s">
        <v>2112</v>
      </c>
      <c r="D1181" s="747">
        <f>'[1]PLAN DE DESARROLLO 2024 - 2027'!$M$166</f>
        <v>0.23451309458253802</v>
      </c>
      <c r="E1181" s="738" t="s">
        <v>1825</v>
      </c>
      <c r="F1181" s="748">
        <f>[2]Hoja1!$B$119</f>
        <v>0.18272496473906913</v>
      </c>
      <c r="G1181" s="738" t="s">
        <v>977</v>
      </c>
      <c r="H1181" s="738" t="s">
        <v>1179</v>
      </c>
      <c r="I1181" s="738"/>
      <c r="J1181" s="738" t="s">
        <v>516</v>
      </c>
      <c r="K1181" s="749" t="s">
        <v>2256</v>
      </c>
    </row>
    <row r="1182" spans="1:11" s="734" customFormat="1" ht="28.8" x14ac:dyDescent="0.3">
      <c r="A1182" s="738" t="s">
        <v>2017</v>
      </c>
      <c r="B1182" s="750">
        <f>'[1]PLAN DE DESARROLLO 2024 - 2027'!$M$123</f>
        <v>0.20174333228533195</v>
      </c>
      <c r="C1182" s="738" t="s">
        <v>2044</v>
      </c>
      <c r="D1182" s="747">
        <f>'[1]PLAN DE DESARROLLO 2024 - 2027'!$M$127</f>
        <v>0.32068750000000001</v>
      </c>
      <c r="E1182" s="738" t="s">
        <v>2045</v>
      </c>
      <c r="F1182" s="748">
        <f>[2]Hoja1!$B$133</f>
        <v>0.375</v>
      </c>
      <c r="G1182" s="738" t="s">
        <v>822</v>
      </c>
      <c r="H1182" s="738" t="s">
        <v>1282</v>
      </c>
      <c r="I1182" s="738"/>
      <c r="J1182" s="738" t="s">
        <v>560</v>
      </c>
      <c r="K1182" s="749" t="s">
        <v>2256</v>
      </c>
    </row>
    <row r="1183" spans="1:11" s="734" customFormat="1" ht="28.8" x14ac:dyDescent="0.3">
      <c r="A1183" s="738" t="s">
        <v>2017</v>
      </c>
      <c r="B1183" s="750">
        <f>'[1]PLAN DE DESARROLLO 2024 - 2027'!$M$123</f>
        <v>0.20174333228533195</v>
      </c>
      <c r="C1183" s="738" t="s">
        <v>2044</v>
      </c>
      <c r="D1183" s="747">
        <f>'[1]PLAN DE DESARROLLO 2024 - 2027'!$M$127</f>
        <v>0.32068750000000001</v>
      </c>
      <c r="E1183" s="738" t="s">
        <v>2045</v>
      </c>
      <c r="F1183" s="748">
        <f>[2]Hoja1!$B$133</f>
        <v>0.375</v>
      </c>
      <c r="G1183" s="738" t="s">
        <v>823</v>
      </c>
      <c r="H1183" s="738" t="s">
        <v>1283</v>
      </c>
      <c r="I1183" s="738"/>
      <c r="J1183" s="738" t="s">
        <v>560</v>
      </c>
      <c r="K1183" s="749" t="s">
        <v>2256</v>
      </c>
    </row>
    <row r="1184" spans="1:11" s="734" customFormat="1" ht="28.8" x14ac:dyDescent="0.3">
      <c r="A1184" s="738" t="s">
        <v>2017</v>
      </c>
      <c r="B1184" s="750">
        <f>'[1]PLAN DE DESARROLLO 2024 - 2027'!$M$123</f>
        <v>0.20174333228533195</v>
      </c>
      <c r="C1184" s="738" t="s">
        <v>2044</v>
      </c>
      <c r="D1184" s="747">
        <f>'[1]PLAN DE DESARROLLO 2024 - 2027'!$M$127</f>
        <v>0.32068750000000001</v>
      </c>
      <c r="E1184" s="738" t="s">
        <v>2045</v>
      </c>
      <c r="F1184" s="748">
        <f>[2]Hoja1!$B$133</f>
        <v>0.375</v>
      </c>
      <c r="G1184" s="738" t="s">
        <v>824</v>
      </c>
      <c r="H1184" s="738" t="s">
        <v>1284</v>
      </c>
      <c r="I1184" s="738"/>
      <c r="J1184" s="738" t="s">
        <v>825</v>
      </c>
      <c r="K1184" s="749" t="s">
        <v>2256</v>
      </c>
    </row>
    <row r="1185" spans="1:16" s="734" customFormat="1" ht="28.8" x14ac:dyDescent="0.3">
      <c r="A1185" s="738" t="s">
        <v>2017</v>
      </c>
      <c r="B1185" s="750">
        <f>'[1]PLAN DE DESARROLLO 2024 - 2027'!$M$123</f>
        <v>0.20174333228533195</v>
      </c>
      <c r="C1185" s="738" t="s">
        <v>2044</v>
      </c>
      <c r="D1185" s="747">
        <f>'[1]PLAN DE DESARROLLO 2024 - 2027'!$M$127</f>
        <v>0.32068750000000001</v>
      </c>
      <c r="E1185" s="738" t="s">
        <v>2045</v>
      </c>
      <c r="F1185" s="748">
        <f>[2]Hoja1!$B$133</f>
        <v>0.375</v>
      </c>
      <c r="G1185" s="738" t="s">
        <v>826</v>
      </c>
      <c r="H1185" s="738" t="s">
        <v>1285</v>
      </c>
      <c r="I1185" s="738"/>
      <c r="J1185" s="738" t="s">
        <v>560</v>
      </c>
      <c r="K1185" s="749" t="s">
        <v>2256</v>
      </c>
    </row>
    <row r="1186" spans="1:16" s="734" customFormat="1" ht="28.8" x14ac:dyDescent="0.3">
      <c r="A1186" s="738" t="s">
        <v>2017</v>
      </c>
      <c r="B1186" s="750">
        <f>'[1]PLAN DE DESARROLLO 2024 - 2027'!$M$123</f>
        <v>0.20174333228533195</v>
      </c>
      <c r="C1186" s="738" t="s">
        <v>2023</v>
      </c>
      <c r="D1186" s="752">
        <f>'[1]PLAN DE DESARROLLO 2024 - 2027'!$M$147</f>
        <v>0.1413865782697985</v>
      </c>
      <c r="E1186" s="738" t="s">
        <v>2024</v>
      </c>
      <c r="F1186" s="748">
        <f>[2]Hoja1!$B$96</f>
        <v>0</v>
      </c>
      <c r="G1186" s="738" t="s">
        <v>886</v>
      </c>
      <c r="H1186" s="738" t="s">
        <v>1331</v>
      </c>
      <c r="I1186" s="738"/>
      <c r="J1186" s="738" t="s">
        <v>825</v>
      </c>
      <c r="K1186" s="749" t="s">
        <v>2256</v>
      </c>
    </row>
    <row r="1187" spans="1:16" s="734" customFormat="1" ht="28.8" x14ac:dyDescent="0.3">
      <c r="A1187" s="738" t="s">
        <v>2017</v>
      </c>
      <c r="B1187" s="750">
        <f>'[1]PLAN DE DESARROLLO 2024 - 2027'!$M$123</f>
        <v>0.20174333228533195</v>
      </c>
      <c r="C1187" s="738" t="s">
        <v>2023</v>
      </c>
      <c r="D1187" s="752">
        <f>'[1]PLAN DE DESARROLLO 2024 - 2027'!$M$147</f>
        <v>0.1413865782697985</v>
      </c>
      <c r="E1187" s="738" t="s">
        <v>2029</v>
      </c>
      <c r="F1187" s="748">
        <f>[2]Hoja1!$B$111</f>
        <v>0.27791111632027071</v>
      </c>
      <c r="G1187" s="738" t="s">
        <v>895</v>
      </c>
      <c r="H1187" s="738" t="s">
        <v>1339</v>
      </c>
      <c r="I1187" s="738"/>
      <c r="J1187" s="738" t="s">
        <v>48</v>
      </c>
      <c r="K1187" s="749" t="s">
        <v>2256</v>
      </c>
    </row>
    <row r="1188" spans="1:16" s="734" customFormat="1" ht="28.8" x14ac:dyDescent="0.3">
      <c r="A1188" s="738" t="s">
        <v>2017</v>
      </c>
      <c r="B1188" s="750">
        <f>'[1]PLAN DE DESARROLLO 2024 - 2027'!$M$123</f>
        <v>0.20174333228533195</v>
      </c>
      <c r="C1188" s="738" t="s">
        <v>2023</v>
      </c>
      <c r="D1188" s="752">
        <f>'[1]PLAN DE DESARROLLO 2024 - 2027'!$M$147</f>
        <v>0.1413865782697985</v>
      </c>
      <c r="E1188" s="738" t="s">
        <v>2029</v>
      </c>
      <c r="F1188" s="748">
        <f>[2]Hoja1!$B$111</f>
        <v>0.27791111632027071</v>
      </c>
      <c r="G1188" s="738" t="s">
        <v>896</v>
      </c>
      <c r="H1188" s="738" t="s">
        <v>1536</v>
      </c>
      <c r="I1188" s="738"/>
      <c r="J1188" s="738" t="s">
        <v>48</v>
      </c>
      <c r="K1188" s="749" t="s">
        <v>2256</v>
      </c>
    </row>
    <row r="1189" spans="1:16" s="734" customFormat="1" ht="28.8" x14ac:dyDescent="0.3">
      <c r="A1189" s="738" t="s">
        <v>2017</v>
      </c>
      <c r="B1189" s="750">
        <f>'[1]PLAN DE DESARROLLO 2024 - 2027'!$M$123</f>
        <v>0.20174333228533195</v>
      </c>
      <c r="C1189" s="738" t="s">
        <v>2023</v>
      </c>
      <c r="D1189" s="752">
        <f>'[1]PLAN DE DESARROLLO 2024 - 2027'!$M$147</f>
        <v>0.1413865782697985</v>
      </c>
      <c r="E1189" s="738" t="s">
        <v>2029</v>
      </c>
      <c r="F1189" s="748">
        <f>[2]Hoja1!$B$111</f>
        <v>0.27791111632027071</v>
      </c>
      <c r="G1189" s="738" t="s">
        <v>897</v>
      </c>
      <c r="H1189" s="738" t="s">
        <v>1340</v>
      </c>
      <c r="I1189" s="738"/>
      <c r="J1189" s="738" t="s">
        <v>2030</v>
      </c>
      <c r="K1189" s="749" t="s">
        <v>2256</v>
      </c>
    </row>
    <row r="1190" spans="1:16" s="734" customFormat="1" ht="43.2" x14ac:dyDescent="0.3">
      <c r="A1190" s="738" t="s">
        <v>2143</v>
      </c>
      <c r="B1190" s="746">
        <f>'[1]PLAN DE DESARROLLO 2024 - 2027'!$M$4</f>
        <v>0.24028917333263158</v>
      </c>
      <c r="C1190" s="738" t="s">
        <v>2149</v>
      </c>
      <c r="D1190" s="747">
        <f>'[1]PLAN DE DESARROLLO 2024 - 2027'!$M$20</f>
        <v>0.2170625911038922</v>
      </c>
      <c r="E1190" s="738" t="s">
        <v>1629</v>
      </c>
      <c r="F1190" s="748">
        <f>[2]Hoja1!$B$139</f>
        <v>0.25787869115937234</v>
      </c>
      <c r="G1190" s="738" t="s">
        <v>202</v>
      </c>
      <c r="H1190" s="738" t="s">
        <v>203</v>
      </c>
      <c r="I1190" s="738"/>
      <c r="J1190" s="738" t="s">
        <v>162</v>
      </c>
      <c r="K1190" s="749" t="s">
        <v>2256</v>
      </c>
    </row>
    <row r="1191" spans="1:16" s="734" customFormat="1" ht="57.6" x14ac:dyDescent="0.3">
      <c r="A1191" s="738" t="s">
        <v>2143</v>
      </c>
      <c r="B1191" s="746">
        <f>'[1]PLAN DE DESARROLLO 2024 - 2027'!$M$4</f>
        <v>0.24028917333263158</v>
      </c>
      <c r="C1191" s="738" t="s">
        <v>2149</v>
      </c>
      <c r="D1191" s="747">
        <f>'[1]PLAN DE DESARROLLO 2024 - 2027'!$M$20</f>
        <v>0.2170625911038922</v>
      </c>
      <c r="E1191" s="738" t="s">
        <v>1629</v>
      </c>
      <c r="F1191" s="748">
        <f>[2]Hoja1!$B$139</f>
        <v>0.25787869115937234</v>
      </c>
      <c r="G1191" s="738" t="s">
        <v>204</v>
      </c>
      <c r="H1191" s="738" t="s">
        <v>205</v>
      </c>
      <c r="I1191" s="738"/>
      <c r="J1191" s="738" t="s">
        <v>162</v>
      </c>
      <c r="K1191" s="749" t="s">
        <v>2256</v>
      </c>
    </row>
    <row r="1192" spans="1:16" s="734" customFormat="1" ht="43.2" x14ac:dyDescent="0.3">
      <c r="A1192" s="738" t="s">
        <v>2143</v>
      </c>
      <c r="B1192" s="746">
        <f>'[1]PLAN DE DESARROLLO 2024 - 2027'!$M$4</f>
        <v>0.24028917333263158</v>
      </c>
      <c r="C1192" s="738" t="s">
        <v>2149</v>
      </c>
      <c r="D1192" s="747">
        <f>'[1]PLAN DE DESARROLLO 2024 - 2027'!$M$20</f>
        <v>0.2170625911038922</v>
      </c>
      <c r="E1192" s="738" t="s">
        <v>1629</v>
      </c>
      <c r="F1192" s="748">
        <f>[2]Hoja1!$B$139</f>
        <v>0.25787869115937234</v>
      </c>
      <c r="G1192" s="738" t="s">
        <v>206</v>
      </c>
      <c r="H1192" s="738" t="s">
        <v>207</v>
      </c>
      <c r="I1192" s="738"/>
      <c r="J1192" s="738" t="s">
        <v>162</v>
      </c>
      <c r="K1192" s="749" t="s">
        <v>2256</v>
      </c>
    </row>
    <row r="1193" spans="1:16" s="734" customFormat="1" ht="28.8" x14ac:dyDescent="0.3">
      <c r="A1193" s="738" t="s">
        <v>2143</v>
      </c>
      <c r="B1193" s="746">
        <f>'[1]PLAN DE DESARROLLO 2024 - 2027'!$M$4</f>
        <v>0.24028917333263158</v>
      </c>
      <c r="C1193" s="738" t="s">
        <v>2149</v>
      </c>
      <c r="D1193" s="747">
        <f>'[1]PLAN DE DESARROLLO 2024 - 2027'!$M$20</f>
        <v>0.2170625911038922</v>
      </c>
      <c r="E1193" s="738" t="s">
        <v>1629</v>
      </c>
      <c r="F1193" s="748">
        <f>[2]Hoja1!$B$139</f>
        <v>0.25787869115937234</v>
      </c>
      <c r="G1193" s="738" t="s">
        <v>208</v>
      </c>
      <c r="H1193" s="738" t="s">
        <v>209</v>
      </c>
      <c r="I1193" s="738"/>
      <c r="J1193" s="738" t="s">
        <v>162</v>
      </c>
      <c r="K1193" s="749" t="s">
        <v>2256</v>
      </c>
    </row>
    <row r="1194" spans="1:16" s="734" customFormat="1" ht="57.6" x14ac:dyDescent="0.3">
      <c r="A1194" s="738" t="s">
        <v>2143</v>
      </c>
      <c r="B1194" s="746">
        <f>'[1]PLAN DE DESARROLLO 2024 - 2027'!$M$4</f>
        <v>0.24028917333263158</v>
      </c>
      <c r="C1194" s="738" t="s">
        <v>2149</v>
      </c>
      <c r="D1194" s="747">
        <f>'[1]PLAN DE DESARROLLO 2024 - 2027'!$M$20</f>
        <v>0.2170625911038922</v>
      </c>
      <c r="E1194" s="738" t="s">
        <v>1629</v>
      </c>
      <c r="F1194" s="748">
        <f>[2]Hoja1!$B$139</f>
        <v>0.25787869115937234</v>
      </c>
      <c r="G1194" s="738" t="s">
        <v>210</v>
      </c>
      <c r="H1194" s="738" t="s">
        <v>211</v>
      </c>
      <c r="I1194" s="738"/>
      <c r="J1194" s="738" t="s">
        <v>162</v>
      </c>
      <c r="K1194" s="749" t="s">
        <v>2256</v>
      </c>
      <c r="P1194" s="735"/>
    </row>
    <row r="1195" spans="1:16" s="734" customFormat="1" ht="57.6" x14ac:dyDescent="0.3">
      <c r="A1195" s="738" t="s">
        <v>2143</v>
      </c>
      <c r="B1195" s="746">
        <f>'[1]PLAN DE DESARROLLO 2024 - 2027'!$M$4</f>
        <v>0.24028917333263158</v>
      </c>
      <c r="C1195" s="738" t="s">
        <v>2149</v>
      </c>
      <c r="D1195" s="747">
        <f>'[1]PLAN DE DESARROLLO 2024 - 2027'!$M$20</f>
        <v>0.2170625911038922</v>
      </c>
      <c r="E1195" s="738" t="s">
        <v>1629</v>
      </c>
      <c r="F1195" s="748">
        <f>[2]Hoja1!$B$139</f>
        <v>0.25787869115937234</v>
      </c>
      <c r="G1195" s="738" t="s">
        <v>212</v>
      </c>
      <c r="H1195" s="738" t="s">
        <v>213</v>
      </c>
      <c r="I1195" s="738"/>
      <c r="J1195" s="738" t="s">
        <v>162</v>
      </c>
      <c r="K1195" s="749" t="s">
        <v>2256</v>
      </c>
      <c r="P1195" s="735"/>
    </row>
    <row r="1196" spans="1:16" s="734" customFormat="1" ht="28.8" x14ac:dyDescent="0.3">
      <c r="A1196" s="738" t="s">
        <v>2110</v>
      </c>
      <c r="B1196" s="750">
        <f>'[1]PLAN DE DESARROLLO 2024 - 2027'!$M$161</f>
        <v>0.24647581985093744</v>
      </c>
      <c r="C1196" s="738" t="s">
        <v>2134</v>
      </c>
      <c r="D1196" s="747">
        <f>'[1]PLAN DE DESARROLLO 2024 - 2027'!$M$191</f>
        <v>0.22981556695992181</v>
      </c>
      <c r="E1196" s="738" t="s">
        <v>2139</v>
      </c>
      <c r="F1196" s="748">
        <f>[2]Hoja1!$B$122</f>
        <v>0.29333333333333333</v>
      </c>
      <c r="G1196" s="738" t="s">
        <v>1056</v>
      </c>
      <c r="H1196" s="738" t="s">
        <v>1254</v>
      </c>
      <c r="I1196" s="738"/>
      <c r="J1196" s="738" t="s">
        <v>560</v>
      </c>
      <c r="K1196" s="749" t="s">
        <v>2256</v>
      </c>
      <c r="P1196" s="735"/>
    </row>
    <row r="1197" spans="1:16" s="734" customFormat="1" ht="28.8" x14ac:dyDescent="0.3">
      <c r="A1197" s="738" t="s">
        <v>2110</v>
      </c>
      <c r="B1197" s="750">
        <f>'[1]PLAN DE DESARROLLO 2024 - 2027'!$M$161</f>
        <v>0.24647581985093744</v>
      </c>
      <c r="C1197" s="738" t="s">
        <v>2134</v>
      </c>
      <c r="D1197" s="747">
        <f>'[1]PLAN DE DESARROLLO 2024 - 2027'!$M$191</f>
        <v>0.22981556695992181</v>
      </c>
      <c r="E1197" s="738" t="s">
        <v>2139</v>
      </c>
      <c r="F1197" s="748">
        <f>[2]Hoja1!$B$122</f>
        <v>0.29333333333333333</v>
      </c>
      <c r="G1197" s="738" t="s">
        <v>1057</v>
      </c>
      <c r="H1197" s="738" t="s">
        <v>1255</v>
      </c>
      <c r="I1197" s="738"/>
      <c r="J1197" s="738" t="s">
        <v>560</v>
      </c>
      <c r="K1197" s="749" t="s">
        <v>2256</v>
      </c>
      <c r="P1197" s="735"/>
    </row>
    <row r="1198" spans="1:16" s="734" customFormat="1" ht="28.8" x14ac:dyDescent="0.3">
      <c r="A1198" s="738" t="s">
        <v>2110</v>
      </c>
      <c r="B1198" s="750">
        <f>'[1]PLAN DE DESARROLLO 2024 - 2027'!$M$161</f>
        <v>0.24647581985093744</v>
      </c>
      <c r="C1198" s="738" t="s">
        <v>2118</v>
      </c>
      <c r="D1198" s="747">
        <f>'[1]PLAN DE DESARROLLO 2024 - 2027'!$M$184</f>
        <v>0.18265127235728812</v>
      </c>
      <c r="E1198" s="738" t="s">
        <v>1833</v>
      </c>
      <c r="F1198" s="748">
        <f>[2]Hoja1!$B$123</f>
        <v>0</v>
      </c>
      <c r="G1198" s="738" t="s">
        <v>1024</v>
      </c>
      <c r="H1198" s="738" t="s">
        <v>1223</v>
      </c>
      <c r="I1198" s="738"/>
      <c r="J1198" s="738" t="s">
        <v>2119</v>
      </c>
      <c r="K1198" s="749" t="s">
        <v>2256</v>
      </c>
      <c r="P1198" s="735"/>
    </row>
    <row r="1199" spans="1:16" s="734" customFormat="1" ht="27.75" customHeight="1" x14ac:dyDescent="0.3">
      <c r="A1199" s="738" t="s">
        <v>2110</v>
      </c>
      <c r="B1199" s="750">
        <f>'[1]PLAN DE DESARROLLO 2024 - 2027'!$M$161</f>
        <v>0.24647581985093744</v>
      </c>
      <c r="C1199" s="738" t="s">
        <v>2111</v>
      </c>
      <c r="D1199" s="747">
        <f>'[1]PLAN DE DESARROLLO 2024 - 2027'!$M$162</f>
        <v>0.208125</v>
      </c>
      <c r="E1199" s="738" t="s">
        <v>1820</v>
      </c>
      <c r="F1199" s="748">
        <f>[2]Hoja1!$B$124</f>
        <v>8.7499999999999991E-3</v>
      </c>
      <c r="G1199" s="738" t="s">
        <v>955</v>
      </c>
      <c r="H1199" s="738" t="s">
        <v>1162</v>
      </c>
      <c r="I1199" s="738"/>
      <c r="J1199" s="738" t="s">
        <v>516</v>
      </c>
      <c r="K1199" s="749" t="s">
        <v>2256</v>
      </c>
      <c r="P1199" s="735"/>
    </row>
    <row r="1200" spans="1:16" s="734" customFormat="1" ht="28.8" x14ac:dyDescent="0.3">
      <c r="A1200" s="738" t="s">
        <v>2110</v>
      </c>
      <c r="B1200" s="750">
        <f>'[1]PLAN DE DESARROLLO 2024 - 2027'!$M$161</f>
        <v>0.24647581985093744</v>
      </c>
      <c r="C1200" s="738" t="s">
        <v>2111</v>
      </c>
      <c r="D1200" s="747">
        <f>'[1]PLAN DE DESARROLLO 2024 - 2027'!$M$162</f>
        <v>0.208125</v>
      </c>
      <c r="E1200" s="738" t="s">
        <v>1820</v>
      </c>
      <c r="F1200" s="748">
        <f>[2]Hoja1!$B$124</f>
        <v>8.7499999999999991E-3</v>
      </c>
      <c r="G1200" s="738" t="s">
        <v>956</v>
      </c>
      <c r="H1200" s="738" t="s">
        <v>1163</v>
      </c>
      <c r="I1200" s="738"/>
      <c r="J1200" s="738" t="s">
        <v>516</v>
      </c>
      <c r="K1200" s="749" t="s">
        <v>2256</v>
      </c>
      <c r="P1200" s="735"/>
    </row>
    <row r="1201" spans="1:16" s="734" customFormat="1" ht="28.8" x14ac:dyDescent="0.3">
      <c r="A1201" s="738" t="s">
        <v>2110</v>
      </c>
      <c r="B1201" s="750">
        <f>'[1]PLAN DE DESARROLLO 2024 - 2027'!$M$161</f>
        <v>0.24647581985093744</v>
      </c>
      <c r="C1201" s="738" t="s">
        <v>2111</v>
      </c>
      <c r="D1201" s="747">
        <f>'[1]PLAN DE DESARROLLO 2024 - 2027'!$M$162</f>
        <v>0.208125</v>
      </c>
      <c r="E1201" s="738" t="s">
        <v>1820</v>
      </c>
      <c r="F1201" s="748">
        <f>[2]Hoja1!$B$124</f>
        <v>8.7499999999999991E-3</v>
      </c>
      <c r="G1201" s="738" t="s">
        <v>957</v>
      </c>
      <c r="H1201" s="738" t="s">
        <v>1164</v>
      </c>
      <c r="I1201" s="738"/>
      <c r="J1201" s="738" t="s">
        <v>516</v>
      </c>
      <c r="K1201" s="749" t="s">
        <v>2256</v>
      </c>
      <c r="P1201" s="735"/>
    </row>
    <row r="1202" spans="1:16" s="734" customFormat="1" ht="57.6" x14ac:dyDescent="0.3">
      <c r="A1202" s="738" t="s">
        <v>2197</v>
      </c>
      <c r="B1202" s="746">
        <f>'[1]PLAN DE DESARROLLO 2024 - 2027'!$M$46</f>
        <v>0.25251661967012345</v>
      </c>
      <c r="C1202" s="738" t="s">
        <v>2198</v>
      </c>
      <c r="D1202" s="747">
        <f>'[1]PLAN DE DESARROLLO 2024 - 2027'!$M$47</f>
        <v>0.26592582694462413</v>
      </c>
      <c r="E1202" s="738" t="s">
        <v>1651</v>
      </c>
      <c r="F1202" s="748">
        <f>[2]Hoja1!$B$159</f>
        <v>0.15592630718954248</v>
      </c>
      <c r="G1202" s="738" t="s">
        <v>2221</v>
      </c>
      <c r="H1202" s="738" t="s">
        <v>2222</v>
      </c>
      <c r="I1202" s="738"/>
      <c r="J1202" s="738" t="s">
        <v>2199</v>
      </c>
      <c r="K1202" s="749" t="s">
        <v>2256</v>
      </c>
      <c r="P1202" s="735"/>
    </row>
    <row r="1203" spans="1:16" s="734" customFormat="1" ht="28.8" x14ac:dyDescent="0.3">
      <c r="A1203" s="738" t="s">
        <v>2197</v>
      </c>
      <c r="B1203" s="746">
        <f>'[1]PLAN DE DESARROLLO 2024 - 2027'!$M$46</f>
        <v>0.25251661967012345</v>
      </c>
      <c r="C1203" s="738" t="s">
        <v>2198</v>
      </c>
      <c r="D1203" s="747">
        <f>'[1]PLAN DE DESARROLLO 2024 - 2027'!$M$47</f>
        <v>0.26592582694462413</v>
      </c>
      <c r="E1203" s="738" t="s">
        <v>1651</v>
      </c>
      <c r="F1203" s="748">
        <f>[2]Hoja1!$B$159</f>
        <v>0.15592630718954248</v>
      </c>
      <c r="G1203" s="738" t="s">
        <v>448</v>
      </c>
      <c r="H1203" s="738" t="s">
        <v>449</v>
      </c>
      <c r="I1203" s="738"/>
      <c r="J1203" s="738" t="s">
        <v>2199</v>
      </c>
      <c r="K1203" s="749" t="s">
        <v>2256</v>
      </c>
      <c r="P1203" s="735"/>
    </row>
    <row r="1204" spans="1:16" s="734" customFormat="1" ht="43.2" x14ac:dyDescent="0.3">
      <c r="A1204" s="738" t="s">
        <v>2068</v>
      </c>
      <c r="B1204" s="750">
        <f>'[1]PLAN DE DESARROLLO 2024 - 2027'!$M$92</f>
        <v>0.25050860314981654</v>
      </c>
      <c r="C1204" s="738" t="s">
        <v>2086</v>
      </c>
      <c r="D1204" s="747">
        <f>'[1]PLAN DE DESARROLLO 2024 - 2027'!$M$120</f>
        <v>0.19011249999999999</v>
      </c>
      <c r="E1204" s="738" t="s">
        <v>2087</v>
      </c>
      <c r="F1204" s="748">
        <f>[2]Hoja1!$B$58</f>
        <v>9.4384999999999997E-2</v>
      </c>
      <c r="G1204" s="738" t="s">
        <v>708</v>
      </c>
      <c r="H1204" s="738" t="s">
        <v>1413</v>
      </c>
      <c r="I1204" s="738"/>
      <c r="J1204" s="738" t="s">
        <v>58</v>
      </c>
      <c r="K1204" s="749" t="s">
        <v>2256</v>
      </c>
      <c r="P1204" s="735"/>
    </row>
    <row r="1205" spans="1:16" s="734" customFormat="1" ht="43.2" x14ac:dyDescent="0.3">
      <c r="A1205" s="738" t="s">
        <v>2068</v>
      </c>
      <c r="B1205" s="750">
        <f>'[1]PLAN DE DESARROLLO 2024 - 2027'!$M$92</f>
        <v>0.25050860314981654</v>
      </c>
      <c r="C1205" s="738" t="s">
        <v>2086</v>
      </c>
      <c r="D1205" s="747">
        <f>'[1]PLAN DE DESARROLLO 2024 - 2027'!$M$120</f>
        <v>0.19011249999999999</v>
      </c>
      <c r="E1205" s="738" t="s">
        <v>2087</v>
      </c>
      <c r="F1205" s="748">
        <f>[2]Hoja1!$B$58</f>
        <v>9.4384999999999997E-2</v>
      </c>
      <c r="G1205" s="738" t="s">
        <v>709</v>
      </c>
      <c r="H1205" s="738" t="s">
        <v>1414</v>
      </c>
      <c r="I1205" s="738"/>
      <c r="J1205" s="738" t="s">
        <v>683</v>
      </c>
      <c r="K1205" s="749" t="s">
        <v>2256</v>
      </c>
      <c r="P1205" s="735"/>
    </row>
    <row r="1206" spans="1:16" s="734" customFormat="1" ht="43.2" x14ac:dyDescent="0.3">
      <c r="A1206" s="738" t="s">
        <v>2068</v>
      </c>
      <c r="B1206" s="750">
        <f>'[1]PLAN DE DESARROLLO 2024 - 2027'!$M$92</f>
        <v>0.25050860314981654</v>
      </c>
      <c r="C1206" s="738" t="s">
        <v>2086</v>
      </c>
      <c r="D1206" s="747">
        <f>'[1]PLAN DE DESARROLLO 2024 - 2027'!$M$120</f>
        <v>0.19011249999999999</v>
      </c>
      <c r="E1206" s="738" t="s">
        <v>2087</v>
      </c>
      <c r="F1206" s="748">
        <f>[2]Hoja1!$B$58</f>
        <v>9.4384999999999997E-2</v>
      </c>
      <c r="G1206" s="738" t="s">
        <v>710</v>
      </c>
      <c r="H1206" s="738" t="s">
        <v>1415</v>
      </c>
      <c r="I1206" s="738"/>
      <c r="J1206" s="738" t="s">
        <v>683</v>
      </c>
      <c r="K1206" s="749" t="s">
        <v>2256</v>
      </c>
      <c r="P1206" s="735"/>
    </row>
    <row r="1207" spans="1:16" s="734" customFormat="1" ht="28.8" x14ac:dyDescent="0.3">
      <c r="A1207" s="738" t="s">
        <v>2068</v>
      </c>
      <c r="B1207" s="750">
        <f>'[1]PLAN DE DESARROLLO 2024 - 2027'!$M$92</f>
        <v>0.25050860314981654</v>
      </c>
      <c r="C1207" s="738" t="s">
        <v>2086</v>
      </c>
      <c r="D1207" s="747">
        <f>'[1]PLAN DE DESARROLLO 2024 - 2027'!$M$120</f>
        <v>0.19011249999999999</v>
      </c>
      <c r="E1207" s="738" t="s">
        <v>2087</v>
      </c>
      <c r="F1207" s="748">
        <f>[2]Hoja1!$B$58</f>
        <v>9.4384999999999997E-2</v>
      </c>
      <c r="G1207" s="738" t="s">
        <v>711</v>
      </c>
      <c r="H1207" s="738" t="s">
        <v>1416</v>
      </c>
      <c r="I1207" s="738"/>
      <c r="J1207" s="738" t="s">
        <v>683</v>
      </c>
      <c r="K1207" s="749" t="s">
        <v>2256</v>
      </c>
      <c r="P1207" s="735"/>
    </row>
    <row r="1208" spans="1:16" s="734" customFormat="1" ht="28.8" x14ac:dyDescent="0.3">
      <c r="A1208" s="738" t="s">
        <v>2110</v>
      </c>
      <c r="B1208" s="750">
        <f>'[1]PLAN DE DESARROLLO 2024 - 2027'!$M$161</f>
        <v>0.24647581985093744</v>
      </c>
      <c r="C1208" s="738" t="s">
        <v>2118</v>
      </c>
      <c r="D1208" s="747">
        <f>'[1]PLAN DE DESARROLLO 2024 - 2027'!$M$184</f>
        <v>0.18265127235728812</v>
      </c>
      <c r="E1208" s="738" t="s">
        <v>2132</v>
      </c>
      <c r="F1208" s="748">
        <f>[2]Hoja1!$B$127</f>
        <v>0.23778749999999998</v>
      </c>
      <c r="G1208" s="738" t="s">
        <v>1030</v>
      </c>
      <c r="H1208" s="738" t="s">
        <v>1228</v>
      </c>
      <c r="I1208" s="738"/>
      <c r="J1208" s="738" t="s">
        <v>58</v>
      </c>
      <c r="K1208" s="749" t="s">
        <v>2256</v>
      </c>
      <c r="P1208" s="735"/>
    </row>
    <row r="1209" spans="1:16" s="734" customFormat="1" ht="28.8" x14ac:dyDescent="0.3">
      <c r="A1209" s="738" t="s">
        <v>2110</v>
      </c>
      <c r="B1209" s="750">
        <f>'[1]PLAN DE DESARROLLO 2024 - 2027'!$M$161</f>
        <v>0.24647581985093744</v>
      </c>
      <c r="C1209" s="738" t="s">
        <v>2118</v>
      </c>
      <c r="D1209" s="747">
        <f>'[1]PLAN DE DESARROLLO 2024 - 2027'!$M$184</f>
        <v>0.18265127235728812</v>
      </c>
      <c r="E1209" s="738" t="s">
        <v>2132</v>
      </c>
      <c r="F1209" s="748">
        <f>[2]Hoja1!$B$127</f>
        <v>0.23778749999999998</v>
      </c>
      <c r="G1209" s="738" t="s">
        <v>1031</v>
      </c>
      <c r="H1209" s="738" t="s">
        <v>1229</v>
      </c>
      <c r="I1209" s="738"/>
      <c r="J1209" s="738" t="s">
        <v>58</v>
      </c>
      <c r="K1209" s="749" t="s">
        <v>2256</v>
      </c>
      <c r="P1209" s="735"/>
    </row>
    <row r="1210" spans="1:16" s="734" customFormat="1" ht="28.8" x14ac:dyDescent="0.3">
      <c r="A1210" s="738" t="s">
        <v>2110</v>
      </c>
      <c r="B1210" s="750">
        <f>'[1]PLAN DE DESARROLLO 2024 - 2027'!$M$161</f>
        <v>0.24647581985093744</v>
      </c>
      <c r="C1210" s="738" t="s">
        <v>2118</v>
      </c>
      <c r="D1210" s="747">
        <f>'[1]PLAN DE DESARROLLO 2024 - 2027'!$M$184</f>
        <v>0.18265127235728812</v>
      </c>
      <c r="E1210" s="738" t="s">
        <v>2132</v>
      </c>
      <c r="F1210" s="748">
        <f>[2]Hoja1!$B$127</f>
        <v>0.23778749999999998</v>
      </c>
      <c r="G1210" s="738" t="s">
        <v>1032</v>
      </c>
      <c r="H1210" s="738" t="s">
        <v>1230</v>
      </c>
      <c r="I1210" s="738"/>
      <c r="J1210" s="738" t="s">
        <v>58</v>
      </c>
      <c r="K1210" s="749" t="s">
        <v>2256</v>
      </c>
      <c r="P1210" s="735"/>
    </row>
    <row r="1211" spans="1:16" s="734" customFormat="1" ht="28.8" x14ac:dyDescent="0.3">
      <c r="A1211" s="738" t="s">
        <v>2110</v>
      </c>
      <c r="B1211" s="750">
        <f>'[1]PLAN DE DESARROLLO 2024 - 2027'!$M$161</f>
        <v>0.24647581985093744</v>
      </c>
      <c r="C1211" s="738" t="s">
        <v>2118</v>
      </c>
      <c r="D1211" s="747">
        <f>'[1]PLAN DE DESARROLLO 2024 - 2027'!$M$184</f>
        <v>0.18265127235728812</v>
      </c>
      <c r="E1211" s="738" t="s">
        <v>2132</v>
      </c>
      <c r="F1211" s="748">
        <f>[2]Hoja1!$B$127</f>
        <v>0.23778749999999998</v>
      </c>
      <c r="G1211" s="738" t="s">
        <v>1033</v>
      </c>
      <c r="H1211" s="738" t="s">
        <v>1231</v>
      </c>
      <c r="I1211" s="738"/>
      <c r="J1211" s="738" t="s">
        <v>58</v>
      </c>
      <c r="K1211" s="749" t="s">
        <v>2256</v>
      </c>
      <c r="P1211" s="735"/>
    </row>
    <row r="1212" spans="1:16" s="734" customFormat="1" ht="28.8" x14ac:dyDescent="0.3">
      <c r="A1212" s="738" t="s">
        <v>2110</v>
      </c>
      <c r="B1212" s="750">
        <f>'[1]PLAN DE DESARROLLO 2024 - 2027'!$M$161</f>
        <v>0.24647581985093744</v>
      </c>
      <c r="C1212" s="738" t="s">
        <v>2118</v>
      </c>
      <c r="D1212" s="747">
        <f>'[1]PLAN DE DESARROLLO 2024 - 2027'!$M$184</f>
        <v>0.18265127235728812</v>
      </c>
      <c r="E1212" s="738" t="s">
        <v>2132</v>
      </c>
      <c r="F1212" s="748">
        <f>[2]Hoja1!$B$127</f>
        <v>0.23778749999999998</v>
      </c>
      <c r="G1212" s="738" t="s">
        <v>1034</v>
      </c>
      <c r="H1212" s="738" t="s">
        <v>1232</v>
      </c>
      <c r="I1212" s="738"/>
      <c r="J1212" s="738" t="s">
        <v>58</v>
      </c>
      <c r="K1212" s="749" t="s">
        <v>2256</v>
      </c>
      <c r="P1212" s="735"/>
    </row>
    <row r="1213" spans="1:16" s="734" customFormat="1" ht="28.8" x14ac:dyDescent="0.3">
      <c r="A1213" s="738" t="s">
        <v>2017</v>
      </c>
      <c r="B1213" s="750">
        <f>'[1]PLAN DE DESARROLLO 2024 - 2027'!$M$123</f>
        <v>0.20174333228533195</v>
      </c>
      <c r="C1213" s="738" t="s">
        <v>2023</v>
      </c>
      <c r="D1213" s="752">
        <f>'[1]PLAN DE DESARROLLO 2024 - 2027'!$M$147</f>
        <v>0.1413865782697985</v>
      </c>
      <c r="E1213" s="738" t="s">
        <v>2029</v>
      </c>
      <c r="F1213" s="748">
        <f>[2]Hoja1!$B$111</f>
        <v>0.27791111632027071</v>
      </c>
      <c r="G1213" s="738" t="s">
        <v>898</v>
      </c>
      <c r="H1213" s="738" t="s">
        <v>1341</v>
      </c>
      <c r="I1213" s="738"/>
      <c r="J1213" s="738" t="s">
        <v>48</v>
      </c>
      <c r="K1213" s="749" t="s">
        <v>2256</v>
      </c>
      <c r="P1213" s="735"/>
    </row>
    <row r="1214" spans="1:16" s="734" customFormat="1" ht="28.8" x14ac:dyDescent="0.3">
      <c r="A1214" s="738" t="s">
        <v>2017</v>
      </c>
      <c r="B1214" s="750">
        <f>'[1]PLAN DE DESARROLLO 2024 - 2027'!$M$123</f>
        <v>0.20174333228533195</v>
      </c>
      <c r="C1214" s="738" t="s">
        <v>2023</v>
      </c>
      <c r="D1214" s="752">
        <f>'[1]PLAN DE DESARROLLO 2024 - 2027'!$M$147</f>
        <v>0.1413865782697985</v>
      </c>
      <c r="E1214" s="738" t="s">
        <v>2029</v>
      </c>
      <c r="F1214" s="748">
        <f>[2]Hoja1!$B$111</f>
        <v>0.27791111632027071</v>
      </c>
      <c r="G1214" s="738" t="s">
        <v>899</v>
      </c>
      <c r="H1214" s="738" t="s">
        <v>1342</v>
      </c>
      <c r="I1214" s="738"/>
      <c r="J1214" s="738" t="s">
        <v>48</v>
      </c>
      <c r="K1214" s="749" t="s">
        <v>2256</v>
      </c>
      <c r="P1214" s="735"/>
    </row>
    <row r="1215" spans="1:16" s="734" customFormat="1" ht="28.8" x14ac:dyDescent="0.3">
      <c r="A1215" s="738" t="s">
        <v>2017</v>
      </c>
      <c r="B1215" s="750">
        <f>'[1]PLAN DE DESARROLLO 2024 - 2027'!$M$123</f>
        <v>0.20174333228533195</v>
      </c>
      <c r="C1215" s="738" t="s">
        <v>2023</v>
      </c>
      <c r="D1215" s="752">
        <f>'[1]PLAN DE DESARROLLO 2024 - 2027'!$M$147</f>
        <v>0.1413865782697985</v>
      </c>
      <c r="E1215" s="738" t="s">
        <v>2029</v>
      </c>
      <c r="F1215" s="748">
        <f>[2]Hoja1!$B$111</f>
        <v>0.27791111632027071</v>
      </c>
      <c r="G1215" s="738" t="s">
        <v>900</v>
      </c>
      <c r="H1215" s="738" t="s">
        <v>1343</v>
      </c>
      <c r="I1215" s="738"/>
      <c r="J1215" s="738" t="s">
        <v>48</v>
      </c>
      <c r="K1215" s="749" t="s">
        <v>2256</v>
      </c>
    </row>
    <row r="1216" spans="1:16" s="734" customFormat="1" ht="28.8" x14ac:dyDescent="0.3">
      <c r="A1216" s="738" t="s">
        <v>2017</v>
      </c>
      <c r="B1216" s="750">
        <f>'[1]PLAN DE DESARROLLO 2024 - 2027'!$M$123</f>
        <v>0.20174333228533195</v>
      </c>
      <c r="C1216" s="738" t="s">
        <v>2023</v>
      </c>
      <c r="D1216" s="752">
        <f>'[1]PLAN DE DESARROLLO 2024 - 2027'!$M$147</f>
        <v>0.1413865782697985</v>
      </c>
      <c r="E1216" s="738" t="s">
        <v>2029</v>
      </c>
      <c r="F1216" s="748">
        <f>[2]Hoja1!$B$111</f>
        <v>0.27791111632027071</v>
      </c>
      <c r="G1216" s="738" t="s">
        <v>901</v>
      </c>
      <c r="H1216" s="738" t="s">
        <v>1344</v>
      </c>
      <c r="I1216" s="738"/>
      <c r="J1216" s="738" t="s">
        <v>48</v>
      </c>
      <c r="K1216" s="749" t="s">
        <v>2256</v>
      </c>
    </row>
    <row r="1217" spans="1:11" s="734" customFormat="1" ht="28.8" x14ac:dyDescent="0.3">
      <c r="A1217" s="738" t="s">
        <v>2017</v>
      </c>
      <c r="B1217" s="750">
        <f>'[1]PLAN DE DESARROLLO 2024 - 2027'!$M$123</f>
        <v>0.20174333228533195</v>
      </c>
      <c r="C1217" s="738" t="s">
        <v>2023</v>
      </c>
      <c r="D1217" s="752">
        <f>'[1]PLAN DE DESARROLLO 2024 - 2027'!$M$147</f>
        <v>0.1413865782697985</v>
      </c>
      <c r="E1217" s="738" t="s">
        <v>2029</v>
      </c>
      <c r="F1217" s="748">
        <f>[2]Hoja1!$B$111</f>
        <v>0.27791111632027071</v>
      </c>
      <c r="G1217" s="738" t="s">
        <v>902</v>
      </c>
      <c r="H1217" s="738" t="s">
        <v>1345</v>
      </c>
      <c r="I1217" s="738"/>
      <c r="J1217" s="738" t="s">
        <v>2030</v>
      </c>
      <c r="K1217" s="749" t="s">
        <v>2256</v>
      </c>
    </row>
    <row r="1218" spans="1:11" s="734" customFormat="1" ht="28.8" x14ac:dyDescent="0.3">
      <c r="A1218" s="738" t="s">
        <v>2017</v>
      </c>
      <c r="B1218" s="750">
        <f>'[1]PLAN DE DESARROLLO 2024 - 2027'!$M$123</f>
        <v>0.20174333228533195</v>
      </c>
      <c r="C1218" s="738" t="s">
        <v>2023</v>
      </c>
      <c r="D1218" s="752">
        <f>'[1]PLAN DE DESARROLLO 2024 - 2027'!$M$147</f>
        <v>0.1413865782697985</v>
      </c>
      <c r="E1218" s="738" t="s">
        <v>2029</v>
      </c>
      <c r="F1218" s="748">
        <f>[2]Hoja1!$B$111</f>
        <v>0.27791111632027071</v>
      </c>
      <c r="G1218" s="738" t="s">
        <v>903</v>
      </c>
      <c r="H1218" s="738" t="s">
        <v>1346</v>
      </c>
      <c r="I1218" s="738"/>
      <c r="J1218" s="738" t="s">
        <v>48</v>
      </c>
      <c r="K1218" s="749" t="s">
        <v>2256</v>
      </c>
    </row>
    <row r="1219" spans="1:11" s="734" customFormat="1" ht="28.8" x14ac:dyDescent="0.3">
      <c r="A1219" s="738" t="s">
        <v>2017</v>
      </c>
      <c r="B1219" s="750">
        <f>'[1]PLAN DE DESARROLLO 2024 - 2027'!$M$123</f>
        <v>0.20174333228533195</v>
      </c>
      <c r="C1219" s="738" t="s">
        <v>2023</v>
      </c>
      <c r="D1219" s="752">
        <f>'[1]PLAN DE DESARROLLO 2024 - 2027'!$M$147</f>
        <v>0.1413865782697985</v>
      </c>
      <c r="E1219" s="738" t="s">
        <v>2029</v>
      </c>
      <c r="F1219" s="748">
        <f>[2]Hoja1!$B$111</f>
        <v>0.27791111632027071</v>
      </c>
      <c r="G1219" s="738" t="s">
        <v>904</v>
      </c>
      <c r="H1219" s="738" t="s">
        <v>1347</v>
      </c>
      <c r="I1219" s="738"/>
      <c r="J1219" s="738" t="s">
        <v>48</v>
      </c>
      <c r="K1219" s="749" t="s">
        <v>2256</v>
      </c>
    </row>
    <row r="1220" spans="1:11" s="734" customFormat="1" ht="28.8" x14ac:dyDescent="0.3">
      <c r="A1220" s="738" t="s">
        <v>2017</v>
      </c>
      <c r="B1220" s="750">
        <f>'[1]PLAN DE DESARROLLO 2024 - 2027'!$M$123</f>
        <v>0.20174333228533195</v>
      </c>
      <c r="C1220" s="738" t="s">
        <v>2023</v>
      </c>
      <c r="D1220" s="752">
        <f>'[1]PLAN DE DESARROLLO 2024 - 2027'!$M$147</f>
        <v>0.1413865782697985</v>
      </c>
      <c r="E1220" s="738" t="s">
        <v>2029</v>
      </c>
      <c r="F1220" s="748">
        <f>[2]Hoja1!$B$111</f>
        <v>0.27791111632027071</v>
      </c>
      <c r="G1220" s="738" t="s">
        <v>905</v>
      </c>
      <c r="H1220" s="738" t="s">
        <v>1348</v>
      </c>
      <c r="I1220" s="738"/>
      <c r="J1220" s="738" t="s">
        <v>48</v>
      </c>
      <c r="K1220" s="749" t="s">
        <v>2256</v>
      </c>
    </row>
    <row r="1221" spans="1:11" s="734" customFormat="1" ht="28.8" x14ac:dyDescent="0.3">
      <c r="A1221" s="738" t="s">
        <v>2017</v>
      </c>
      <c r="B1221" s="750">
        <f>'[1]PLAN DE DESARROLLO 2024 - 2027'!$M$123</f>
        <v>0.20174333228533195</v>
      </c>
      <c r="C1221" s="738" t="s">
        <v>2023</v>
      </c>
      <c r="D1221" s="752">
        <f>'[1]PLAN DE DESARROLLO 2024 - 2027'!$M$147</f>
        <v>0.1413865782697985</v>
      </c>
      <c r="E1221" s="738" t="s">
        <v>2028</v>
      </c>
      <c r="F1221" s="748" t="s">
        <v>2257</v>
      </c>
      <c r="G1221" s="738" t="s">
        <v>888</v>
      </c>
      <c r="H1221" s="738" t="s">
        <v>1332</v>
      </c>
      <c r="I1221" s="738"/>
      <c r="J1221" s="738" t="s">
        <v>825</v>
      </c>
      <c r="K1221" s="749" t="s">
        <v>2256</v>
      </c>
    </row>
    <row r="1222" spans="1:11" s="734" customFormat="1" ht="28.8" x14ac:dyDescent="0.3">
      <c r="A1222" s="738" t="s">
        <v>2017</v>
      </c>
      <c r="B1222" s="750">
        <f>'[1]PLAN DE DESARROLLO 2024 - 2027'!$M$123</f>
        <v>0.20174333228533195</v>
      </c>
      <c r="C1222" s="738" t="s">
        <v>2023</v>
      </c>
      <c r="D1222" s="752">
        <f>'[1]PLAN DE DESARROLLO 2024 - 2027'!$M$147</f>
        <v>0.1413865782697985</v>
      </c>
      <c r="E1222" s="738" t="s">
        <v>2028</v>
      </c>
      <c r="F1222" s="748" t="s">
        <v>2257</v>
      </c>
      <c r="G1222" s="738" t="s">
        <v>889</v>
      </c>
      <c r="H1222" s="738" t="s">
        <v>1333</v>
      </c>
      <c r="I1222" s="738"/>
      <c r="J1222" s="738" t="s">
        <v>825</v>
      </c>
      <c r="K1222" s="749" t="s">
        <v>2256</v>
      </c>
    </row>
    <row r="1223" spans="1:11" s="734" customFormat="1" ht="28.8" x14ac:dyDescent="0.3">
      <c r="A1223" s="738" t="s">
        <v>2017</v>
      </c>
      <c r="B1223" s="750">
        <f>'[1]PLAN DE DESARROLLO 2024 - 2027'!$M$123</f>
        <v>0.20174333228533195</v>
      </c>
      <c r="C1223" s="738" t="s">
        <v>2023</v>
      </c>
      <c r="D1223" s="752">
        <f>'[1]PLAN DE DESARROLLO 2024 - 2027'!$M$147</f>
        <v>0.1413865782697985</v>
      </c>
      <c r="E1223" s="738" t="s">
        <v>2028</v>
      </c>
      <c r="F1223" s="748" t="s">
        <v>2257</v>
      </c>
      <c r="G1223" s="738" t="s">
        <v>890</v>
      </c>
      <c r="H1223" s="738" t="s">
        <v>1334</v>
      </c>
      <c r="I1223" s="738"/>
      <c r="J1223" s="738" t="s">
        <v>825</v>
      </c>
      <c r="K1223" s="749" t="s">
        <v>2256</v>
      </c>
    </row>
    <row r="1224" spans="1:11" s="734" customFormat="1" ht="28.8" x14ac:dyDescent="0.3">
      <c r="A1224" s="738" t="s">
        <v>2017</v>
      </c>
      <c r="B1224" s="750">
        <f>'[1]PLAN DE DESARROLLO 2024 - 2027'!$M$123</f>
        <v>0.20174333228533195</v>
      </c>
      <c r="C1224" s="738" t="s">
        <v>2023</v>
      </c>
      <c r="D1224" s="752">
        <f>'[1]PLAN DE DESARROLLO 2024 - 2027'!$M$147</f>
        <v>0.1413865782697985</v>
      </c>
      <c r="E1224" s="738" t="s">
        <v>2028</v>
      </c>
      <c r="F1224" s="748" t="s">
        <v>2257</v>
      </c>
      <c r="G1224" s="738" t="s">
        <v>891</v>
      </c>
      <c r="H1224" s="738" t="s">
        <v>1335</v>
      </c>
      <c r="I1224" s="738"/>
      <c r="J1224" s="738" t="s">
        <v>825</v>
      </c>
      <c r="K1224" s="749" t="s">
        <v>2256</v>
      </c>
    </row>
    <row r="1225" spans="1:11" s="734" customFormat="1" ht="28.8" x14ac:dyDescent="0.3">
      <c r="A1225" s="738" t="s">
        <v>2017</v>
      </c>
      <c r="B1225" s="750">
        <f>'[1]PLAN DE DESARROLLO 2024 - 2027'!$M$123</f>
        <v>0.20174333228533195</v>
      </c>
      <c r="C1225" s="738" t="s">
        <v>2023</v>
      </c>
      <c r="D1225" s="752">
        <f>'[1]PLAN DE DESARROLLO 2024 - 2027'!$M$147</f>
        <v>0.1413865782697985</v>
      </c>
      <c r="E1225" s="738" t="s">
        <v>1814</v>
      </c>
      <c r="F1225" s="748">
        <f>[2]Hoja1!$B$149</f>
        <v>0</v>
      </c>
      <c r="G1225" s="738" t="s">
        <v>892</v>
      </c>
      <c r="H1225" s="738" t="s">
        <v>1336</v>
      </c>
      <c r="I1225" s="738"/>
      <c r="J1225" s="738" t="s">
        <v>863</v>
      </c>
      <c r="K1225" s="749" t="s">
        <v>2256</v>
      </c>
    </row>
    <row r="1226" spans="1:11" s="734" customFormat="1" ht="28.8" x14ac:dyDescent="0.3">
      <c r="A1226" s="738" t="s">
        <v>2017</v>
      </c>
      <c r="B1226" s="750">
        <f>'[1]PLAN DE DESARROLLO 2024 - 2027'!$M$123</f>
        <v>0.20174333228533195</v>
      </c>
      <c r="C1226" s="738" t="s">
        <v>2023</v>
      </c>
      <c r="D1226" s="752">
        <f>'[1]PLAN DE DESARROLLO 2024 - 2027'!$M$147</f>
        <v>0.1413865782697985</v>
      </c>
      <c r="E1226" s="738" t="s">
        <v>1814</v>
      </c>
      <c r="F1226" s="748">
        <f>[2]Hoja1!$B$149</f>
        <v>0</v>
      </c>
      <c r="G1226" s="738" t="s">
        <v>893</v>
      </c>
      <c r="H1226" s="738" t="s">
        <v>1337</v>
      </c>
      <c r="I1226" s="738"/>
      <c r="J1226" s="738" t="s">
        <v>863</v>
      </c>
      <c r="K1226" s="749" t="s">
        <v>2256</v>
      </c>
    </row>
    <row r="1227" spans="1:11" s="734" customFormat="1" ht="28.8" x14ac:dyDescent="0.3">
      <c r="A1227" s="738" t="s">
        <v>2017</v>
      </c>
      <c r="B1227" s="750">
        <f>'[1]PLAN DE DESARROLLO 2024 - 2027'!$M$123</f>
        <v>0.20174333228533195</v>
      </c>
      <c r="C1227" s="738" t="s">
        <v>2023</v>
      </c>
      <c r="D1227" s="752">
        <f>'[1]PLAN DE DESARROLLO 2024 - 2027'!$M$147</f>
        <v>0.1413865782697985</v>
      </c>
      <c r="E1227" s="738" t="s">
        <v>1814</v>
      </c>
      <c r="F1227" s="748">
        <f>[2]Hoja1!$B$149</f>
        <v>0</v>
      </c>
      <c r="G1227" s="738" t="s">
        <v>894</v>
      </c>
      <c r="H1227" s="738" t="s">
        <v>1338</v>
      </c>
      <c r="I1227" s="738"/>
      <c r="J1227" s="738" t="s">
        <v>863</v>
      </c>
      <c r="K1227" s="749" t="s">
        <v>2256</v>
      </c>
    </row>
    <row r="1228" spans="1:11" s="734" customFormat="1" ht="28.8" x14ac:dyDescent="0.3">
      <c r="A1228" s="738" t="s">
        <v>2017</v>
      </c>
      <c r="B1228" s="750">
        <f>'[1]PLAN DE DESARROLLO 2024 - 2027'!$M$123</f>
        <v>0.20174333228533195</v>
      </c>
      <c r="C1228" s="738" t="s">
        <v>2023</v>
      </c>
      <c r="D1228" s="752">
        <f>'[1]PLAN DE DESARROLLO 2024 - 2027'!$M$147</f>
        <v>0.1413865782697985</v>
      </c>
      <c r="E1228" s="738" t="s">
        <v>2031</v>
      </c>
      <c r="F1228" s="748">
        <f>[2]Hoja1!$B$155</f>
        <v>0.49849955410878943</v>
      </c>
      <c r="G1228" s="738" t="s">
        <v>906</v>
      </c>
      <c r="H1228" s="738" t="s">
        <v>1349</v>
      </c>
      <c r="I1228" s="738"/>
      <c r="J1228" s="738" t="s">
        <v>907</v>
      </c>
      <c r="K1228" s="749" t="s">
        <v>2256</v>
      </c>
    </row>
    <row r="1229" spans="1:11" s="734" customFormat="1" ht="28.8" x14ac:dyDescent="0.3">
      <c r="A1229" s="738" t="s">
        <v>2017</v>
      </c>
      <c r="B1229" s="750">
        <f>'[1]PLAN DE DESARROLLO 2024 - 2027'!$M$123</f>
        <v>0.20174333228533195</v>
      </c>
      <c r="C1229" s="738" t="s">
        <v>2023</v>
      </c>
      <c r="D1229" s="752">
        <f>'[1]PLAN DE DESARROLLO 2024 - 2027'!$M$147</f>
        <v>0.1413865782697985</v>
      </c>
      <c r="E1229" s="738" t="s">
        <v>2031</v>
      </c>
      <c r="F1229" s="748">
        <f>[2]Hoja1!$B$155</f>
        <v>0.49849955410878943</v>
      </c>
      <c r="G1229" s="738" t="s">
        <v>908</v>
      </c>
      <c r="H1229" s="738" t="s">
        <v>1350</v>
      </c>
      <c r="I1229" s="738"/>
      <c r="J1229" s="738" t="s">
        <v>907</v>
      </c>
      <c r="K1229" s="749" t="s">
        <v>2256</v>
      </c>
    </row>
    <row r="1230" spans="1:11" s="734" customFormat="1" ht="28.8" x14ac:dyDescent="0.3">
      <c r="A1230" s="738" t="s">
        <v>2110</v>
      </c>
      <c r="B1230" s="750">
        <f>'[1]PLAN DE DESARROLLO 2024 - 2027'!$M$161</f>
        <v>0.24647581985093744</v>
      </c>
      <c r="C1230" s="738" t="s">
        <v>2112</v>
      </c>
      <c r="D1230" s="747">
        <f>'[1]PLAN DE DESARROLLO 2024 - 2027'!$M$166</f>
        <v>0.23451309458253802</v>
      </c>
      <c r="E1230" s="738" t="s">
        <v>2124</v>
      </c>
      <c r="F1230" s="748">
        <f>[2]Hoja1!$B$134</f>
        <v>0.3</v>
      </c>
      <c r="G1230" s="738" t="s">
        <v>978</v>
      </c>
      <c r="H1230" s="738" t="s">
        <v>1180</v>
      </c>
      <c r="I1230" s="738"/>
      <c r="J1230" s="738" t="s">
        <v>516</v>
      </c>
      <c r="K1230" s="749" t="s">
        <v>2256</v>
      </c>
    </row>
    <row r="1231" spans="1:11" s="734" customFormat="1" ht="28.8" x14ac:dyDescent="0.3">
      <c r="A1231" s="738" t="s">
        <v>2017</v>
      </c>
      <c r="B1231" s="750">
        <f>'[1]PLAN DE DESARROLLO 2024 - 2027'!$M$123</f>
        <v>0.20174333228533195</v>
      </c>
      <c r="C1231" s="738" t="s">
        <v>2023</v>
      </c>
      <c r="D1231" s="752">
        <f>'[1]PLAN DE DESARROLLO 2024 - 2027'!$M$147</f>
        <v>0.1413865782697985</v>
      </c>
      <c r="E1231" s="738" t="s">
        <v>2031</v>
      </c>
      <c r="F1231" s="748">
        <f>[2]Hoja1!$B$155</f>
        <v>0.49849955410878943</v>
      </c>
      <c r="G1231" s="738" t="s">
        <v>909</v>
      </c>
      <c r="H1231" s="738" t="s">
        <v>1351</v>
      </c>
      <c r="I1231" s="738"/>
      <c r="J1231" s="738" t="s">
        <v>907</v>
      </c>
      <c r="K1231" s="749" t="s">
        <v>2256</v>
      </c>
    </row>
    <row r="1232" spans="1:11" s="734" customFormat="1" ht="28.8" x14ac:dyDescent="0.3">
      <c r="A1232" s="738" t="s">
        <v>2017</v>
      </c>
      <c r="B1232" s="750">
        <f>'[1]PLAN DE DESARROLLO 2024 - 2027'!$M$123</f>
        <v>0.20174333228533195</v>
      </c>
      <c r="C1232" s="738" t="s">
        <v>2023</v>
      </c>
      <c r="D1232" s="752">
        <f>'[1]PLAN DE DESARROLLO 2024 - 2027'!$M$147</f>
        <v>0.1413865782697985</v>
      </c>
      <c r="E1232" s="738" t="s">
        <v>2031</v>
      </c>
      <c r="F1232" s="748">
        <f>[2]Hoja1!$B$155</f>
        <v>0.49849955410878943</v>
      </c>
      <c r="G1232" s="738" t="s">
        <v>910</v>
      </c>
      <c r="H1232" s="738" t="s">
        <v>1352</v>
      </c>
      <c r="I1232" s="738"/>
      <c r="J1232" s="738" t="s">
        <v>907</v>
      </c>
      <c r="K1232" s="749" t="s">
        <v>2256</v>
      </c>
    </row>
    <row r="1233" spans="1:11" s="734" customFormat="1" ht="28.8" x14ac:dyDescent="0.3">
      <c r="A1233" s="738" t="s">
        <v>2017</v>
      </c>
      <c r="B1233" s="750">
        <f>'[1]PLAN DE DESARROLLO 2024 - 2027'!$M$123</f>
        <v>0.20174333228533195</v>
      </c>
      <c r="C1233" s="738" t="s">
        <v>2023</v>
      </c>
      <c r="D1233" s="752">
        <f>'[1]PLAN DE DESARROLLO 2024 - 2027'!$M$147</f>
        <v>0.1413865782697985</v>
      </c>
      <c r="E1233" s="738" t="s">
        <v>2031</v>
      </c>
      <c r="F1233" s="748">
        <f>[2]Hoja1!$B$155</f>
        <v>0.49849955410878943</v>
      </c>
      <c r="G1233" s="738" t="s">
        <v>911</v>
      </c>
      <c r="H1233" s="738" t="s">
        <v>1353</v>
      </c>
      <c r="I1233" s="738"/>
      <c r="J1233" s="738" t="s">
        <v>907</v>
      </c>
      <c r="K1233" s="749" t="s">
        <v>2256</v>
      </c>
    </row>
    <row r="1234" spans="1:11" s="734" customFormat="1" ht="28.8" x14ac:dyDescent="0.3">
      <c r="A1234" s="738" t="s">
        <v>2017</v>
      </c>
      <c r="B1234" s="750">
        <f>'[1]PLAN DE DESARROLLO 2024 - 2027'!$M$123</f>
        <v>0.20174333228533195</v>
      </c>
      <c r="C1234" s="738" t="s">
        <v>2023</v>
      </c>
      <c r="D1234" s="752">
        <f>'[1]PLAN DE DESARROLLO 2024 - 2027'!$M$147</f>
        <v>0.1413865782697985</v>
      </c>
      <c r="E1234" s="738" t="s">
        <v>2031</v>
      </c>
      <c r="F1234" s="748">
        <f>[2]Hoja1!$B$155</f>
        <v>0.49849955410878943</v>
      </c>
      <c r="G1234" s="738" t="s">
        <v>912</v>
      </c>
      <c r="H1234" s="738" t="s">
        <v>1354</v>
      </c>
      <c r="I1234" s="738"/>
      <c r="J1234" s="738" t="s">
        <v>907</v>
      </c>
      <c r="K1234" s="749" t="s">
        <v>2256</v>
      </c>
    </row>
    <row r="1235" spans="1:11" s="734" customFormat="1" ht="28.8" x14ac:dyDescent="0.3">
      <c r="A1235" s="738" t="s">
        <v>2017</v>
      </c>
      <c r="B1235" s="750">
        <f>'[1]PLAN DE DESARROLLO 2024 - 2027'!$M$123</f>
        <v>0.20174333228533195</v>
      </c>
      <c r="C1235" s="738" t="s">
        <v>2023</v>
      </c>
      <c r="D1235" s="752">
        <f>'[1]PLAN DE DESARROLLO 2024 - 2027'!$M$147</f>
        <v>0.1413865782697985</v>
      </c>
      <c r="E1235" s="738" t="s">
        <v>2031</v>
      </c>
      <c r="F1235" s="748">
        <f>[2]Hoja1!$B$155</f>
        <v>0.49849955410878943</v>
      </c>
      <c r="G1235" s="738" t="s">
        <v>913</v>
      </c>
      <c r="H1235" s="738" t="s">
        <v>1355</v>
      </c>
      <c r="I1235" s="738"/>
      <c r="J1235" s="738" t="s">
        <v>907</v>
      </c>
      <c r="K1235" s="749" t="s">
        <v>2256</v>
      </c>
    </row>
    <row r="1236" spans="1:11" s="734" customFormat="1" ht="28.8" x14ac:dyDescent="0.3">
      <c r="A1236" s="738" t="s">
        <v>2017</v>
      </c>
      <c r="B1236" s="750">
        <f>'[1]PLAN DE DESARROLLO 2024 - 2027'!$M$123</f>
        <v>0.20174333228533195</v>
      </c>
      <c r="C1236" s="738" t="s">
        <v>2023</v>
      </c>
      <c r="D1236" s="752">
        <f>'[1]PLAN DE DESARROLLO 2024 - 2027'!$M$147</f>
        <v>0.1413865782697985</v>
      </c>
      <c r="E1236" s="738" t="s">
        <v>2031</v>
      </c>
      <c r="F1236" s="748">
        <f>[2]Hoja1!$B$155</f>
        <v>0.49849955410878943</v>
      </c>
      <c r="G1236" s="738" t="s">
        <v>914</v>
      </c>
      <c r="H1236" s="738" t="s">
        <v>1356</v>
      </c>
      <c r="I1236" s="738"/>
      <c r="J1236" s="738" t="s">
        <v>2032</v>
      </c>
      <c r="K1236" s="749" t="s">
        <v>2256</v>
      </c>
    </row>
    <row r="1237" spans="1:11" s="734" customFormat="1" ht="28.8" x14ac:dyDescent="0.3">
      <c r="A1237" s="738" t="s">
        <v>2017</v>
      </c>
      <c r="B1237" s="750">
        <f>'[1]PLAN DE DESARROLLO 2024 - 2027'!$M$123</f>
        <v>0.20174333228533195</v>
      </c>
      <c r="C1237" s="738" t="s">
        <v>2023</v>
      </c>
      <c r="D1237" s="752">
        <f>'[1]PLAN DE DESARROLLO 2024 - 2027'!$M$147</f>
        <v>0.1413865782697985</v>
      </c>
      <c r="E1237" s="738" t="s">
        <v>2031</v>
      </c>
      <c r="F1237" s="748">
        <f>[2]Hoja1!$B$155</f>
        <v>0.49849955410878943</v>
      </c>
      <c r="G1237" s="738" t="s">
        <v>916</v>
      </c>
      <c r="H1237" s="738" t="s">
        <v>1357</v>
      </c>
      <c r="I1237" s="738"/>
      <c r="J1237" s="738" t="s">
        <v>2033</v>
      </c>
      <c r="K1237" s="749" t="s">
        <v>2256</v>
      </c>
    </row>
    <row r="1238" spans="1:11" s="734" customFormat="1" ht="43.2" x14ac:dyDescent="0.3">
      <c r="A1238" s="738" t="s">
        <v>2143</v>
      </c>
      <c r="B1238" s="746">
        <f>'[1]PLAN DE DESARROLLO 2024 - 2027'!$M$4</f>
        <v>0.24028917333263158</v>
      </c>
      <c r="C1238" s="738" t="s">
        <v>2149</v>
      </c>
      <c r="D1238" s="747">
        <f>'[1]PLAN DE DESARROLLO 2024 - 2027'!$M$20</f>
        <v>0.2170625911038922</v>
      </c>
      <c r="E1238" s="738" t="s">
        <v>1629</v>
      </c>
      <c r="F1238" s="748">
        <f>[2]Hoja1!$B$139</f>
        <v>0.25787869115937234</v>
      </c>
      <c r="G1238" s="738" t="s">
        <v>2157</v>
      </c>
      <c r="H1238" s="738" t="s">
        <v>2158</v>
      </c>
      <c r="I1238" s="738"/>
      <c r="J1238" s="738" t="s">
        <v>162</v>
      </c>
      <c r="K1238" s="749" t="s">
        <v>2256</v>
      </c>
    </row>
    <row r="1239" spans="1:11" s="734" customFormat="1" ht="43.2" x14ac:dyDescent="0.3">
      <c r="A1239" s="738" t="s">
        <v>2143</v>
      </c>
      <c r="B1239" s="746">
        <f>'[1]PLAN DE DESARROLLO 2024 - 2027'!$M$4</f>
        <v>0.24028917333263158</v>
      </c>
      <c r="C1239" s="738" t="s">
        <v>2149</v>
      </c>
      <c r="D1239" s="747">
        <f>'[1]PLAN DE DESARROLLO 2024 - 2027'!$M$20</f>
        <v>0.2170625911038922</v>
      </c>
      <c r="E1239" s="738" t="s">
        <v>1629</v>
      </c>
      <c r="F1239" s="748">
        <f>[2]Hoja1!$B$139</f>
        <v>0.25787869115937234</v>
      </c>
      <c r="G1239" s="738" t="s">
        <v>216</v>
      </c>
      <c r="H1239" s="738" t="s">
        <v>217</v>
      </c>
      <c r="I1239" s="738"/>
      <c r="J1239" s="738" t="s">
        <v>162</v>
      </c>
      <c r="K1239" s="749" t="s">
        <v>2256</v>
      </c>
    </row>
    <row r="1240" spans="1:11" s="734" customFormat="1" ht="43.2" x14ac:dyDescent="0.3">
      <c r="A1240" s="738" t="s">
        <v>2143</v>
      </c>
      <c r="B1240" s="746">
        <f>'[1]PLAN DE DESARROLLO 2024 - 2027'!$M$4</f>
        <v>0.24028917333263158</v>
      </c>
      <c r="C1240" s="738" t="s">
        <v>2149</v>
      </c>
      <c r="D1240" s="747">
        <f>'[1]PLAN DE DESARROLLO 2024 - 2027'!$M$20</f>
        <v>0.2170625911038922</v>
      </c>
      <c r="E1240" s="738" t="s">
        <v>1629</v>
      </c>
      <c r="F1240" s="748">
        <f>[2]Hoja1!$B$139</f>
        <v>0.25787869115937234</v>
      </c>
      <c r="G1240" s="738" t="s">
        <v>218</v>
      </c>
      <c r="H1240" s="738" t="s">
        <v>219</v>
      </c>
      <c r="I1240" s="738"/>
      <c r="J1240" s="738" t="s">
        <v>162</v>
      </c>
      <c r="K1240" s="749" t="s">
        <v>2256</v>
      </c>
    </row>
    <row r="1241" spans="1:11" s="734" customFormat="1" ht="28.8" x14ac:dyDescent="0.3">
      <c r="A1241" s="738" t="s">
        <v>2143</v>
      </c>
      <c r="B1241" s="746">
        <f>'[1]PLAN DE DESARROLLO 2024 - 2027'!$M$4</f>
        <v>0.24028917333263158</v>
      </c>
      <c r="C1241" s="738" t="s">
        <v>2176</v>
      </c>
      <c r="D1241" s="747">
        <f>'[1]PLAN DE DESARROLLO 2024 - 2027'!$M$5</f>
        <v>0.36421067601552731</v>
      </c>
      <c r="E1241" s="738" t="s">
        <v>2192</v>
      </c>
      <c r="F1241" s="748">
        <f>[2]Hoja1!$B$56</f>
        <v>0.25921388888888885</v>
      </c>
      <c r="G1241" s="738" t="s">
        <v>46</v>
      </c>
      <c r="H1241" s="738" t="s">
        <v>47</v>
      </c>
      <c r="I1241" s="738"/>
      <c r="J1241" s="738" t="s">
        <v>48</v>
      </c>
      <c r="K1241" s="749" t="s">
        <v>2256</v>
      </c>
    </row>
    <row r="1242" spans="1:11" s="734" customFormat="1" ht="28.8" x14ac:dyDescent="0.3">
      <c r="A1242" s="738" t="s">
        <v>2143</v>
      </c>
      <c r="B1242" s="746">
        <f>'[1]PLAN DE DESARROLLO 2024 - 2027'!$M$4</f>
        <v>0.24028917333263158</v>
      </c>
      <c r="C1242" s="738" t="s">
        <v>2176</v>
      </c>
      <c r="D1242" s="747">
        <f>'[1]PLAN DE DESARROLLO 2024 - 2027'!$M$5</f>
        <v>0.36421067601552731</v>
      </c>
      <c r="E1242" s="738" t="s">
        <v>2192</v>
      </c>
      <c r="F1242" s="748">
        <f>[2]Hoja1!$B$56</f>
        <v>0.25921388888888885</v>
      </c>
      <c r="G1242" s="738" t="s">
        <v>49</v>
      </c>
      <c r="H1242" s="738" t="s">
        <v>50</v>
      </c>
      <c r="I1242" s="738"/>
      <c r="J1242" s="738" t="s">
        <v>48</v>
      </c>
      <c r="K1242" s="749" t="s">
        <v>2256</v>
      </c>
    </row>
    <row r="1243" spans="1:11" s="734" customFormat="1" x14ac:dyDescent="0.3">
      <c r="A1243" s="738" t="s">
        <v>2143</v>
      </c>
      <c r="B1243" s="746">
        <f>'[1]PLAN DE DESARROLLO 2024 - 2027'!$M$4</f>
        <v>0.24028917333263158</v>
      </c>
      <c r="C1243" s="738" t="s">
        <v>2176</v>
      </c>
      <c r="D1243" s="747">
        <f>'[1]PLAN DE DESARROLLO 2024 - 2027'!$M$5</f>
        <v>0.36421067601552731</v>
      </c>
      <c r="E1243" s="738" t="s">
        <v>2192</v>
      </c>
      <c r="F1243" s="748">
        <f>[2]Hoja1!$B$56</f>
        <v>0.25921388888888885</v>
      </c>
      <c r="G1243" s="738" t="s">
        <v>51</v>
      </c>
      <c r="H1243" s="738" t="s">
        <v>52</v>
      </c>
      <c r="I1243" s="738"/>
      <c r="J1243" s="738" t="s">
        <v>48</v>
      </c>
      <c r="K1243" s="749" t="s">
        <v>2256</v>
      </c>
    </row>
    <row r="1244" spans="1:11" s="734" customFormat="1" ht="28.8" x14ac:dyDescent="0.3">
      <c r="A1244" s="738" t="s">
        <v>2143</v>
      </c>
      <c r="B1244" s="746">
        <f>'[1]PLAN DE DESARROLLO 2024 - 2027'!$M$4</f>
        <v>0.24028917333263158</v>
      </c>
      <c r="C1244" s="738" t="s">
        <v>2176</v>
      </c>
      <c r="D1244" s="747">
        <f>'[1]PLAN DE DESARROLLO 2024 - 2027'!$M$5</f>
        <v>0.36421067601552731</v>
      </c>
      <c r="E1244" s="738" t="s">
        <v>2192</v>
      </c>
      <c r="F1244" s="748">
        <f>[2]Hoja1!$B$56</f>
        <v>0.25921388888888885</v>
      </c>
      <c r="G1244" s="738" t="s">
        <v>53</v>
      </c>
      <c r="H1244" s="738" t="s">
        <v>54</v>
      </c>
      <c r="I1244" s="738"/>
      <c r="J1244" s="738" t="s">
        <v>48</v>
      </c>
      <c r="K1244" s="749" t="s">
        <v>2256</v>
      </c>
    </row>
    <row r="1245" spans="1:11" s="734" customFormat="1" x14ac:dyDescent="0.3">
      <c r="A1245" s="738" t="s">
        <v>2143</v>
      </c>
      <c r="B1245" s="746">
        <f>'[1]PLAN DE DESARROLLO 2024 - 2027'!$M$4</f>
        <v>0.24028917333263158</v>
      </c>
      <c r="C1245" s="738" t="s">
        <v>2176</v>
      </c>
      <c r="D1245" s="747">
        <f>'[1]PLAN DE DESARROLLO 2024 - 2027'!$M$5</f>
        <v>0.36421067601552731</v>
      </c>
      <c r="E1245" s="738" t="s">
        <v>1594</v>
      </c>
      <c r="F1245" s="748">
        <f>[2]Hoja1!$B$57</f>
        <v>0.64999999999999991</v>
      </c>
      <c r="G1245" s="738" t="s">
        <v>23</v>
      </c>
      <c r="H1245" s="738" t="s">
        <v>24</v>
      </c>
      <c r="I1245" s="738"/>
      <c r="J1245" s="738" t="s">
        <v>12</v>
      </c>
      <c r="K1245" s="749" t="s">
        <v>2256</v>
      </c>
    </row>
    <row r="1246" spans="1:11" s="734" customFormat="1" x14ac:dyDescent="0.3">
      <c r="A1246" s="738" t="s">
        <v>2143</v>
      </c>
      <c r="B1246" s="746">
        <f>'[1]PLAN DE DESARROLLO 2024 - 2027'!$M$4</f>
        <v>0.24028917333263158</v>
      </c>
      <c r="C1246" s="738" t="s">
        <v>2176</v>
      </c>
      <c r="D1246" s="747">
        <f>'[1]PLAN DE DESARROLLO 2024 - 2027'!$M$5</f>
        <v>0.36421067601552731</v>
      </c>
      <c r="E1246" s="738" t="s">
        <v>1594</v>
      </c>
      <c r="F1246" s="748">
        <f>[2]Hoja1!$B$57</f>
        <v>0.64999999999999991</v>
      </c>
      <c r="G1246" s="738" t="s">
        <v>25</v>
      </c>
      <c r="H1246" s="738" t="s">
        <v>26</v>
      </c>
      <c r="I1246" s="738"/>
      <c r="J1246" s="738" t="s">
        <v>12</v>
      </c>
      <c r="K1246" s="749" t="s">
        <v>2256</v>
      </c>
    </row>
    <row r="1247" spans="1:11" s="734" customFormat="1" ht="28.8" x14ac:dyDescent="0.3">
      <c r="A1247" s="738" t="s">
        <v>2143</v>
      </c>
      <c r="B1247" s="746">
        <f>'[1]PLAN DE DESARROLLO 2024 - 2027'!$M$4</f>
        <v>0.24028917333263158</v>
      </c>
      <c r="C1247" s="738" t="s">
        <v>2176</v>
      </c>
      <c r="D1247" s="747">
        <f>'[1]PLAN DE DESARROLLO 2024 - 2027'!$M$5</f>
        <v>0.36421067601552731</v>
      </c>
      <c r="E1247" s="738" t="s">
        <v>1594</v>
      </c>
      <c r="F1247" s="748">
        <f>[2]Hoja1!$B$57</f>
        <v>0.64999999999999991</v>
      </c>
      <c r="G1247" s="738" t="s">
        <v>27</v>
      </c>
      <c r="H1247" s="738" t="s">
        <v>28</v>
      </c>
      <c r="I1247" s="738"/>
      <c r="J1247" s="738" t="s">
        <v>12</v>
      </c>
      <c r="K1247" s="749" t="s">
        <v>2256</v>
      </c>
    </row>
    <row r="1248" spans="1:11" s="734" customFormat="1" ht="43.2" x14ac:dyDescent="0.3">
      <c r="A1248" s="738" t="s">
        <v>2143</v>
      </c>
      <c r="B1248" s="746">
        <f>'[1]PLAN DE DESARROLLO 2024 - 2027'!$M$4</f>
        <v>0.24028917333263158</v>
      </c>
      <c r="C1248" s="738" t="s">
        <v>2176</v>
      </c>
      <c r="D1248" s="747">
        <f>'[1]PLAN DE DESARROLLO 2024 - 2027'!$M$5</f>
        <v>0.36421067601552731</v>
      </c>
      <c r="E1248" s="738" t="s">
        <v>2177</v>
      </c>
      <c r="F1248" s="748">
        <f>[2]Hoja1!$B$121</f>
        <v>0.32500000000000001</v>
      </c>
      <c r="G1248" s="738" t="s">
        <v>10</v>
      </c>
      <c r="H1248" s="738" t="s">
        <v>11</v>
      </c>
      <c r="I1248" s="738"/>
      <c r="J1248" s="738" t="s">
        <v>2178</v>
      </c>
      <c r="K1248" s="749" t="s">
        <v>2256</v>
      </c>
    </row>
    <row r="1249" spans="1:11" s="734" customFormat="1" ht="28.8" x14ac:dyDescent="0.3">
      <c r="A1249" s="738" t="s">
        <v>2143</v>
      </c>
      <c r="B1249" s="746">
        <f>'[1]PLAN DE DESARROLLO 2024 - 2027'!$M$4</f>
        <v>0.24028917333263158</v>
      </c>
      <c r="C1249" s="738" t="s">
        <v>2176</v>
      </c>
      <c r="D1249" s="747">
        <f>'[1]PLAN DE DESARROLLO 2024 - 2027'!$M$5</f>
        <v>0.36421067601552731</v>
      </c>
      <c r="E1249" s="738" t="s">
        <v>2177</v>
      </c>
      <c r="F1249" s="748">
        <f>[2]Hoja1!$B$121</f>
        <v>0.32500000000000001</v>
      </c>
      <c r="G1249" s="738" t="s">
        <v>2179</v>
      </c>
      <c r="H1249" s="738" t="s">
        <v>2180</v>
      </c>
      <c r="I1249" s="738"/>
      <c r="J1249" s="738" t="s">
        <v>2181</v>
      </c>
      <c r="K1249" s="749" t="s">
        <v>2256</v>
      </c>
    </row>
    <row r="1250" spans="1:11" s="734" customFormat="1" ht="28.8" x14ac:dyDescent="0.3">
      <c r="A1250" s="738" t="s">
        <v>2143</v>
      </c>
      <c r="B1250" s="746">
        <f>'[1]PLAN DE DESARROLLO 2024 - 2027'!$M$4</f>
        <v>0.24028917333263158</v>
      </c>
      <c r="C1250" s="738" t="s">
        <v>2176</v>
      </c>
      <c r="D1250" s="747">
        <f>'[1]PLAN DE DESARROLLO 2024 - 2027'!$M$5</f>
        <v>0.36421067601552731</v>
      </c>
      <c r="E1250" s="738" t="s">
        <v>2177</v>
      </c>
      <c r="F1250" s="748">
        <f>[2]Hoja1!$B$121</f>
        <v>0.32500000000000001</v>
      </c>
      <c r="G1250" s="738" t="s">
        <v>2182</v>
      </c>
      <c r="H1250" s="738" t="s">
        <v>16</v>
      </c>
      <c r="I1250" s="738"/>
      <c r="J1250" s="738" t="s">
        <v>12</v>
      </c>
      <c r="K1250" s="749" t="s">
        <v>2256</v>
      </c>
    </row>
    <row r="1251" spans="1:11" s="734" customFormat="1" ht="28.8" x14ac:dyDescent="0.3">
      <c r="A1251" s="738" t="s">
        <v>2143</v>
      </c>
      <c r="B1251" s="746">
        <f>'[1]PLAN DE DESARROLLO 2024 - 2027'!$M$4</f>
        <v>0.24028917333263158</v>
      </c>
      <c r="C1251" s="738" t="s">
        <v>2176</v>
      </c>
      <c r="D1251" s="747">
        <f>'[1]PLAN DE DESARROLLO 2024 - 2027'!$M$5</f>
        <v>0.36421067601552731</v>
      </c>
      <c r="E1251" s="738" t="s">
        <v>2177</v>
      </c>
      <c r="F1251" s="748">
        <f>[2]Hoja1!$B$121</f>
        <v>0.32500000000000001</v>
      </c>
      <c r="G1251" s="738" t="s">
        <v>17</v>
      </c>
      <c r="H1251" s="738" t="s">
        <v>18</v>
      </c>
      <c r="I1251" s="738"/>
      <c r="J1251" s="738" t="s">
        <v>2183</v>
      </c>
      <c r="K1251" s="749" t="s">
        <v>2256</v>
      </c>
    </row>
    <row r="1252" spans="1:11" s="734" customFormat="1" x14ac:dyDescent="0.3">
      <c r="A1252" s="738" t="s">
        <v>2143</v>
      </c>
      <c r="B1252" s="746">
        <f>'[1]PLAN DE DESARROLLO 2024 - 2027'!$M$4</f>
        <v>0.24028917333263158</v>
      </c>
      <c r="C1252" s="738" t="s">
        <v>2176</v>
      </c>
      <c r="D1252" s="747">
        <f>'[1]PLAN DE DESARROLLO 2024 - 2027'!$M$5</f>
        <v>0.36421067601552731</v>
      </c>
      <c r="E1252" s="738" t="s">
        <v>2177</v>
      </c>
      <c r="F1252" s="748">
        <f>[2]Hoja1!$B$121</f>
        <v>0.32500000000000001</v>
      </c>
      <c r="G1252" s="738" t="s">
        <v>2184</v>
      </c>
      <c r="H1252" s="738" t="s">
        <v>2185</v>
      </c>
      <c r="I1252" s="738"/>
      <c r="J1252" s="738" t="s">
        <v>12</v>
      </c>
      <c r="K1252" s="749" t="s">
        <v>2256</v>
      </c>
    </row>
    <row r="1253" spans="1:11" s="734" customFormat="1" ht="72" x14ac:dyDescent="0.3">
      <c r="A1253" s="738" t="s">
        <v>2143</v>
      </c>
      <c r="B1253" s="746">
        <f>'[1]PLAN DE DESARROLLO 2024 - 2027'!$M$4</f>
        <v>0.24028917333263158</v>
      </c>
      <c r="C1253" s="738" t="s">
        <v>2176</v>
      </c>
      <c r="D1253" s="747">
        <f>'[1]PLAN DE DESARROLLO 2024 - 2027'!$M$5</f>
        <v>0.36421067601552731</v>
      </c>
      <c r="E1253" s="738" t="s">
        <v>2177</v>
      </c>
      <c r="F1253" s="748">
        <f>[2]Hoja1!$B$121</f>
        <v>0.32500000000000001</v>
      </c>
      <c r="G1253" s="738" t="s">
        <v>21</v>
      </c>
      <c r="H1253" s="738" t="s">
        <v>22</v>
      </c>
      <c r="I1253" s="738"/>
      <c r="J1253" s="738" t="s">
        <v>2186</v>
      </c>
      <c r="K1253" s="749" t="s">
        <v>2256</v>
      </c>
    </row>
    <row r="1254" spans="1:11" s="734" customFormat="1" ht="43.2" x14ac:dyDescent="0.3">
      <c r="A1254" s="738" t="s">
        <v>2143</v>
      </c>
      <c r="B1254" s="746">
        <f>'[1]PLAN DE DESARROLLO 2024 - 2027'!$M$4</f>
        <v>0.24028917333263158</v>
      </c>
      <c r="C1254" s="738" t="s">
        <v>2176</v>
      </c>
      <c r="D1254" s="747">
        <f>'[1]PLAN DE DESARROLLO 2024 - 2027'!$M$5</f>
        <v>0.36421067601552731</v>
      </c>
      <c r="E1254" s="738" t="s">
        <v>1595</v>
      </c>
      <c r="F1254" s="748">
        <f>[2]Hoja1!$B$142</f>
        <v>0.16513095708879477</v>
      </c>
      <c r="G1254" s="738" t="s">
        <v>29</v>
      </c>
      <c r="H1254" s="738" t="s">
        <v>30</v>
      </c>
      <c r="I1254" s="738"/>
      <c r="J1254" s="738" t="s">
        <v>31</v>
      </c>
      <c r="K1254" s="749" t="s">
        <v>2256</v>
      </c>
    </row>
    <row r="1255" spans="1:11" s="734" customFormat="1" ht="43.2" x14ac:dyDescent="0.3">
      <c r="A1255" s="738" t="s">
        <v>2143</v>
      </c>
      <c r="B1255" s="746">
        <f>'[1]PLAN DE DESARROLLO 2024 - 2027'!$M$4</f>
        <v>0.24028917333263158</v>
      </c>
      <c r="C1255" s="738" t="s">
        <v>2176</v>
      </c>
      <c r="D1255" s="747">
        <f>'[1]PLAN DE DESARROLLO 2024 - 2027'!$M$5</f>
        <v>0.36421067601552731</v>
      </c>
      <c r="E1255" s="738" t="s">
        <v>1595</v>
      </c>
      <c r="F1255" s="748">
        <f>[2]Hoja1!$B$142</f>
        <v>0.16513095708879477</v>
      </c>
      <c r="G1255" s="738" t="s">
        <v>32</v>
      </c>
      <c r="H1255" s="738" t="s">
        <v>33</v>
      </c>
      <c r="I1255" s="738"/>
      <c r="J1255" s="738" t="s">
        <v>31</v>
      </c>
      <c r="K1255" s="749" t="s">
        <v>2256</v>
      </c>
    </row>
    <row r="1256" spans="1:11" s="734" customFormat="1" ht="43.2" x14ac:dyDescent="0.3">
      <c r="A1256" s="738" t="s">
        <v>2143</v>
      </c>
      <c r="B1256" s="746">
        <f>'[1]PLAN DE DESARROLLO 2024 - 2027'!$M$4</f>
        <v>0.24028917333263158</v>
      </c>
      <c r="C1256" s="738" t="s">
        <v>2176</v>
      </c>
      <c r="D1256" s="747">
        <f>'[1]PLAN DE DESARROLLO 2024 - 2027'!$M$5</f>
        <v>0.36421067601552731</v>
      </c>
      <c r="E1256" s="738" t="s">
        <v>1595</v>
      </c>
      <c r="F1256" s="748">
        <f>[2]Hoja1!$B$142</f>
        <v>0.16513095708879477</v>
      </c>
      <c r="G1256" s="738" t="s">
        <v>34</v>
      </c>
      <c r="H1256" s="738" t="s">
        <v>2187</v>
      </c>
      <c r="I1256" s="738"/>
      <c r="J1256" s="738" t="s">
        <v>31</v>
      </c>
      <c r="K1256" s="749" t="s">
        <v>2256</v>
      </c>
    </row>
    <row r="1257" spans="1:11" s="734" customFormat="1" ht="43.2" x14ac:dyDescent="0.3">
      <c r="A1257" s="738" t="s">
        <v>2143</v>
      </c>
      <c r="B1257" s="746">
        <f>'[1]PLAN DE DESARROLLO 2024 - 2027'!$M$4</f>
        <v>0.24028917333263158</v>
      </c>
      <c r="C1257" s="738" t="s">
        <v>2176</v>
      </c>
      <c r="D1257" s="747">
        <f>'[1]PLAN DE DESARROLLO 2024 - 2027'!$M$5</f>
        <v>0.36421067601552731</v>
      </c>
      <c r="E1257" s="738" t="s">
        <v>1595</v>
      </c>
      <c r="F1257" s="748">
        <f>[2]Hoja1!$B$142</f>
        <v>0.16513095708879477</v>
      </c>
      <c r="G1257" s="738" t="s">
        <v>35</v>
      </c>
      <c r="H1257" s="738" t="s">
        <v>2188</v>
      </c>
      <c r="I1257" s="738"/>
      <c r="J1257" s="738" t="s">
        <v>31</v>
      </c>
      <c r="K1257" s="749" t="s">
        <v>2256</v>
      </c>
    </row>
    <row r="1258" spans="1:11" s="734" customFormat="1" ht="43.2" x14ac:dyDescent="0.3">
      <c r="A1258" s="738" t="s">
        <v>2143</v>
      </c>
      <c r="B1258" s="746">
        <f>'[1]PLAN DE DESARROLLO 2024 - 2027'!$M$4</f>
        <v>0.24028917333263158</v>
      </c>
      <c r="C1258" s="738" t="s">
        <v>2176</v>
      </c>
      <c r="D1258" s="747">
        <f>'[1]PLAN DE DESARROLLO 2024 - 2027'!$M$5</f>
        <v>0.36421067601552731</v>
      </c>
      <c r="E1258" s="738" t="s">
        <v>1595</v>
      </c>
      <c r="F1258" s="748">
        <f>[2]Hoja1!$B$142</f>
        <v>0.16513095708879477</v>
      </c>
      <c r="G1258" s="738" t="s">
        <v>37</v>
      </c>
      <c r="H1258" s="738" t="s">
        <v>2189</v>
      </c>
      <c r="I1258" s="738"/>
      <c r="J1258" s="738" t="s">
        <v>31</v>
      </c>
      <c r="K1258" s="749" t="s">
        <v>2256</v>
      </c>
    </row>
    <row r="1259" spans="1:11" s="734" customFormat="1" ht="43.2" x14ac:dyDescent="0.3">
      <c r="A1259" s="738" t="s">
        <v>2143</v>
      </c>
      <c r="B1259" s="746">
        <f>'[1]PLAN DE DESARROLLO 2024 - 2027'!$M$4</f>
        <v>0.24028917333263158</v>
      </c>
      <c r="C1259" s="738" t="s">
        <v>2176</v>
      </c>
      <c r="D1259" s="747">
        <f>'[1]PLAN DE DESARROLLO 2024 - 2027'!$M$5</f>
        <v>0.36421067601552731</v>
      </c>
      <c r="E1259" s="738" t="s">
        <v>1595</v>
      </c>
      <c r="F1259" s="748">
        <f>[2]Hoja1!$B$142</f>
        <v>0.16513095708879477</v>
      </c>
      <c r="G1259" s="738" t="s">
        <v>39</v>
      </c>
      <c r="H1259" s="738" t="s">
        <v>40</v>
      </c>
      <c r="I1259" s="738"/>
      <c r="J1259" s="738" t="s">
        <v>31</v>
      </c>
      <c r="K1259" s="749" t="s">
        <v>2256</v>
      </c>
    </row>
    <row r="1260" spans="1:11" s="734" customFormat="1" ht="28.8" x14ac:dyDescent="0.3">
      <c r="A1260" s="738" t="s">
        <v>2143</v>
      </c>
      <c r="B1260" s="746">
        <f>'[1]PLAN DE DESARROLLO 2024 - 2027'!$M$4</f>
        <v>0.24028917333263158</v>
      </c>
      <c r="C1260" s="738" t="s">
        <v>2176</v>
      </c>
      <c r="D1260" s="747">
        <f>'[1]PLAN DE DESARROLLO 2024 - 2027'!$M$5</f>
        <v>0.36421067601552731</v>
      </c>
      <c r="E1260" s="738" t="s">
        <v>2190</v>
      </c>
      <c r="F1260" s="748">
        <f>[2]Hoja1!$B$143</f>
        <v>0.77499999999999991</v>
      </c>
      <c r="G1260" s="738" t="s">
        <v>41</v>
      </c>
      <c r="H1260" s="738" t="s">
        <v>42</v>
      </c>
      <c r="I1260" s="738"/>
      <c r="J1260" s="738" t="s">
        <v>2191</v>
      </c>
      <c r="K1260" s="749" t="s">
        <v>2256</v>
      </c>
    </row>
    <row r="1261" spans="1:11" s="734" customFormat="1" ht="28.8" x14ac:dyDescent="0.3">
      <c r="A1261" s="738" t="s">
        <v>2143</v>
      </c>
      <c r="B1261" s="746">
        <f>'[1]PLAN DE DESARROLLO 2024 - 2027'!$M$4</f>
        <v>0.24028917333263158</v>
      </c>
      <c r="C1261" s="738" t="s">
        <v>2176</v>
      </c>
      <c r="D1261" s="747">
        <f>'[1]PLAN DE DESARROLLO 2024 - 2027'!$M$5</f>
        <v>0.36421067601552731</v>
      </c>
      <c r="E1261" s="738" t="s">
        <v>2190</v>
      </c>
      <c r="F1261" s="748">
        <f>[2]Hoja1!$B$143</f>
        <v>0.77499999999999991</v>
      </c>
      <c r="G1261" s="738" t="s">
        <v>44</v>
      </c>
      <c r="H1261" s="738" t="s">
        <v>45</v>
      </c>
      <c r="I1261" s="738"/>
      <c r="J1261" s="738" t="s">
        <v>2191</v>
      </c>
      <c r="K1261" s="749" t="s">
        <v>2256</v>
      </c>
    </row>
    <row r="1262" spans="1:11" s="734" customFormat="1" ht="28.8" x14ac:dyDescent="0.3">
      <c r="A1262" s="738" t="s">
        <v>2143</v>
      </c>
      <c r="B1262" s="746">
        <f>'[1]PLAN DE DESARROLLO 2024 - 2027'!$M$4</f>
        <v>0.24028917333263158</v>
      </c>
      <c r="C1262" s="738" t="s">
        <v>2145</v>
      </c>
      <c r="D1262" s="747">
        <f>'[1]PLAN DE DESARROLLO 2024 - 2027'!$M$34</f>
        <v>0.12535549571208945</v>
      </c>
      <c r="E1262" s="738" t="s">
        <v>1626</v>
      </c>
      <c r="F1262" s="748">
        <f>[2]Hoja1!$B$2</f>
        <v>0.35514705882352937</v>
      </c>
      <c r="G1262" s="738" t="s">
        <v>342</v>
      </c>
      <c r="H1262" s="738" t="s">
        <v>343</v>
      </c>
      <c r="I1262" s="738"/>
      <c r="J1262" s="738" t="s">
        <v>297</v>
      </c>
      <c r="K1262" s="749" t="s">
        <v>2256</v>
      </c>
    </row>
    <row r="1263" spans="1:11" s="734" customFormat="1" ht="28.8" x14ac:dyDescent="0.3">
      <c r="A1263" s="738" t="s">
        <v>2143</v>
      </c>
      <c r="B1263" s="746">
        <f>'[1]PLAN DE DESARROLLO 2024 - 2027'!$M$4</f>
        <v>0.24028917333263158</v>
      </c>
      <c r="C1263" s="738" t="s">
        <v>2145</v>
      </c>
      <c r="D1263" s="747">
        <f>'[1]PLAN DE DESARROLLO 2024 - 2027'!$M$34</f>
        <v>0.12535549571208945</v>
      </c>
      <c r="E1263" s="738" t="s">
        <v>1626</v>
      </c>
      <c r="F1263" s="748">
        <f>[2]Hoja1!$B$2</f>
        <v>0.35514705882352937</v>
      </c>
      <c r="G1263" s="738" t="s">
        <v>344</v>
      </c>
      <c r="H1263" s="738" t="s">
        <v>345</v>
      </c>
      <c r="I1263" s="738"/>
      <c r="J1263" s="738" t="s">
        <v>297</v>
      </c>
      <c r="K1263" s="749" t="s">
        <v>2256</v>
      </c>
    </row>
    <row r="1264" spans="1:11" s="734" customFormat="1" ht="28.8" x14ac:dyDescent="0.3">
      <c r="A1264" s="738" t="s">
        <v>2143</v>
      </c>
      <c r="B1264" s="746">
        <f>'[1]PLAN DE DESARROLLO 2024 - 2027'!$M$4</f>
        <v>0.24028917333263158</v>
      </c>
      <c r="C1264" s="738" t="s">
        <v>2145</v>
      </c>
      <c r="D1264" s="747">
        <f>'[1]PLAN DE DESARROLLO 2024 - 2027'!$M$34</f>
        <v>0.12535549571208945</v>
      </c>
      <c r="E1264" s="738" t="s">
        <v>2171</v>
      </c>
      <c r="F1264" s="748">
        <f>[2]Hoja1!$B$19</f>
        <v>7.0349999999999996E-3</v>
      </c>
      <c r="G1264" s="738" t="s">
        <v>326</v>
      </c>
      <c r="H1264" s="738" t="s">
        <v>327</v>
      </c>
      <c r="I1264" s="738"/>
      <c r="J1264" s="738" t="s">
        <v>297</v>
      </c>
      <c r="K1264" s="749" t="s">
        <v>2256</v>
      </c>
    </row>
    <row r="1265" spans="1:11" s="734" customFormat="1" ht="28.8" x14ac:dyDescent="0.3">
      <c r="A1265" s="738" t="s">
        <v>2143</v>
      </c>
      <c r="B1265" s="746">
        <f>'[1]PLAN DE DESARROLLO 2024 - 2027'!$M$4</f>
        <v>0.24028917333263158</v>
      </c>
      <c r="C1265" s="738" t="s">
        <v>2145</v>
      </c>
      <c r="D1265" s="747">
        <f>'[1]PLAN DE DESARROLLO 2024 - 2027'!$M$34</f>
        <v>0.12535549571208945</v>
      </c>
      <c r="E1265" s="738" t="s">
        <v>2171</v>
      </c>
      <c r="F1265" s="748">
        <f>[2]Hoja1!$B$19</f>
        <v>7.0349999999999996E-3</v>
      </c>
      <c r="G1265" s="738" t="s">
        <v>328</v>
      </c>
      <c r="H1265" s="738" t="s">
        <v>329</v>
      </c>
      <c r="I1265" s="738"/>
      <c r="J1265" s="738" t="s">
        <v>297</v>
      </c>
      <c r="K1265" s="749" t="s">
        <v>2256</v>
      </c>
    </row>
    <row r="1266" spans="1:11" s="734" customFormat="1" ht="28.8" x14ac:dyDescent="0.3">
      <c r="A1266" s="738" t="s">
        <v>2143</v>
      </c>
      <c r="B1266" s="746">
        <f>'[1]PLAN DE DESARROLLO 2024 - 2027'!$M$4</f>
        <v>0.24028917333263158</v>
      </c>
      <c r="C1266" s="738" t="s">
        <v>2145</v>
      </c>
      <c r="D1266" s="747">
        <f>'[1]PLAN DE DESARROLLO 2024 - 2027'!$M$34</f>
        <v>0.12535549571208945</v>
      </c>
      <c r="E1266" s="738" t="s">
        <v>2172</v>
      </c>
      <c r="F1266" s="748">
        <f>[2]Hoja1!$B$53</f>
        <v>0.32931501831501825</v>
      </c>
      <c r="G1266" s="738" t="s">
        <v>330</v>
      </c>
      <c r="H1266" s="738" t="s">
        <v>331</v>
      </c>
      <c r="I1266" s="738"/>
      <c r="J1266" s="738" t="s">
        <v>297</v>
      </c>
      <c r="K1266" s="749" t="s">
        <v>2256</v>
      </c>
    </row>
    <row r="1267" spans="1:11" s="734" customFormat="1" ht="28.8" x14ac:dyDescent="0.3">
      <c r="A1267" s="738" t="s">
        <v>2143</v>
      </c>
      <c r="B1267" s="746">
        <f>'[1]PLAN DE DESARROLLO 2024 - 2027'!$M$4</f>
        <v>0.24028917333263158</v>
      </c>
      <c r="C1267" s="738" t="s">
        <v>2145</v>
      </c>
      <c r="D1267" s="747">
        <f>'[1]PLAN DE DESARROLLO 2024 - 2027'!$M$34</f>
        <v>0.12535549571208945</v>
      </c>
      <c r="E1267" s="738" t="s">
        <v>2172</v>
      </c>
      <c r="F1267" s="748">
        <f>[2]Hoja1!$B$53</f>
        <v>0.32931501831501825</v>
      </c>
      <c r="G1267" s="738" t="s">
        <v>332</v>
      </c>
      <c r="H1267" s="738" t="s">
        <v>333</v>
      </c>
      <c r="I1267" s="738"/>
      <c r="J1267" s="738" t="s">
        <v>297</v>
      </c>
      <c r="K1267" s="749" t="s">
        <v>2256</v>
      </c>
    </row>
    <row r="1268" spans="1:11" s="734" customFormat="1" ht="43.2" x14ac:dyDescent="0.3">
      <c r="A1268" s="738" t="s">
        <v>2143</v>
      </c>
      <c r="B1268" s="746">
        <f>'[1]PLAN DE DESARROLLO 2024 - 2027'!$M$4</f>
        <v>0.24028917333263158</v>
      </c>
      <c r="C1268" s="738" t="s">
        <v>2145</v>
      </c>
      <c r="D1268" s="747">
        <f>'[1]PLAN DE DESARROLLO 2024 - 2027'!$M$34</f>
        <v>0.12535549571208945</v>
      </c>
      <c r="E1268" s="738" t="s">
        <v>2172</v>
      </c>
      <c r="F1268" s="748">
        <f>[2]Hoja1!$B$53</f>
        <v>0.32931501831501825</v>
      </c>
      <c r="G1268" s="738" t="s">
        <v>334</v>
      </c>
      <c r="H1268" s="738" t="s">
        <v>335</v>
      </c>
      <c r="I1268" s="738"/>
      <c r="J1268" s="738" t="s">
        <v>297</v>
      </c>
      <c r="K1268" s="749" t="s">
        <v>2256</v>
      </c>
    </row>
    <row r="1269" spans="1:11" s="734" customFormat="1" ht="28.8" x14ac:dyDescent="0.3">
      <c r="A1269" s="738" t="s">
        <v>2110</v>
      </c>
      <c r="B1269" s="750">
        <f>'[1]PLAN DE DESARROLLO 2024 - 2027'!$M$161</f>
        <v>0.24647581985093744</v>
      </c>
      <c r="C1269" s="738" t="s">
        <v>2112</v>
      </c>
      <c r="D1269" s="747">
        <f>'[1]PLAN DE DESARROLLO 2024 - 2027'!$M$166</f>
        <v>0.23451309458253802</v>
      </c>
      <c r="E1269" s="738" t="s">
        <v>2113</v>
      </c>
      <c r="F1269" s="748">
        <f>[2]Hoja1!$B$141</f>
        <v>0.15</v>
      </c>
      <c r="G1269" s="738" t="s">
        <v>979</v>
      </c>
      <c r="H1269" s="738" t="s">
        <v>1181</v>
      </c>
      <c r="I1269" s="738"/>
      <c r="J1269" s="738" t="s">
        <v>516</v>
      </c>
      <c r="K1269" s="749" t="s">
        <v>2256</v>
      </c>
    </row>
    <row r="1270" spans="1:11" s="734" customFormat="1" ht="28.8" x14ac:dyDescent="0.3">
      <c r="A1270" s="738" t="s">
        <v>2110</v>
      </c>
      <c r="B1270" s="750">
        <f>'[1]PLAN DE DESARROLLO 2024 - 2027'!$M$161</f>
        <v>0.24647581985093744</v>
      </c>
      <c r="C1270" s="738" t="s">
        <v>2112</v>
      </c>
      <c r="D1270" s="747">
        <f>'[1]PLAN DE DESARROLLO 2024 - 2027'!$M$166</f>
        <v>0.23451309458253802</v>
      </c>
      <c r="E1270" s="738" t="s">
        <v>2113</v>
      </c>
      <c r="F1270" s="748">
        <f>[2]Hoja1!$B$141</f>
        <v>0.15</v>
      </c>
      <c r="G1270" s="738" t="s">
        <v>980</v>
      </c>
      <c r="H1270" s="738" t="s">
        <v>1182</v>
      </c>
      <c r="I1270" s="738"/>
      <c r="J1270" s="738" t="s">
        <v>516</v>
      </c>
      <c r="K1270" s="749" t="s">
        <v>2256</v>
      </c>
    </row>
    <row r="1271" spans="1:11" s="734" customFormat="1" ht="28.8" x14ac:dyDescent="0.3">
      <c r="A1271" s="738" t="s">
        <v>2110</v>
      </c>
      <c r="B1271" s="750">
        <f>'[1]PLAN DE DESARROLLO 2024 - 2027'!$M$161</f>
        <v>0.24647581985093744</v>
      </c>
      <c r="C1271" s="738" t="s">
        <v>2112</v>
      </c>
      <c r="D1271" s="747">
        <f>'[1]PLAN DE DESARROLLO 2024 - 2027'!$M$166</f>
        <v>0.23451309458253802</v>
      </c>
      <c r="E1271" s="738" t="s">
        <v>2113</v>
      </c>
      <c r="F1271" s="748">
        <f>[2]Hoja1!$B$141</f>
        <v>0.15</v>
      </c>
      <c r="G1271" s="738" t="s">
        <v>981</v>
      </c>
      <c r="H1271" s="738" t="s">
        <v>1183</v>
      </c>
      <c r="I1271" s="738"/>
      <c r="J1271" s="738" t="s">
        <v>516</v>
      </c>
      <c r="K1271" s="749" t="s">
        <v>2256</v>
      </c>
    </row>
    <row r="1272" spans="1:11" s="734" customFormat="1" ht="28.8" x14ac:dyDescent="0.3">
      <c r="A1272" s="738" t="s">
        <v>2143</v>
      </c>
      <c r="B1272" s="746">
        <f>'[1]PLAN DE DESARROLLO 2024 - 2027'!$M$4</f>
        <v>0.24028917333263158</v>
      </c>
      <c r="C1272" s="738" t="s">
        <v>2145</v>
      </c>
      <c r="D1272" s="747">
        <f>'[1]PLAN DE DESARROLLO 2024 - 2027'!$M$34</f>
        <v>0.12535549571208945</v>
      </c>
      <c r="E1272" s="738" t="s">
        <v>1620</v>
      </c>
      <c r="F1272" s="748">
        <f>[2]Hoja1!$B$56</f>
        <v>0.25921388888888885</v>
      </c>
      <c r="G1272" s="738" t="s">
        <v>306</v>
      </c>
      <c r="H1272" s="738" t="s">
        <v>307</v>
      </c>
      <c r="I1272" s="738"/>
      <c r="J1272" s="738" t="s">
        <v>297</v>
      </c>
      <c r="K1272" s="749" t="s">
        <v>2256</v>
      </c>
    </row>
    <row r="1273" spans="1:11" s="734" customFormat="1" ht="28.8" x14ac:dyDescent="0.3">
      <c r="A1273" s="738" t="s">
        <v>2143</v>
      </c>
      <c r="B1273" s="746">
        <f>'[1]PLAN DE DESARROLLO 2024 - 2027'!$M$4</f>
        <v>0.24028917333263158</v>
      </c>
      <c r="C1273" s="738" t="s">
        <v>2145</v>
      </c>
      <c r="D1273" s="747">
        <f>'[1]PLAN DE DESARROLLO 2024 - 2027'!$M$34</f>
        <v>0.12535549571208945</v>
      </c>
      <c r="E1273" s="738" t="s">
        <v>1620</v>
      </c>
      <c r="F1273" s="748">
        <f>[2]Hoja1!$B$56</f>
        <v>0.25921388888888885</v>
      </c>
      <c r="G1273" s="738" t="s">
        <v>308</v>
      </c>
      <c r="H1273" s="738" t="s">
        <v>309</v>
      </c>
      <c r="I1273" s="738"/>
      <c r="J1273" s="738" t="s">
        <v>297</v>
      </c>
      <c r="K1273" s="749" t="s">
        <v>2256</v>
      </c>
    </row>
    <row r="1274" spans="1:11" s="734" customFormat="1" ht="28.8" x14ac:dyDescent="0.3">
      <c r="A1274" s="738" t="s">
        <v>2143</v>
      </c>
      <c r="B1274" s="746">
        <f>'[1]PLAN DE DESARROLLO 2024 - 2027'!$M$4</f>
        <v>0.24028917333263158</v>
      </c>
      <c r="C1274" s="738" t="s">
        <v>2145</v>
      </c>
      <c r="D1274" s="747">
        <f>'[1]PLAN DE DESARROLLO 2024 - 2027'!$M$34</f>
        <v>0.12535549571208945</v>
      </c>
      <c r="E1274" s="738" t="s">
        <v>1620</v>
      </c>
      <c r="F1274" s="748">
        <f>[2]Hoja1!$B$56</f>
        <v>0.25921388888888885</v>
      </c>
      <c r="G1274" s="738" t="s">
        <v>310</v>
      </c>
      <c r="H1274" s="738" t="s">
        <v>2170</v>
      </c>
      <c r="I1274" s="738"/>
      <c r="J1274" s="738" t="s">
        <v>297</v>
      </c>
      <c r="K1274" s="749" t="s">
        <v>2256</v>
      </c>
    </row>
    <row r="1275" spans="1:11" s="734" customFormat="1" ht="28.8" x14ac:dyDescent="0.3">
      <c r="A1275" s="738" t="s">
        <v>2143</v>
      </c>
      <c r="B1275" s="746">
        <f>'[1]PLAN DE DESARROLLO 2024 - 2027'!$M$4</f>
        <v>0.24028917333263158</v>
      </c>
      <c r="C1275" s="738" t="s">
        <v>2145</v>
      </c>
      <c r="D1275" s="747">
        <f>'[1]PLAN DE DESARROLLO 2024 - 2027'!$M$34</f>
        <v>0.12535549571208945</v>
      </c>
      <c r="E1275" s="738" t="s">
        <v>1620</v>
      </c>
      <c r="F1275" s="748">
        <f>[2]Hoja1!$B$56</f>
        <v>0.25921388888888885</v>
      </c>
      <c r="G1275" s="738" t="s">
        <v>312</v>
      </c>
      <c r="H1275" s="738" t="s">
        <v>313</v>
      </c>
      <c r="I1275" s="738"/>
      <c r="J1275" s="738" t="s">
        <v>297</v>
      </c>
      <c r="K1275" s="749" t="s">
        <v>2256</v>
      </c>
    </row>
    <row r="1276" spans="1:11" s="734" customFormat="1" ht="43.2" x14ac:dyDescent="0.3">
      <c r="A1276" s="738" t="s">
        <v>2143</v>
      </c>
      <c r="B1276" s="746">
        <f>'[1]PLAN DE DESARROLLO 2024 - 2027'!$M$4</f>
        <v>0.24028917333263158</v>
      </c>
      <c r="C1276" s="738" t="s">
        <v>2145</v>
      </c>
      <c r="D1276" s="747">
        <f>'[1]PLAN DE DESARROLLO 2024 - 2027'!$M$34</f>
        <v>0.12535549571208945</v>
      </c>
      <c r="E1276" s="738" t="s">
        <v>2175</v>
      </c>
      <c r="F1276" s="748">
        <f>[2]Hoja1!$B$77</f>
        <v>0.24230769230769231</v>
      </c>
      <c r="G1276" s="738" t="s">
        <v>350</v>
      </c>
      <c r="H1276" s="738" t="s">
        <v>351</v>
      </c>
      <c r="I1276" s="738"/>
      <c r="J1276" s="738" t="s">
        <v>516</v>
      </c>
      <c r="K1276" s="749" t="s">
        <v>2256</v>
      </c>
    </row>
    <row r="1277" spans="1:11" s="734" customFormat="1" ht="43.2" x14ac:dyDescent="0.3">
      <c r="A1277" s="738" t="s">
        <v>2143</v>
      </c>
      <c r="B1277" s="746">
        <f>'[1]PLAN DE DESARROLLO 2024 - 2027'!$M$4</f>
        <v>0.24028917333263158</v>
      </c>
      <c r="C1277" s="738" t="s">
        <v>2145</v>
      </c>
      <c r="D1277" s="747">
        <f>'[1]PLAN DE DESARROLLO 2024 - 2027'!$M$34</f>
        <v>0.12535549571208945</v>
      </c>
      <c r="E1277" s="738" t="s">
        <v>2175</v>
      </c>
      <c r="F1277" s="748">
        <f>[2]Hoja1!$B$77</f>
        <v>0.24230769230769231</v>
      </c>
      <c r="G1277" s="738" t="s">
        <v>353</v>
      </c>
      <c r="H1277" s="738" t="s">
        <v>354</v>
      </c>
      <c r="I1277" s="738"/>
      <c r="J1277" s="738" t="s">
        <v>516</v>
      </c>
      <c r="K1277" s="749" t="s">
        <v>2256</v>
      </c>
    </row>
    <row r="1278" spans="1:11" s="734" customFormat="1" ht="28.8" x14ac:dyDescent="0.3">
      <c r="A1278" s="738" t="s">
        <v>2143</v>
      </c>
      <c r="B1278" s="746">
        <f>'[1]PLAN DE DESARROLLO 2024 - 2027'!$M$4</f>
        <v>0.24028917333263158</v>
      </c>
      <c r="C1278" s="738" t="s">
        <v>2145</v>
      </c>
      <c r="D1278" s="747">
        <f>'[1]PLAN DE DESARROLLO 2024 - 2027'!$M$34</f>
        <v>0.12535549571208945</v>
      </c>
      <c r="E1278" s="738" t="s">
        <v>2174</v>
      </c>
      <c r="F1278" s="748">
        <f>[2]Hoja1!$B$78</f>
        <v>0.16944444444444445</v>
      </c>
      <c r="G1278" s="738" t="s">
        <v>346</v>
      </c>
      <c r="H1278" s="738" t="s">
        <v>347</v>
      </c>
      <c r="I1278" s="738"/>
      <c r="J1278" s="738" t="s">
        <v>297</v>
      </c>
      <c r="K1278" s="749" t="s">
        <v>2256</v>
      </c>
    </row>
    <row r="1279" spans="1:11" s="734" customFormat="1" ht="28.8" x14ac:dyDescent="0.3">
      <c r="A1279" s="738" t="s">
        <v>2143</v>
      </c>
      <c r="B1279" s="746">
        <f>'[1]PLAN DE DESARROLLO 2024 - 2027'!$M$4</f>
        <v>0.24028917333263158</v>
      </c>
      <c r="C1279" s="738" t="s">
        <v>2145</v>
      </c>
      <c r="D1279" s="747">
        <f>'[1]PLAN DE DESARROLLO 2024 - 2027'!$M$34</f>
        <v>0.12535549571208945</v>
      </c>
      <c r="E1279" s="738" t="s">
        <v>2174</v>
      </c>
      <c r="F1279" s="748">
        <f>[2]Hoja1!$B$78</f>
        <v>0.16944444444444445</v>
      </c>
      <c r="G1279" s="738" t="s">
        <v>348</v>
      </c>
      <c r="H1279" s="738" t="s">
        <v>349</v>
      </c>
      <c r="I1279" s="738"/>
      <c r="J1279" s="738" t="s">
        <v>297</v>
      </c>
      <c r="K1279" s="749" t="s">
        <v>2256</v>
      </c>
    </row>
    <row r="1280" spans="1:11" s="734" customFormat="1" ht="28.8" x14ac:dyDescent="0.3">
      <c r="A1280" s="738" t="s">
        <v>2068</v>
      </c>
      <c r="B1280" s="750">
        <f>'[1]PLAN DE DESARROLLO 2024 - 2027'!$M$92</f>
        <v>0.25050860314981654</v>
      </c>
      <c r="C1280" s="738" t="s">
        <v>2086</v>
      </c>
      <c r="D1280" s="747">
        <f>'[1]PLAN DE DESARROLLO 2024 - 2027'!$M$120</f>
        <v>0.19011249999999999</v>
      </c>
      <c r="E1280" s="738" t="s">
        <v>2088</v>
      </c>
      <c r="F1280" s="748">
        <f>[2]Hoja1!$B$107</f>
        <v>0.3775</v>
      </c>
      <c r="G1280" s="738" t="s">
        <v>712</v>
      </c>
      <c r="H1280" s="738" t="s">
        <v>1417</v>
      </c>
      <c r="I1280" s="738"/>
      <c r="J1280" s="738" t="s">
        <v>516</v>
      </c>
      <c r="K1280" s="749" t="s">
        <v>2256</v>
      </c>
    </row>
    <row r="1281" spans="1:11" s="734" customFormat="1" ht="28.8" x14ac:dyDescent="0.3">
      <c r="A1281" s="738" t="s">
        <v>2068</v>
      </c>
      <c r="B1281" s="750">
        <f>'[1]PLAN DE DESARROLLO 2024 - 2027'!$M$92</f>
        <v>0.25050860314981654</v>
      </c>
      <c r="C1281" s="738" t="s">
        <v>2086</v>
      </c>
      <c r="D1281" s="747">
        <f>'[1]PLAN DE DESARROLLO 2024 - 2027'!$M$120</f>
        <v>0.19011249999999999</v>
      </c>
      <c r="E1281" s="738" t="s">
        <v>2088</v>
      </c>
      <c r="F1281" s="748">
        <f>[2]Hoja1!$B$107</f>
        <v>0.3775</v>
      </c>
      <c r="G1281" s="738" t="s">
        <v>713</v>
      </c>
      <c r="H1281" s="738" t="s">
        <v>1418</v>
      </c>
      <c r="I1281" s="738"/>
      <c r="J1281" s="738" t="s">
        <v>516</v>
      </c>
      <c r="K1281" s="749" t="s">
        <v>2256</v>
      </c>
    </row>
    <row r="1282" spans="1:11" s="734" customFormat="1" ht="28.8" x14ac:dyDescent="0.3">
      <c r="A1282" s="738" t="s">
        <v>2068</v>
      </c>
      <c r="B1282" s="750">
        <f>'[1]PLAN DE DESARROLLO 2024 - 2027'!$M$92</f>
        <v>0.25050860314981654</v>
      </c>
      <c r="C1282" s="738" t="s">
        <v>2070</v>
      </c>
      <c r="D1282" s="747">
        <f>'[1]PLAN DE DESARROLLO 2024 - 2027'!$M$110</f>
        <v>0.16375000000000001</v>
      </c>
      <c r="E1282" s="738" t="s">
        <v>2096</v>
      </c>
      <c r="F1282" s="748">
        <f>[2]Hoja1!$B$88</f>
        <v>6.9666666666666668E-2</v>
      </c>
      <c r="G1282" s="738" t="s">
        <v>763</v>
      </c>
      <c r="H1282" s="738" t="s">
        <v>1461</v>
      </c>
      <c r="I1282" s="738"/>
      <c r="J1282" s="738" t="s">
        <v>736</v>
      </c>
      <c r="K1282" s="749" t="s">
        <v>2256</v>
      </c>
    </row>
    <row r="1283" spans="1:11" s="734" customFormat="1" ht="28.8" x14ac:dyDescent="0.3">
      <c r="A1283" s="738" t="s">
        <v>2068</v>
      </c>
      <c r="B1283" s="750">
        <f>'[1]PLAN DE DESARROLLO 2024 - 2027'!$M$92</f>
        <v>0.25050860314981654</v>
      </c>
      <c r="C1283" s="738" t="s">
        <v>2070</v>
      </c>
      <c r="D1283" s="747">
        <f>'[1]PLAN DE DESARROLLO 2024 - 2027'!$M$110</f>
        <v>0.16375000000000001</v>
      </c>
      <c r="E1283" s="738" t="s">
        <v>2096</v>
      </c>
      <c r="F1283" s="748">
        <f>[2]Hoja1!$B$87</f>
        <v>0.8</v>
      </c>
      <c r="G1283" s="738" t="s">
        <v>764</v>
      </c>
      <c r="H1283" s="738" t="s">
        <v>1462</v>
      </c>
      <c r="I1283" s="738"/>
      <c r="J1283" s="738" t="s">
        <v>736</v>
      </c>
      <c r="K1283" s="749" t="s">
        <v>2256</v>
      </c>
    </row>
    <row r="1284" spans="1:11" s="734" customFormat="1" ht="28.8" x14ac:dyDescent="0.3">
      <c r="A1284" s="738" t="s">
        <v>2110</v>
      </c>
      <c r="B1284" s="750">
        <f>'[1]PLAN DE DESARROLLO 2024 - 2027'!$M$161</f>
        <v>0.24647581985093744</v>
      </c>
      <c r="C1284" s="738" t="s">
        <v>2128</v>
      </c>
      <c r="D1284" s="747">
        <f>'[1]PLAN DE DESARROLLO 2024 - 2027'!$M$178</f>
        <v>0.30658085759781617</v>
      </c>
      <c r="E1284" s="738" t="s">
        <v>2129</v>
      </c>
      <c r="F1284" s="748">
        <f>[2]Hoja1!$B$145</f>
        <v>0.46846678798908098</v>
      </c>
      <c r="G1284" s="738" t="s">
        <v>997</v>
      </c>
      <c r="H1284" s="738" t="s">
        <v>1198</v>
      </c>
      <c r="I1284" s="738"/>
      <c r="J1284" s="738" t="s">
        <v>998</v>
      </c>
      <c r="K1284" s="749" t="s">
        <v>2256</v>
      </c>
    </row>
    <row r="1285" spans="1:11" s="734" customFormat="1" ht="43.2" x14ac:dyDescent="0.3">
      <c r="A1285" s="738" t="s">
        <v>2110</v>
      </c>
      <c r="B1285" s="750">
        <f>'[1]PLAN DE DESARROLLO 2024 - 2027'!$M$161</f>
        <v>0.24647581985093744</v>
      </c>
      <c r="C1285" s="738" t="s">
        <v>2128</v>
      </c>
      <c r="D1285" s="747">
        <f>'[1]PLAN DE DESARROLLO 2024 - 2027'!$M$178</f>
        <v>0.30658085759781617</v>
      </c>
      <c r="E1285" s="738" t="s">
        <v>2129</v>
      </c>
      <c r="F1285" s="748">
        <f>[2]Hoja1!$B$145</f>
        <v>0.46846678798908098</v>
      </c>
      <c r="G1285" s="738" t="s">
        <v>999</v>
      </c>
      <c r="H1285" s="738" t="s">
        <v>1199</v>
      </c>
      <c r="I1285" s="738"/>
      <c r="J1285" s="738" t="s">
        <v>998</v>
      </c>
      <c r="K1285" s="749" t="s">
        <v>2256</v>
      </c>
    </row>
    <row r="1286" spans="1:11" s="734" customFormat="1" ht="28.8" x14ac:dyDescent="0.3">
      <c r="A1286" s="738" t="s">
        <v>2143</v>
      </c>
      <c r="B1286" s="746">
        <f>'[1]PLAN DE DESARROLLO 2024 - 2027'!$M$4</f>
        <v>0.24028917333263158</v>
      </c>
      <c r="C1286" s="738" t="s">
        <v>2145</v>
      </c>
      <c r="D1286" s="747">
        <f>'[1]PLAN DE DESARROLLO 2024 - 2027'!$M$34</f>
        <v>0.12535549571208945</v>
      </c>
      <c r="E1286" s="738" t="s">
        <v>1621</v>
      </c>
      <c r="F1286" s="748">
        <f>[2]Hoja1!$B$89</f>
        <v>0</v>
      </c>
      <c r="G1286" s="738" t="s">
        <v>314</v>
      </c>
      <c r="H1286" s="738" t="s">
        <v>315</v>
      </c>
      <c r="I1286" s="738"/>
      <c r="J1286" s="738" t="s">
        <v>297</v>
      </c>
      <c r="K1286" s="749" t="s">
        <v>2256</v>
      </c>
    </row>
    <row r="1287" spans="1:11" s="734" customFormat="1" ht="28.8" x14ac:dyDescent="0.3">
      <c r="A1287" s="738" t="s">
        <v>2143</v>
      </c>
      <c r="B1287" s="746">
        <f>'[1]PLAN DE DESARROLLO 2024 - 2027'!$M$4</f>
        <v>0.24028917333263158</v>
      </c>
      <c r="C1287" s="738" t="s">
        <v>2145</v>
      </c>
      <c r="D1287" s="747">
        <f>'[1]PLAN DE DESARROLLO 2024 - 2027'!$M$34</f>
        <v>0.12535549571208945</v>
      </c>
      <c r="E1287" s="738" t="s">
        <v>2168</v>
      </c>
      <c r="F1287" s="748">
        <f>[2]Hoja1!$B$91</f>
        <v>0.15378125000000001</v>
      </c>
      <c r="G1287" s="738" t="s">
        <v>295</v>
      </c>
      <c r="H1287" s="738" t="s">
        <v>296</v>
      </c>
      <c r="I1287" s="738"/>
      <c r="J1287" s="738" t="s">
        <v>297</v>
      </c>
      <c r="K1287" s="749" t="s">
        <v>2256</v>
      </c>
    </row>
    <row r="1288" spans="1:11" s="734" customFormat="1" ht="28.8" x14ac:dyDescent="0.3">
      <c r="A1288" s="738" t="s">
        <v>2143</v>
      </c>
      <c r="B1288" s="746">
        <f>'[1]PLAN DE DESARROLLO 2024 - 2027'!$M$4</f>
        <v>0.24028917333263158</v>
      </c>
      <c r="C1288" s="738" t="s">
        <v>2145</v>
      </c>
      <c r="D1288" s="747">
        <f>'[1]PLAN DE DESARROLLO 2024 - 2027'!$M$34</f>
        <v>0.12535549571208945</v>
      </c>
      <c r="E1288" s="738" t="s">
        <v>2168</v>
      </c>
      <c r="F1288" s="748">
        <f>[2]Hoja1!$B$91</f>
        <v>0.15378125000000001</v>
      </c>
      <c r="G1288" s="738" t="s">
        <v>298</v>
      </c>
      <c r="H1288" s="738" t="s">
        <v>299</v>
      </c>
      <c r="I1288" s="738"/>
      <c r="J1288" s="738" t="s">
        <v>297</v>
      </c>
      <c r="K1288" s="749" t="s">
        <v>2256</v>
      </c>
    </row>
    <row r="1289" spans="1:11" s="734" customFormat="1" ht="28.8" x14ac:dyDescent="0.3">
      <c r="A1289" s="738" t="s">
        <v>2143</v>
      </c>
      <c r="B1289" s="746">
        <f>'[1]PLAN DE DESARROLLO 2024 - 2027'!$M$4</f>
        <v>0.24028917333263158</v>
      </c>
      <c r="C1289" s="738" t="s">
        <v>2145</v>
      </c>
      <c r="D1289" s="747">
        <f>'[1]PLAN DE DESARROLLO 2024 - 2027'!$M$34</f>
        <v>0.12535549571208945</v>
      </c>
      <c r="E1289" s="738" t="s">
        <v>1622</v>
      </c>
      <c r="F1289" s="748">
        <f>[2]Hoja1!$B$94</f>
        <v>0.15668414473684211</v>
      </c>
      <c r="G1289" s="738" t="s">
        <v>316</v>
      </c>
      <c r="H1289" s="738" t="s">
        <v>317</v>
      </c>
      <c r="I1289" s="738"/>
      <c r="J1289" s="738" t="s">
        <v>297</v>
      </c>
      <c r="K1289" s="749" t="s">
        <v>2256</v>
      </c>
    </row>
    <row r="1290" spans="1:11" s="734" customFormat="1" ht="28.8" x14ac:dyDescent="0.3">
      <c r="A1290" s="738" t="s">
        <v>2143</v>
      </c>
      <c r="B1290" s="746">
        <f>'[1]PLAN DE DESARROLLO 2024 - 2027'!$M$4</f>
        <v>0.24028917333263158</v>
      </c>
      <c r="C1290" s="738" t="s">
        <v>2145</v>
      </c>
      <c r="D1290" s="747">
        <f>'[1]PLAN DE DESARROLLO 2024 - 2027'!$M$34</f>
        <v>0.12535549571208945</v>
      </c>
      <c r="E1290" s="738" t="s">
        <v>1622</v>
      </c>
      <c r="F1290" s="748">
        <f>[2]Hoja1!$B$94</f>
        <v>0.15668414473684211</v>
      </c>
      <c r="G1290" s="738" t="s">
        <v>318</v>
      </c>
      <c r="H1290" s="738" t="s">
        <v>319</v>
      </c>
      <c r="I1290" s="738"/>
      <c r="J1290" s="738" t="s">
        <v>297</v>
      </c>
      <c r="K1290" s="749" t="s">
        <v>2256</v>
      </c>
    </row>
    <row r="1291" spans="1:11" s="734" customFormat="1" ht="28.8" x14ac:dyDescent="0.3">
      <c r="A1291" s="738" t="s">
        <v>2143</v>
      </c>
      <c r="B1291" s="746">
        <f>'[1]PLAN DE DESARROLLO 2024 - 2027'!$M$4</f>
        <v>0.24028917333263158</v>
      </c>
      <c r="C1291" s="738" t="s">
        <v>2145</v>
      </c>
      <c r="D1291" s="747">
        <f>'[1]PLAN DE DESARROLLO 2024 - 2027'!$M$34</f>
        <v>0.12535549571208945</v>
      </c>
      <c r="E1291" s="738" t="s">
        <v>1622</v>
      </c>
      <c r="F1291" s="748">
        <f>[2]Hoja1!$B$94</f>
        <v>0.15668414473684211</v>
      </c>
      <c r="G1291" s="738" t="s">
        <v>320</v>
      </c>
      <c r="H1291" s="738" t="s">
        <v>321</v>
      </c>
      <c r="I1291" s="738"/>
      <c r="J1291" s="738" t="s">
        <v>297</v>
      </c>
      <c r="K1291" s="749" t="s">
        <v>2256</v>
      </c>
    </row>
    <row r="1292" spans="1:11" s="734" customFormat="1" ht="28.8" x14ac:dyDescent="0.3">
      <c r="A1292" s="738" t="s">
        <v>2143</v>
      </c>
      <c r="B1292" s="746">
        <f>'[1]PLAN DE DESARROLLO 2024 - 2027'!$M$4</f>
        <v>0.24028917333263158</v>
      </c>
      <c r="C1292" s="738" t="s">
        <v>2145</v>
      </c>
      <c r="D1292" s="747">
        <f>'[1]PLAN DE DESARROLLO 2024 - 2027'!$M$34</f>
        <v>0.12535549571208945</v>
      </c>
      <c r="E1292" s="738" t="s">
        <v>1622</v>
      </c>
      <c r="F1292" s="748">
        <f>[2]Hoja1!$B$94</f>
        <v>0.15668414473684211</v>
      </c>
      <c r="G1292" s="738" t="s">
        <v>322</v>
      </c>
      <c r="H1292" s="738" t="s">
        <v>323</v>
      </c>
      <c r="I1292" s="738"/>
      <c r="J1292" s="738" t="s">
        <v>297</v>
      </c>
      <c r="K1292" s="749" t="s">
        <v>2256</v>
      </c>
    </row>
    <row r="1293" spans="1:11" s="734" customFormat="1" ht="28.8" x14ac:dyDescent="0.3">
      <c r="A1293" s="738" t="s">
        <v>2110</v>
      </c>
      <c r="B1293" s="750">
        <f>'[1]PLAN DE DESARROLLO 2024 - 2027'!$M$161</f>
        <v>0.24647581985093744</v>
      </c>
      <c r="C1293" s="738" t="s">
        <v>2134</v>
      </c>
      <c r="D1293" s="747">
        <f>'[1]PLAN DE DESARROLLO 2024 - 2027'!$M$191</f>
        <v>0.22981556695992181</v>
      </c>
      <c r="E1293" s="738" t="s">
        <v>2136</v>
      </c>
      <c r="F1293" s="748">
        <f>[2]Hoja1!$B$148</f>
        <v>0.23404772727272727</v>
      </c>
      <c r="G1293" s="738" t="s">
        <v>2137</v>
      </c>
      <c r="H1293" s="738" t="s">
        <v>1241</v>
      </c>
      <c r="I1293" s="738"/>
      <c r="J1293" s="738" t="s">
        <v>560</v>
      </c>
      <c r="K1293" s="749" t="s">
        <v>2256</v>
      </c>
    </row>
    <row r="1294" spans="1:11" s="734" customFormat="1" ht="28.8" x14ac:dyDescent="0.3">
      <c r="A1294" s="738" t="s">
        <v>2110</v>
      </c>
      <c r="B1294" s="750">
        <f>'[1]PLAN DE DESARROLLO 2024 - 2027'!$M$161</f>
        <v>0.24647581985093744</v>
      </c>
      <c r="C1294" s="738" t="s">
        <v>2134</v>
      </c>
      <c r="D1294" s="747">
        <f>'[1]PLAN DE DESARROLLO 2024 - 2027'!$M$191</f>
        <v>0.22981556695992181</v>
      </c>
      <c r="E1294" s="738" t="s">
        <v>2136</v>
      </c>
      <c r="F1294" s="748">
        <f>[2]Hoja1!$B$148</f>
        <v>0.23404772727272727</v>
      </c>
      <c r="G1294" s="738" t="s">
        <v>1044</v>
      </c>
      <c r="H1294" s="738" t="s">
        <v>1242</v>
      </c>
      <c r="I1294" s="738"/>
      <c r="J1294" s="738" t="s">
        <v>560</v>
      </c>
      <c r="K1294" s="749" t="s">
        <v>2256</v>
      </c>
    </row>
    <row r="1295" spans="1:11" s="734" customFormat="1" ht="28.8" x14ac:dyDescent="0.3">
      <c r="A1295" s="738" t="s">
        <v>2110</v>
      </c>
      <c r="B1295" s="750">
        <f>'[1]PLAN DE DESARROLLO 2024 - 2027'!$M$161</f>
        <v>0.24647581985093744</v>
      </c>
      <c r="C1295" s="738" t="s">
        <v>2134</v>
      </c>
      <c r="D1295" s="747">
        <f>'[1]PLAN DE DESARROLLO 2024 - 2027'!$M$191</f>
        <v>0.22981556695992181</v>
      </c>
      <c r="E1295" s="738" t="s">
        <v>2136</v>
      </c>
      <c r="F1295" s="748">
        <f>[2]Hoja1!$B$148</f>
        <v>0.23404772727272727</v>
      </c>
      <c r="G1295" s="738" t="s">
        <v>1045</v>
      </c>
      <c r="H1295" s="738" t="s">
        <v>1243</v>
      </c>
      <c r="I1295" s="738"/>
      <c r="J1295" s="738" t="s">
        <v>560</v>
      </c>
      <c r="K1295" s="749" t="s">
        <v>2256</v>
      </c>
    </row>
    <row r="1296" spans="1:11" s="734" customFormat="1" ht="28.8" x14ac:dyDescent="0.3">
      <c r="A1296" s="738" t="s">
        <v>2110</v>
      </c>
      <c r="B1296" s="750">
        <f>'[1]PLAN DE DESARROLLO 2024 - 2027'!$M$161</f>
        <v>0.24647581985093744</v>
      </c>
      <c r="C1296" s="738" t="s">
        <v>2134</v>
      </c>
      <c r="D1296" s="747">
        <f>'[1]PLAN DE DESARROLLO 2024 - 2027'!$M$191</f>
        <v>0.22981556695992181</v>
      </c>
      <c r="E1296" s="738" t="s">
        <v>2136</v>
      </c>
      <c r="F1296" s="748">
        <f>[2]Hoja1!$B$148</f>
        <v>0.23404772727272727</v>
      </c>
      <c r="G1296" s="738" t="s">
        <v>1046</v>
      </c>
      <c r="H1296" s="738" t="s">
        <v>1244</v>
      </c>
      <c r="I1296" s="738"/>
      <c r="J1296" s="738" t="s">
        <v>560</v>
      </c>
      <c r="K1296" s="749" t="s">
        <v>2256</v>
      </c>
    </row>
    <row r="1297" spans="1:11" s="734" customFormat="1" ht="43.2" x14ac:dyDescent="0.3">
      <c r="A1297" s="738" t="s">
        <v>2110</v>
      </c>
      <c r="B1297" s="750">
        <f>'[1]PLAN DE DESARROLLO 2024 - 2027'!$M$161</f>
        <v>0.24647581985093744</v>
      </c>
      <c r="C1297" s="738" t="s">
        <v>2134</v>
      </c>
      <c r="D1297" s="747">
        <f>'[1]PLAN DE DESARROLLO 2024 - 2027'!$M$191</f>
        <v>0.22981556695992181</v>
      </c>
      <c r="E1297" s="738" t="s">
        <v>2136</v>
      </c>
      <c r="F1297" s="748">
        <f>[2]Hoja1!$B$148</f>
        <v>0.23404772727272727</v>
      </c>
      <c r="G1297" s="738" t="s">
        <v>1047</v>
      </c>
      <c r="H1297" s="738" t="s">
        <v>1245</v>
      </c>
      <c r="I1297" s="738"/>
      <c r="J1297" s="738" t="s">
        <v>560</v>
      </c>
      <c r="K1297" s="749" t="s">
        <v>2256</v>
      </c>
    </row>
    <row r="1298" spans="1:11" s="734" customFormat="1" ht="43.2" x14ac:dyDescent="0.3">
      <c r="A1298" s="738" t="s">
        <v>2110</v>
      </c>
      <c r="B1298" s="750">
        <f>'[1]PLAN DE DESARROLLO 2024 - 2027'!$M$161</f>
        <v>0.24647581985093744</v>
      </c>
      <c r="C1298" s="738" t="s">
        <v>2134</v>
      </c>
      <c r="D1298" s="747">
        <f>'[1]PLAN DE DESARROLLO 2024 - 2027'!$M$191</f>
        <v>0.22981556695992181</v>
      </c>
      <c r="E1298" s="738" t="s">
        <v>2136</v>
      </c>
      <c r="F1298" s="748">
        <f>[2]Hoja1!$B$148</f>
        <v>0.23404772727272727</v>
      </c>
      <c r="G1298" s="738" t="s">
        <v>1048</v>
      </c>
      <c r="H1298" s="738" t="s">
        <v>1246</v>
      </c>
      <c r="I1298" s="738"/>
      <c r="J1298" s="738" t="s">
        <v>560</v>
      </c>
      <c r="K1298" s="749" t="s">
        <v>2256</v>
      </c>
    </row>
    <row r="1299" spans="1:11" s="734" customFormat="1" ht="28.8" x14ac:dyDescent="0.3">
      <c r="A1299" s="738" t="s">
        <v>2017</v>
      </c>
      <c r="B1299" s="750">
        <f>'[1]PLAN DE DESARROLLO 2024 - 2027'!$M$123</f>
        <v>0.20174333228533195</v>
      </c>
      <c r="C1299" s="738" t="s">
        <v>2023</v>
      </c>
      <c r="D1299" s="752">
        <f>'[1]PLAN DE DESARROLLO 2024 - 2027'!$M$147</f>
        <v>0.1413865782697985</v>
      </c>
      <c r="E1299" s="738" t="s">
        <v>2031</v>
      </c>
      <c r="F1299" s="748">
        <f>[2]Hoja1!$B$155</f>
        <v>0.49849955410878943</v>
      </c>
      <c r="G1299" s="738" t="s">
        <v>918</v>
      </c>
      <c r="H1299" s="738" t="s">
        <v>1358</v>
      </c>
      <c r="I1299" s="738"/>
      <c r="J1299" s="738" t="s">
        <v>2033</v>
      </c>
      <c r="K1299" s="749" t="s">
        <v>2256</v>
      </c>
    </row>
    <row r="1300" spans="1:11" s="734" customFormat="1" ht="28.8" x14ac:dyDescent="0.3">
      <c r="A1300" s="738" t="s">
        <v>2017</v>
      </c>
      <c r="B1300" s="750">
        <f>'[1]PLAN DE DESARROLLO 2024 - 2027'!$M$123</f>
        <v>0.20174333228533195</v>
      </c>
      <c r="C1300" s="738" t="s">
        <v>2023</v>
      </c>
      <c r="D1300" s="752">
        <f>'[1]PLAN DE DESARROLLO 2024 - 2027'!$M$147</f>
        <v>0.1413865782697985</v>
      </c>
      <c r="E1300" s="738" t="s">
        <v>2031</v>
      </c>
      <c r="F1300" s="748">
        <f>[2]Hoja1!$B$155</f>
        <v>0.49849955410878943</v>
      </c>
      <c r="G1300" s="738" t="s">
        <v>919</v>
      </c>
      <c r="H1300" s="738" t="s">
        <v>1359</v>
      </c>
      <c r="I1300" s="738"/>
      <c r="J1300" s="738" t="s">
        <v>907</v>
      </c>
      <c r="K1300" s="749" t="s">
        <v>2256</v>
      </c>
    </row>
    <row r="1301" spans="1:11" s="734" customFormat="1" ht="28.8" x14ac:dyDescent="0.3">
      <c r="A1301" s="738" t="s">
        <v>2017</v>
      </c>
      <c r="B1301" s="750">
        <f>'[1]PLAN DE DESARROLLO 2024 - 2027'!$M$123</f>
        <v>0.20174333228533195</v>
      </c>
      <c r="C1301" s="738" t="s">
        <v>2023</v>
      </c>
      <c r="D1301" s="752">
        <f>'[1]PLAN DE DESARROLLO 2024 - 2027'!$M$147</f>
        <v>0.1413865782697985</v>
      </c>
      <c r="E1301" s="738" t="s">
        <v>2031</v>
      </c>
      <c r="F1301" s="748">
        <f>[2]Hoja1!$B$155</f>
        <v>0.49849955410878943</v>
      </c>
      <c r="G1301" s="738" t="s">
        <v>920</v>
      </c>
      <c r="H1301" s="738" t="s">
        <v>1360</v>
      </c>
      <c r="I1301" s="738"/>
      <c r="J1301" s="738" t="s">
        <v>907</v>
      </c>
      <c r="K1301" s="749" t="s">
        <v>2256</v>
      </c>
    </row>
    <row r="1302" spans="1:11" s="734" customFormat="1" ht="28.8" x14ac:dyDescent="0.3">
      <c r="A1302" s="738" t="s">
        <v>2017</v>
      </c>
      <c r="B1302" s="750">
        <f>'[1]PLAN DE DESARROLLO 2024 - 2027'!$M$123</f>
        <v>0.20174333228533195</v>
      </c>
      <c r="C1302" s="738" t="s">
        <v>2023</v>
      </c>
      <c r="D1302" s="752">
        <f>'[1]PLAN DE DESARROLLO 2024 - 2027'!$M$147</f>
        <v>0.1413865782697985</v>
      </c>
      <c r="E1302" s="738" t="s">
        <v>2031</v>
      </c>
      <c r="F1302" s="748">
        <f>[2]Hoja1!$B$155</f>
        <v>0.49849955410878943</v>
      </c>
      <c r="G1302" s="738" t="s">
        <v>921</v>
      </c>
      <c r="H1302" s="738" t="s">
        <v>1361</v>
      </c>
      <c r="I1302" s="738"/>
      <c r="J1302" s="738" t="s">
        <v>907</v>
      </c>
      <c r="K1302" s="749" t="s">
        <v>2256</v>
      </c>
    </row>
    <row r="1303" spans="1:11" s="734" customFormat="1" ht="28.8" x14ac:dyDescent="0.3">
      <c r="A1303" s="738" t="s">
        <v>2017</v>
      </c>
      <c r="B1303" s="750">
        <f>'[1]PLAN DE DESARROLLO 2024 - 2027'!$M$123</f>
        <v>0.20174333228533195</v>
      </c>
      <c r="C1303" s="738" t="s">
        <v>2041</v>
      </c>
      <c r="D1303" s="752">
        <f>'[1]PLAN DE DESARROLLO 2024 - 2027'!$M$124</f>
        <v>0.25944237108108109</v>
      </c>
      <c r="E1303" s="738" t="s">
        <v>1803</v>
      </c>
      <c r="F1303" s="748">
        <f>[2]Hoja1!$B$95</f>
        <v>0.28400950000000003</v>
      </c>
      <c r="G1303" s="738" t="s">
        <v>799</v>
      </c>
      <c r="H1303" s="738" t="s">
        <v>1262</v>
      </c>
      <c r="I1303" s="738"/>
      <c r="J1303" s="738" t="s">
        <v>560</v>
      </c>
      <c r="K1303" s="749" t="s">
        <v>2256</v>
      </c>
    </row>
    <row r="1304" spans="1:11" s="734" customFormat="1" ht="43.2" x14ac:dyDescent="0.3">
      <c r="A1304" s="738" t="s">
        <v>2017</v>
      </c>
      <c r="B1304" s="750">
        <f>'[1]PLAN DE DESARROLLO 2024 - 2027'!$M$123</f>
        <v>0.20174333228533195</v>
      </c>
      <c r="C1304" s="738" t="s">
        <v>2041</v>
      </c>
      <c r="D1304" s="752">
        <f>'[1]PLAN DE DESARROLLO 2024 - 2027'!$M$124</f>
        <v>0.25944237108108109</v>
      </c>
      <c r="E1304" s="738" t="s">
        <v>1803</v>
      </c>
      <c r="F1304" s="748">
        <f>[2]Hoja1!$B$95</f>
        <v>0.28400950000000003</v>
      </c>
      <c r="G1304" s="738" t="s">
        <v>800</v>
      </c>
      <c r="H1304" s="738" t="s">
        <v>1263</v>
      </c>
      <c r="I1304" s="738"/>
      <c r="J1304" s="738" t="s">
        <v>560</v>
      </c>
      <c r="K1304" s="749" t="s">
        <v>2256</v>
      </c>
    </row>
    <row r="1305" spans="1:11" s="734" customFormat="1" ht="28.8" x14ac:dyDescent="0.3">
      <c r="A1305" s="738" t="s">
        <v>2017</v>
      </c>
      <c r="B1305" s="750">
        <f>'[1]PLAN DE DESARROLLO 2024 - 2027'!$M$123</f>
        <v>0.20174333228533195</v>
      </c>
      <c r="C1305" s="738" t="s">
        <v>2041</v>
      </c>
      <c r="D1305" s="752">
        <f>'[1]PLAN DE DESARROLLO 2024 - 2027'!$M$124</f>
        <v>0.25944237108108109</v>
      </c>
      <c r="E1305" s="738" t="s">
        <v>1803</v>
      </c>
      <c r="F1305" s="748">
        <f>[2]Hoja1!$B$95</f>
        <v>0.28400950000000003</v>
      </c>
      <c r="G1305" s="738" t="s">
        <v>801</v>
      </c>
      <c r="H1305" s="738" t="s">
        <v>1264</v>
      </c>
      <c r="I1305" s="738"/>
      <c r="J1305" s="738" t="s">
        <v>2042</v>
      </c>
      <c r="K1305" s="749" t="s">
        <v>2256</v>
      </c>
    </row>
    <row r="1306" spans="1:11" s="734" customFormat="1" ht="28.8" x14ac:dyDescent="0.3">
      <c r="A1306" s="738" t="s">
        <v>2017</v>
      </c>
      <c r="B1306" s="750">
        <f>'[1]PLAN DE DESARROLLO 2024 - 2027'!$M$123</f>
        <v>0.20174333228533195</v>
      </c>
      <c r="C1306" s="738" t="s">
        <v>2041</v>
      </c>
      <c r="D1306" s="752">
        <f>'[1]PLAN DE DESARROLLO 2024 - 2027'!$M$124</f>
        <v>0.25944237108108109</v>
      </c>
      <c r="E1306" s="738" t="s">
        <v>1803</v>
      </c>
      <c r="F1306" s="748">
        <f>[2]Hoja1!$B$95</f>
        <v>0.28400950000000003</v>
      </c>
      <c r="G1306" s="738" t="s">
        <v>803</v>
      </c>
      <c r="H1306" s="738" t="s">
        <v>1265</v>
      </c>
      <c r="I1306" s="738"/>
      <c r="J1306" s="738" t="s">
        <v>560</v>
      </c>
      <c r="K1306" s="749" t="s">
        <v>2256</v>
      </c>
    </row>
    <row r="1307" spans="1:11" s="734" customFormat="1" ht="57.6" x14ac:dyDescent="0.3">
      <c r="A1307" s="738" t="s">
        <v>2017</v>
      </c>
      <c r="B1307" s="750">
        <f>'[1]PLAN DE DESARROLLO 2024 - 2027'!$M$123</f>
        <v>0.20174333228533195</v>
      </c>
      <c r="C1307" s="738" t="s">
        <v>2041</v>
      </c>
      <c r="D1307" s="752">
        <f>'[1]PLAN DE DESARROLLO 2024 - 2027'!$M$124</f>
        <v>0.25944237108108109</v>
      </c>
      <c r="E1307" s="738" t="s">
        <v>1803</v>
      </c>
      <c r="F1307" s="748">
        <f>[2]Hoja1!$B$95</f>
        <v>0.28400950000000003</v>
      </c>
      <c r="G1307" s="738" t="s">
        <v>804</v>
      </c>
      <c r="H1307" s="738" t="s">
        <v>1266</v>
      </c>
      <c r="I1307" s="738"/>
      <c r="J1307" s="738" t="s">
        <v>560</v>
      </c>
      <c r="K1307" s="749" t="s">
        <v>2256</v>
      </c>
    </row>
    <row r="1308" spans="1:11" s="734" customFormat="1" ht="28.8" x14ac:dyDescent="0.3">
      <c r="A1308" s="738" t="s">
        <v>2017</v>
      </c>
      <c r="B1308" s="750">
        <f>'[1]PLAN DE DESARROLLO 2024 - 2027'!$M$123</f>
        <v>0.20174333228533195</v>
      </c>
      <c r="C1308" s="738" t="s">
        <v>2041</v>
      </c>
      <c r="D1308" s="752">
        <f>'[1]PLAN DE DESARROLLO 2024 - 2027'!$M$124</f>
        <v>0.25944237108108109</v>
      </c>
      <c r="E1308" s="738" t="s">
        <v>1803</v>
      </c>
      <c r="F1308" s="748">
        <f>[2]Hoja1!$B$95</f>
        <v>0.28400950000000003</v>
      </c>
      <c r="G1308" s="738" t="s">
        <v>805</v>
      </c>
      <c r="H1308" s="738" t="s">
        <v>1267</v>
      </c>
      <c r="I1308" s="738"/>
      <c r="J1308" s="738" t="s">
        <v>560</v>
      </c>
      <c r="K1308" s="749" t="s">
        <v>2256</v>
      </c>
    </row>
    <row r="1309" spans="1:11" s="734" customFormat="1" ht="43.2" x14ac:dyDescent="0.3">
      <c r="A1309" s="738" t="s">
        <v>1993</v>
      </c>
      <c r="B1309" s="750">
        <f>'[1]PLAN DE DESARROLLO 2024 - 2027'!$M$198</f>
        <v>3.4556250000000004E-2</v>
      </c>
      <c r="C1309" s="738" t="s">
        <v>1997</v>
      </c>
      <c r="D1309" s="752">
        <f>'[1]PLAN DE DESARROLLO 2024 - 2027'!$M$203</f>
        <v>3.0624999999999999E-2</v>
      </c>
      <c r="E1309" s="738" t="s">
        <v>1839</v>
      </c>
      <c r="F1309" s="748">
        <f>[2]Hoja1!$B$151</f>
        <v>3.2083333333333332E-2</v>
      </c>
      <c r="G1309" s="738" t="s">
        <v>1114</v>
      </c>
      <c r="H1309" s="738" t="s">
        <v>1115</v>
      </c>
      <c r="I1309" s="738"/>
      <c r="J1309" s="738" t="s">
        <v>12</v>
      </c>
      <c r="K1309" s="749" t="s">
        <v>2256</v>
      </c>
    </row>
    <row r="1310" spans="1:11" s="734" customFormat="1" ht="28.8" x14ac:dyDescent="0.3">
      <c r="A1310" s="738" t="s">
        <v>1993</v>
      </c>
      <c r="B1310" s="750">
        <f>'[1]PLAN DE DESARROLLO 2024 - 2027'!$M$198</f>
        <v>3.4556250000000004E-2</v>
      </c>
      <c r="C1310" s="738" t="s">
        <v>1997</v>
      </c>
      <c r="D1310" s="752">
        <f>'[1]PLAN DE DESARROLLO 2024 - 2027'!$M$203</f>
        <v>3.0624999999999999E-2</v>
      </c>
      <c r="E1310" s="738" t="s">
        <v>1839</v>
      </c>
      <c r="F1310" s="748">
        <f>[2]Hoja1!$B$151</f>
        <v>3.2083333333333332E-2</v>
      </c>
      <c r="G1310" s="738" t="s">
        <v>1116</v>
      </c>
      <c r="H1310" s="738" t="s">
        <v>1117</v>
      </c>
      <c r="I1310" s="738"/>
      <c r="J1310" s="738" t="s">
        <v>12</v>
      </c>
      <c r="K1310" s="749" t="s">
        <v>2256</v>
      </c>
    </row>
    <row r="1311" spans="1:11" s="734" customFormat="1" ht="43.2" x14ac:dyDescent="0.3">
      <c r="A1311" s="738" t="s">
        <v>1993</v>
      </c>
      <c r="B1311" s="750">
        <f>'[1]PLAN DE DESARROLLO 2024 - 2027'!$M$198</f>
        <v>3.4556250000000004E-2</v>
      </c>
      <c r="C1311" s="738" t="s">
        <v>1997</v>
      </c>
      <c r="D1311" s="752">
        <f>'[1]PLAN DE DESARROLLO 2024 - 2027'!$M$203</f>
        <v>3.0624999999999999E-2</v>
      </c>
      <c r="E1311" s="738" t="s">
        <v>1839</v>
      </c>
      <c r="F1311" s="748">
        <f>[2]Hoja1!$B$151</f>
        <v>3.2083333333333332E-2</v>
      </c>
      <c r="G1311" s="738" t="s">
        <v>2006</v>
      </c>
      <c r="H1311" s="738" t="s">
        <v>1119</v>
      </c>
      <c r="I1311" s="738"/>
      <c r="J1311" s="738" t="s">
        <v>551</v>
      </c>
      <c r="K1311" s="749" t="s">
        <v>2256</v>
      </c>
    </row>
    <row r="1312" spans="1:11" s="734" customFormat="1" ht="28.8" x14ac:dyDescent="0.3">
      <c r="A1312" s="738" t="s">
        <v>1993</v>
      </c>
      <c r="B1312" s="750">
        <f>'[1]PLAN DE DESARROLLO 2024 - 2027'!$M$198</f>
        <v>3.4556250000000004E-2</v>
      </c>
      <c r="C1312" s="738" t="s">
        <v>1997</v>
      </c>
      <c r="D1312" s="752">
        <f>'[1]PLAN DE DESARROLLO 2024 - 2027'!$M$203</f>
        <v>3.0624999999999999E-2</v>
      </c>
      <c r="E1312" s="738" t="s">
        <v>1839</v>
      </c>
      <c r="F1312" s="748">
        <f>[2]Hoja1!$B$151</f>
        <v>3.2083333333333332E-2</v>
      </c>
      <c r="G1312" s="738" t="s">
        <v>1120</v>
      </c>
      <c r="H1312" s="738" t="s">
        <v>1121</v>
      </c>
      <c r="I1312" s="738"/>
      <c r="J1312" s="738" t="s">
        <v>12</v>
      </c>
      <c r="K1312" s="749" t="s">
        <v>2256</v>
      </c>
    </row>
    <row r="1313" spans="1:11" s="734" customFormat="1" ht="28.8" x14ac:dyDescent="0.3">
      <c r="A1313" s="738" t="s">
        <v>1993</v>
      </c>
      <c r="B1313" s="750">
        <f>'[1]PLAN DE DESARROLLO 2024 - 2027'!$M$198</f>
        <v>3.4556250000000004E-2</v>
      </c>
      <c r="C1313" s="738" t="s">
        <v>1997</v>
      </c>
      <c r="D1313" s="752">
        <f>'[1]PLAN DE DESARROLLO 2024 - 2027'!$M$203</f>
        <v>3.0624999999999999E-2</v>
      </c>
      <c r="E1313" s="738" t="s">
        <v>1839</v>
      </c>
      <c r="F1313" s="748">
        <f>[2]Hoja1!$B$151</f>
        <v>3.2083333333333332E-2</v>
      </c>
      <c r="G1313" s="738" t="s">
        <v>1122</v>
      </c>
      <c r="H1313" s="738" t="s">
        <v>1123</v>
      </c>
      <c r="I1313" s="738"/>
      <c r="J1313" s="738" t="s">
        <v>12</v>
      </c>
      <c r="K1313" s="749" t="s">
        <v>2256</v>
      </c>
    </row>
    <row r="1314" spans="1:11" s="734" customFormat="1" ht="43.2" x14ac:dyDescent="0.3">
      <c r="A1314" s="738" t="s">
        <v>1993</v>
      </c>
      <c r="B1314" s="750">
        <f>'[1]PLAN DE DESARROLLO 2024 - 2027'!$M$198</f>
        <v>3.4556250000000004E-2</v>
      </c>
      <c r="C1314" s="738" t="s">
        <v>1997</v>
      </c>
      <c r="D1314" s="752">
        <f>'[1]PLAN DE DESARROLLO 2024 - 2027'!$M$203</f>
        <v>3.0624999999999999E-2</v>
      </c>
      <c r="E1314" s="738" t="s">
        <v>1839</v>
      </c>
      <c r="F1314" s="748">
        <f>[2]Hoja1!$B$151</f>
        <v>3.2083333333333332E-2</v>
      </c>
      <c r="G1314" s="738" t="s">
        <v>1124</v>
      </c>
      <c r="H1314" s="738" t="s">
        <v>1125</v>
      </c>
      <c r="I1314" s="738"/>
      <c r="J1314" s="738" t="s">
        <v>12</v>
      </c>
      <c r="K1314" s="749" t="s">
        <v>2256</v>
      </c>
    </row>
    <row r="1315" spans="1:11" s="734" customFormat="1" ht="43.2" x14ac:dyDescent="0.3">
      <c r="A1315" s="738" t="s">
        <v>1993</v>
      </c>
      <c r="B1315" s="750">
        <f>'[1]PLAN DE DESARROLLO 2024 - 2027'!$M$198</f>
        <v>3.4556250000000004E-2</v>
      </c>
      <c r="C1315" s="738" t="s">
        <v>1997</v>
      </c>
      <c r="D1315" s="752">
        <f>'[1]PLAN DE DESARROLLO 2024 - 2027'!$M$203</f>
        <v>3.0624999999999999E-2</v>
      </c>
      <c r="E1315" s="738" t="s">
        <v>1839</v>
      </c>
      <c r="F1315" s="748">
        <f>[2]Hoja1!$B$151</f>
        <v>3.2083333333333332E-2</v>
      </c>
      <c r="G1315" s="738" t="s">
        <v>1126</v>
      </c>
      <c r="H1315" s="738" t="s">
        <v>1127</v>
      </c>
      <c r="I1315" s="738"/>
      <c r="J1315" s="738" t="s">
        <v>12</v>
      </c>
      <c r="K1315" s="749" t="s">
        <v>2256</v>
      </c>
    </row>
    <row r="1316" spans="1:11" s="734" customFormat="1" ht="33" customHeight="1" x14ac:dyDescent="0.3">
      <c r="A1316" s="738" t="s">
        <v>1993</v>
      </c>
      <c r="B1316" s="750">
        <f>'[1]PLAN DE DESARROLLO 2024 - 2027'!$M$198</f>
        <v>3.4556250000000004E-2</v>
      </c>
      <c r="C1316" s="738" t="s">
        <v>1997</v>
      </c>
      <c r="D1316" s="752">
        <f>'[1]PLAN DE DESARROLLO 2024 - 2027'!$M$203</f>
        <v>3.0624999999999999E-2</v>
      </c>
      <c r="E1316" s="738" t="s">
        <v>1839</v>
      </c>
      <c r="F1316" s="748">
        <f>[2]Hoja1!$B$151</f>
        <v>3.2083333333333332E-2</v>
      </c>
      <c r="G1316" s="738" t="s">
        <v>1128</v>
      </c>
      <c r="H1316" s="738" t="s">
        <v>1129</v>
      </c>
      <c r="I1316" s="738"/>
      <c r="J1316" s="738" t="s">
        <v>12</v>
      </c>
      <c r="K1316" s="749" t="s">
        <v>2256</v>
      </c>
    </row>
    <row r="1317" spans="1:11" s="734" customFormat="1" ht="28.8" x14ac:dyDescent="0.3">
      <c r="A1317" s="738" t="s">
        <v>2110</v>
      </c>
      <c r="B1317" s="750">
        <f>'[1]PLAN DE DESARROLLO 2024 - 2027'!$M$161</f>
        <v>0.24647581985093744</v>
      </c>
      <c r="C1317" s="738" t="s">
        <v>2112</v>
      </c>
      <c r="D1317" s="747">
        <f>'[1]PLAN DE DESARROLLO 2024 - 2027'!$M$166</f>
        <v>0.23451309458253802</v>
      </c>
      <c r="E1317" s="738" t="s">
        <v>2125</v>
      </c>
      <c r="F1317" s="748">
        <f>[2]Hoja1!$B$152</f>
        <v>0.13250000000000001</v>
      </c>
      <c r="G1317" s="738" t="s">
        <v>982</v>
      </c>
      <c r="H1317" s="738" t="s">
        <v>1184</v>
      </c>
      <c r="I1317" s="738"/>
      <c r="J1317" s="738" t="s">
        <v>516</v>
      </c>
      <c r="K1317" s="749" t="s">
        <v>2256</v>
      </c>
    </row>
    <row r="1318" spans="1:11" s="734" customFormat="1" ht="28.8" x14ac:dyDescent="0.3">
      <c r="A1318" s="738" t="s">
        <v>2110</v>
      </c>
      <c r="B1318" s="750">
        <f>'[1]PLAN DE DESARROLLO 2024 - 2027'!$M$161</f>
        <v>0.24647581985093744</v>
      </c>
      <c r="C1318" s="738" t="s">
        <v>2112</v>
      </c>
      <c r="D1318" s="747">
        <f>'[1]PLAN DE DESARROLLO 2024 - 2027'!$M$166</f>
        <v>0.23451309458253802</v>
      </c>
      <c r="E1318" s="738" t="s">
        <v>2125</v>
      </c>
      <c r="F1318" s="748">
        <f>[2]Hoja1!$B$152</f>
        <v>0.13250000000000001</v>
      </c>
      <c r="G1318" s="738" t="s">
        <v>983</v>
      </c>
      <c r="H1318" s="738" t="s">
        <v>1185</v>
      </c>
      <c r="I1318" s="738"/>
      <c r="J1318" s="738" t="s">
        <v>516</v>
      </c>
      <c r="K1318" s="749" t="s">
        <v>2256</v>
      </c>
    </row>
    <row r="1319" spans="1:11" s="734" customFormat="1" ht="43.2" x14ac:dyDescent="0.3">
      <c r="A1319" s="738" t="s">
        <v>2110</v>
      </c>
      <c r="B1319" s="750">
        <f>'[1]PLAN DE DESARROLLO 2024 - 2027'!$M$161</f>
        <v>0.24647581985093744</v>
      </c>
      <c r="C1319" s="738" t="s">
        <v>2112</v>
      </c>
      <c r="D1319" s="747">
        <f>'[1]PLAN DE DESARROLLO 2024 - 2027'!$M$166</f>
        <v>0.23451309458253802</v>
      </c>
      <c r="E1319" s="738" t="s">
        <v>2125</v>
      </c>
      <c r="F1319" s="748">
        <f>[2]Hoja1!$B$152</f>
        <v>0.13250000000000001</v>
      </c>
      <c r="G1319" s="738" t="s">
        <v>984</v>
      </c>
      <c r="H1319" s="738" t="s">
        <v>1186</v>
      </c>
      <c r="I1319" s="738"/>
      <c r="J1319" s="738" t="s">
        <v>516</v>
      </c>
      <c r="K1319" s="749" t="s">
        <v>2256</v>
      </c>
    </row>
    <row r="1320" spans="1:11" s="734" customFormat="1" ht="28.8" x14ac:dyDescent="0.3">
      <c r="A1320" s="738" t="s">
        <v>2068</v>
      </c>
      <c r="B1320" s="750">
        <f>'[1]PLAN DE DESARROLLO 2024 - 2027'!$M$92</f>
        <v>0.25050860314981654</v>
      </c>
      <c r="C1320" s="738" t="s">
        <v>2070</v>
      </c>
      <c r="D1320" s="747">
        <f>'[1]PLAN DE DESARROLLO 2024 - 2027'!$M$110</f>
        <v>0.16375000000000001</v>
      </c>
      <c r="E1320" s="738" t="s">
        <v>2096</v>
      </c>
      <c r="F1320" s="748">
        <f>[2]Hoja1!$B$87</f>
        <v>0.8</v>
      </c>
      <c r="G1320" s="738" t="s">
        <v>765</v>
      </c>
      <c r="H1320" s="738" t="s">
        <v>1463</v>
      </c>
      <c r="I1320" s="738"/>
      <c r="J1320" s="738" t="s">
        <v>736</v>
      </c>
      <c r="K1320" s="749" t="s">
        <v>2256</v>
      </c>
    </row>
    <row r="1321" spans="1:11" s="734" customFormat="1" ht="28.8" x14ac:dyDescent="0.3">
      <c r="A1321" s="738" t="s">
        <v>2068</v>
      </c>
      <c r="B1321" s="750">
        <f>'[1]PLAN DE DESARROLLO 2024 - 2027'!$M$92</f>
        <v>0.25050860314981654</v>
      </c>
      <c r="C1321" s="738" t="s">
        <v>2070</v>
      </c>
      <c r="D1321" s="747">
        <f>'[1]PLAN DE DESARROLLO 2024 - 2027'!$M$110</f>
        <v>0.16375000000000001</v>
      </c>
      <c r="E1321" s="738" t="s">
        <v>2073</v>
      </c>
      <c r="F1321" s="748">
        <f>[2]Hoja1!$B$93</f>
        <v>0</v>
      </c>
      <c r="G1321" s="738" t="s">
        <v>2074</v>
      </c>
      <c r="H1321" s="738" t="s">
        <v>1457</v>
      </c>
      <c r="I1321" s="738"/>
      <c r="J1321" s="738" t="s">
        <v>2075</v>
      </c>
      <c r="K1321" s="749" t="s">
        <v>2256</v>
      </c>
    </row>
    <row r="1322" spans="1:11" s="734" customFormat="1" x14ac:dyDescent="0.3">
      <c r="A1322" s="738" t="s">
        <v>2068</v>
      </c>
      <c r="B1322" s="750">
        <f>'[1]PLAN DE DESARROLLO 2024 - 2027'!$M$92</f>
        <v>0.25050860314981654</v>
      </c>
      <c r="C1322" s="738" t="s">
        <v>2070</v>
      </c>
      <c r="D1322" s="747">
        <f>'[1]PLAN DE DESARROLLO 2024 - 2027'!$M$110</f>
        <v>0.16375000000000001</v>
      </c>
      <c r="E1322" s="738" t="s">
        <v>2073</v>
      </c>
      <c r="F1322" s="748">
        <f>[2]Hoja1!$B$93</f>
        <v>0</v>
      </c>
      <c r="G1322" s="738" t="s">
        <v>760</v>
      </c>
      <c r="H1322" s="738" t="s">
        <v>1458</v>
      </c>
      <c r="I1322" s="738"/>
      <c r="J1322" s="738" t="s">
        <v>736</v>
      </c>
      <c r="K1322" s="749" t="s">
        <v>2256</v>
      </c>
    </row>
    <row r="1323" spans="1:11" s="734" customFormat="1" ht="28.8" x14ac:dyDescent="0.3">
      <c r="A1323" s="738" t="s">
        <v>2068</v>
      </c>
      <c r="B1323" s="750">
        <f>'[1]PLAN DE DESARROLLO 2024 - 2027'!$M$92</f>
        <v>0.25050860314981654</v>
      </c>
      <c r="C1323" s="738" t="s">
        <v>2070</v>
      </c>
      <c r="D1323" s="747">
        <f>'[1]PLAN DE DESARROLLO 2024 - 2027'!$M$110</f>
        <v>0.16375000000000001</v>
      </c>
      <c r="E1323" s="738" t="s">
        <v>2073</v>
      </c>
      <c r="F1323" s="748">
        <f>[2]Hoja1!$B$93</f>
        <v>0</v>
      </c>
      <c r="G1323" s="738" t="s">
        <v>761</v>
      </c>
      <c r="H1323" s="738" t="s">
        <v>1459</v>
      </c>
      <c r="I1323" s="738"/>
      <c r="J1323" s="738" t="s">
        <v>736</v>
      </c>
      <c r="K1323" s="749" t="s">
        <v>2256</v>
      </c>
    </row>
    <row r="1324" spans="1:11" s="734" customFormat="1" ht="43.2" x14ac:dyDescent="0.3">
      <c r="A1324" s="738" t="s">
        <v>2110</v>
      </c>
      <c r="B1324" s="750">
        <f>'[1]PLAN DE DESARROLLO 2024 - 2027'!$M$161</f>
        <v>0.24647581985093744</v>
      </c>
      <c r="C1324" s="738" t="s">
        <v>2111</v>
      </c>
      <c r="D1324" s="747">
        <f>'[1]PLAN DE DESARROLLO 2024 - 2027'!$M$162</f>
        <v>0.208125</v>
      </c>
      <c r="E1324" s="738" t="s">
        <v>1821</v>
      </c>
      <c r="F1324" s="748">
        <f>[2]Hoja1!$B$154</f>
        <v>0.21249999999999999</v>
      </c>
      <c r="G1324" s="738" t="s">
        <v>958</v>
      </c>
      <c r="H1324" s="738" t="s">
        <v>1165</v>
      </c>
      <c r="I1324" s="738"/>
      <c r="J1324" s="738" t="s">
        <v>516</v>
      </c>
      <c r="K1324" s="749" t="s">
        <v>2256</v>
      </c>
    </row>
    <row r="1325" spans="1:11" s="734" customFormat="1" ht="28.8" x14ac:dyDescent="0.3">
      <c r="A1325" s="738" t="s">
        <v>2110</v>
      </c>
      <c r="B1325" s="750">
        <f>'[1]PLAN DE DESARROLLO 2024 - 2027'!$M$161</f>
        <v>0.24647581985093744</v>
      </c>
      <c r="C1325" s="738" t="s">
        <v>2111</v>
      </c>
      <c r="D1325" s="747">
        <f>'[1]PLAN DE DESARROLLO 2024 - 2027'!$M$162</f>
        <v>0.208125</v>
      </c>
      <c r="E1325" s="738" t="s">
        <v>1821</v>
      </c>
      <c r="F1325" s="748">
        <f>[2]Hoja1!$B$154</f>
        <v>0.21249999999999999</v>
      </c>
      <c r="G1325" s="738" t="s">
        <v>959</v>
      </c>
      <c r="H1325" s="738" t="s">
        <v>1166</v>
      </c>
      <c r="I1325" s="738"/>
      <c r="J1325" s="738" t="s">
        <v>2120</v>
      </c>
      <c r="K1325" s="749" t="s">
        <v>2256</v>
      </c>
    </row>
    <row r="1326" spans="1:11" s="734" customFormat="1" ht="28.8" x14ac:dyDescent="0.3">
      <c r="A1326" s="738" t="s">
        <v>2017</v>
      </c>
      <c r="B1326" s="750">
        <f>'[1]PLAN DE DESARROLLO 2024 - 2027'!$M$123</f>
        <v>0.20174333228533195</v>
      </c>
      <c r="C1326" s="738" t="s">
        <v>2041</v>
      </c>
      <c r="D1326" s="752">
        <f>'[1]PLAN DE DESARROLLO 2024 - 2027'!$M$124</f>
        <v>0.25944237108108109</v>
      </c>
      <c r="E1326" s="738" t="s">
        <v>1803</v>
      </c>
      <c r="F1326" s="748">
        <f>[2]Hoja1!$B$95</f>
        <v>0.28400950000000003</v>
      </c>
      <c r="G1326" s="738" t="s">
        <v>806</v>
      </c>
      <c r="H1326" s="738" t="s">
        <v>1268</v>
      </c>
      <c r="I1326" s="738"/>
      <c r="J1326" s="738" t="s">
        <v>560</v>
      </c>
      <c r="K1326" s="749" t="s">
        <v>2256</v>
      </c>
    </row>
    <row r="1327" spans="1:11" s="734" customFormat="1" ht="28.8" x14ac:dyDescent="0.3">
      <c r="A1327" s="738" t="s">
        <v>2017</v>
      </c>
      <c r="B1327" s="750">
        <f>'[1]PLAN DE DESARROLLO 2024 - 2027'!$M$123</f>
        <v>0.20174333228533195</v>
      </c>
      <c r="C1327" s="738" t="s">
        <v>2041</v>
      </c>
      <c r="D1327" s="752">
        <f>'[1]PLAN DE DESARROLLO 2024 - 2027'!$M$124</f>
        <v>0.25944237108108109</v>
      </c>
      <c r="E1327" s="738" t="s">
        <v>1803</v>
      </c>
      <c r="F1327" s="748">
        <f>[2]Hoja1!$B$95</f>
        <v>0.28400950000000003</v>
      </c>
      <c r="G1327" s="738" t="s">
        <v>807</v>
      </c>
      <c r="H1327" s="738" t="s">
        <v>1269</v>
      </c>
      <c r="I1327" s="738"/>
      <c r="J1327" s="738" t="s">
        <v>560</v>
      </c>
      <c r="K1327" s="749" t="s">
        <v>2256</v>
      </c>
    </row>
    <row r="1328" spans="1:11" s="734" customFormat="1" ht="28.8" x14ac:dyDescent="0.3">
      <c r="A1328" s="738" t="s">
        <v>2017</v>
      </c>
      <c r="B1328" s="750">
        <f>'[1]PLAN DE DESARROLLO 2024 - 2027'!$M$123</f>
        <v>0.20174333228533195</v>
      </c>
      <c r="C1328" s="738" t="s">
        <v>2041</v>
      </c>
      <c r="D1328" s="752">
        <f>'[1]PLAN DE DESARROLLO 2024 - 2027'!$M$124</f>
        <v>0.25944237108108109</v>
      </c>
      <c r="E1328" s="738" t="s">
        <v>1803</v>
      </c>
      <c r="F1328" s="748">
        <f>[2]Hoja1!$B$95</f>
        <v>0.28400950000000003</v>
      </c>
      <c r="G1328" s="738" t="s">
        <v>808</v>
      </c>
      <c r="H1328" s="738" t="s">
        <v>1270</v>
      </c>
      <c r="I1328" s="738"/>
      <c r="J1328" s="738" t="s">
        <v>560</v>
      </c>
      <c r="K1328" s="749" t="s">
        <v>2256</v>
      </c>
    </row>
    <row r="1329" spans="1:11" s="734" customFormat="1" ht="43.2" x14ac:dyDescent="0.3">
      <c r="A1329" s="738" t="s">
        <v>2017</v>
      </c>
      <c r="B1329" s="750">
        <f>'[1]PLAN DE DESARROLLO 2024 - 2027'!$M$123</f>
        <v>0.20174333228533195</v>
      </c>
      <c r="C1329" s="738" t="s">
        <v>2041</v>
      </c>
      <c r="D1329" s="752">
        <f>'[1]PLAN DE DESARROLLO 2024 - 2027'!$M$124</f>
        <v>0.25944237108108109</v>
      </c>
      <c r="E1329" s="738" t="s">
        <v>1803</v>
      </c>
      <c r="F1329" s="748">
        <f>[2]Hoja1!$B$95</f>
        <v>0.28400950000000003</v>
      </c>
      <c r="G1329" s="738" t="s">
        <v>809</v>
      </c>
      <c r="H1329" s="738" t="s">
        <v>1271</v>
      </c>
      <c r="I1329" s="738"/>
      <c r="J1329" s="738" t="s">
        <v>560</v>
      </c>
      <c r="K1329" s="749" t="s">
        <v>2256</v>
      </c>
    </row>
    <row r="1330" spans="1:11" s="734" customFormat="1" ht="28.8" x14ac:dyDescent="0.3">
      <c r="A1330" s="738" t="s">
        <v>2017</v>
      </c>
      <c r="B1330" s="750">
        <f>'[1]PLAN DE DESARROLLO 2024 - 2027'!$M$123</f>
        <v>0.20174333228533195</v>
      </c>
      <c r="C1330" s="738" t="s">
        <v>2041</v>
      </c>
      <c r="D1330" s="752">
        <f>'[1]PLAN DE DESARROLLO 2024 - 2027'!$M$124</f>
        <v>0.25944237108108109</v>
      </c>
      <c r="E1330" s="738" t="s">
        <v>1803</v>
      </c>
      <c r="F1330" s="748">
        <f>[2]Hoja1!$B$95</f>
        <v>0.28400950000000003</v>
      </c>
      <c r="G1330" s="738" t="s">
        <v>810</v>
      </c>
      <c r="H1330" s="738" t="s">
        <v>1272</v>
      </c>
      <c r="I1330" s="738"/>
      <c r="J1330" s="738" t="s">
        <v>2027</v>
      </c>
      <c r="K1330" s="749" t="s">
        <v>2256</v>
      </c>
    </row>
    <row r="1331" spans="1:11" s="734" customFormat="1" ht="28.8" x14ac:dyDescent="0.3">
      <c r="A1331" s="738" t="s">
        <v>2017</v>
      </c>
      <c r="B1331" s="750">
        <f>'[1]PLAN DE DESARROLLO 2024 - 2027'!$M$123</f>
        <v>0.20174333228533195</v>
      </c>
      <c r="C1331" s="738" t="s">
        <v>2041</v>
      </c>
      <c r="D1331" s="752">
        <f>'[1]PLAN DE DESARROLLO 2024 - 2027'!$M$124</f>
        <v>0.25944237108108109</v>
      </c>
      <c r="E1331" s="738" t="s">
        <v>1803</v>
      </c>
      <c r="F1331" s="748">
        <f>[2]Hoja1!$B$95</f>
        <v>0.28400950000000003</v>
      </c>
      <c r="G1331" s="738" t="s">
        <v>812</v>
      </c>
      <c r="H1331" s="738" t="s">
        <v>1273</v>
      </c>
      <c r="I1331" s="738"/>
      <c r="J1331" s="738" t="s">
        <v>2027</v>
      </c>
      <c r="K1331" s="749" t="s">
        <v>2256</v>
      </c>
    </row>
    <row r="1332" spans="1:11" s="734" customFormat="1" ht="28.8" x14ac:dyDescent="0.3">
      <c r="A1332" s="738" t="s">
        <v>2017</v>
      </c>
      <c r="B1332" s="750">
        <f>'[1]PLAN DE DESARROLLO 2024 - 2027'!$M$123</f>
        <v>0.20174333228533195</v>
      </c>
      <c r="C1332" s="738" t="s">
        <v>2041</v>
      </c>
      <c r="D1332" s="752">
        <f>'[1]PLAN DE DESARROLLO 2024 - 2027'!$M$124</f>
        <v>0.25944237108108109</v>
      </c>
      <c r="E1332" s="738" t="s">
        <v>1803</v>
      </c>
      <c r="F1332" s="748">
        <f>[2]Hoja1!$B$95</f>
        <v>0.28400950000000003</v>
      </c>
      <c r="G1332" s="738" t="s">
        <v>813</v>
      </c>
      <c r="H1332" s="738" t="s">
        <v>1274</v>
      </c>
      <c r="I1332" s="738"/>
      <c r="J1332" s="738" t="s">
        <v>2027</v>
      </c>
      <c r="K1332" s="749" t="s">
        <v>2256</v>
      </c>
    </row>
    <row r="1333" spans="1:11" s="734" customFormat="1" ht="43.2" x14ac:dyDescent="0.3">
      <c r="A1333" s="738" t="s">
        <v>2017</v>
      </c>
      <c r="B1333" s="750">
        <f>'[1]PLAN DE DESARROLLO 2024 - 2027'!$M$123</f>
        <v>0.20174333228533195</v>
      </c>
      <c r="C1333" s="738" t="s">
        <v>2041</v>
      </c>
      <c r="D1333" s="752">
        <f>'[1]PLAN DE DESARROLLO 2024 - 2027'!$M$124</f>
        <v>0.25944237108108109</v>
      </c>
      <c r="E1333" s="738" t="s">
        <v>1803</v>
      </c>
      <c r="F1333" s="748">
        <f>[2]Hoja1!$B$95</f>
        <v>0.28400950000000003</v>
      </c>
      <c r="G1333" s="738" t="s">
        <v>814</v>
      </c>
      <c r="H1333" s="738" t="s">
        <v>1275</v>
      </c>
      <c r="I1333" s="738"/>
      <c r="J1333" s="738" t="s">
        <v>2027</v>
      </c>
      <c r="K1333" s="749" t="s">
        <v>2256</v>
      </c>
    </row>
    <row r="1334" spans="1:11" s="734" customFormat="1" ht="28.8" x14ac:dyDescent="0.3">
      <c r="A1334" s="738" t="s">
        <v>2017</v>
      </c>
      <c r="B1334" s="750">
        <f>'[1]PLAN DE DESARROLLO 2024 - 2027'!$M$123</f>
        <v>0.20174333228533195</v>
      </c>
      <c r="C1334" s="738" t="s">
        <v>2041</v>
      </c>
      <c r="D1334" s="752">
        <f>'[1]PLAN DE DESARROLLO 2024 - 2027'!$M$124</f>
        <v>0.25944237108108109</v>
      </c>
      <c r="E1334" s="738" t="s">
        <v>1803</v>
      </c>
      <c r="F1334" s="748">
        <f>[2]Hoja1!$B$95</f>
        <v>0.28400950000000003</v>
      </c>
      <c r="G1334" s="738" t="s">
        <v>815</v>
      </c>
      <c r="H1334" s="738" t="s">
        <v>1276</v>
      </c>
      <c r="I1334" s="738"/>
      <c r="J1334" s="738" t="s">
        <v>560</v>
      </c>
      <c r="K1334" s="749" t="s">
        <v>2256</v>
      </c>
    </row>
    <row r="1335" spans="1:11" s="734" customFormat="1" x14ac:dyDescent="0.3">
      <c r="A1335" s="738" t="s">
        <v>2017</v>
      </c>
      <c r="B1335" s="750">
        <f>'[1]PLAN DE DESARROLLO 2024 - 2027'!$M$123</f>
        <v>0.20174333228533195</v>
      </c>
      <c r="C1335" s="738" t="s">
        <v>2041</v>
      </c>
      <c r="D1335" s="752">
        <f>'[1]PLAN DE DESARROLLO 2024 - 2027'!$M$124</f>
        <v>0.25944237108108109</v>
      </c>
      <c r="E1335" s="738" t="s">
        <v>1803</v>
      </c>
      <c r="F1335" s="748">
        <f>[2]Hoja1!$B$95</f>
        <v>0.28400950000000003</v>
      </c>
      <c r="G1335" s="738" t="s">
        <v>816</v>
      </c>
      <c r="H1335" s="738" t="s">
        <v>1277</v>
      </c>
      <c r="I1335" s="738"/>
      <c r="J1335" s="738" t="s">
        <v>560</v>
      </c>
      <c r="K1335" s="749" t="s">
        <v>2256</v>
      </c>
    </row>
    <row r="1336" spans="1:11" s="734" customFormat="1" ht="28.8" x14ac:dyDescent="0.3">
      <c r="A1336" s="738" t="s">
        <v>2017</v>
      </c>
      <c r="B1336" s="750">
        <f>'[1]PLAN DE DESARROLLO 2024 - 2027'!$M$123</f>
        <v>0.20174333228533195</v>
      </c>
      <c r="C1336" s="738" t="s">
        <v>2041</v>
      </c>
      <c r="D1336" s="752">
        <f>'[1]PLAN DE DESARROLLO 2024 - 2027'!$M$124</f>
        <v>0.25944237108108109</v>
      </c>
      <c r="E1336" s="738" t="s">
        <v>2043</v>
      </c>
      <c r="F1336" s="748">
        <f>[2]Hoja1!$B$132</f>
        <v>0.20211907027027029</v>
      </c>
      <c r="G1336" s="738" t="s">
        <v>817</v>
      </c>
      <c r="H1336" s="738" t="s">
        <v>1278</v>
      </c>
      <c r="I1336" s="738"/>
      <c r="J1336" s="738" t="s">
        <v>1540</v>
      </c>
      <c r="K1336" s="749" t="s">
        <v>2256</v>
      </c>
    </row>
    <row r="1337" spans="1:11" s="734" customFormat="1" ht="28.8" x14ac:dyDescent="0.3">
      <c r="A1337" s="738" t="s">
        <v>2017</v>
      </c>
      <c r="B1337" s="750">
        <f>'[1]PLAN DE DESARROLLO 2024 - 2027'!$M$123</f>
        <v>0.20174333228533195</v>
      </c>
      <c r="C1337" s="738" t="s">
        <v>2041</v>
      </c>
      <c r="D1337" s="752">
        <f>'[1]PLAN DE DESARROLLO 2024 - 2027'!$M$124</f>
        <v>0.25944237108108109</v>
      </c>
      <c r="E1337" s="738" t="s">
        <v>2043</v>
      </c>
      <c r="F1337" s="748">
        <f>[2]Hoja1!$B$132</f>
        <v>0.20211907027027029</v>
      </c>
      <c r="G1337" s="738" t="s">
        <v>819</v>
      </c>
      <c r="H1337" s="738" t="s">
        <v>1279</v>
      </c>
      <c r="I1337" s="738"/>
      <c r="J1337" s="738" t="s">
        <v>1540</v>
      </c>
      <c r="K1337" s="749" t="s">
        <v>2256</v>
      </c>
    </row>
    <row r="1338" spans="1:11" s="734" customFormat="1" ht="28.8" x14ac:dyDescent="0.3">
      <c r="A1338" s="738" t="s">
        <v>2017</v>
      </c>
      <c r="B1338" s="750">
        <f>'[1]PLAN DE DESARROLLO 2024 - 2027'!$M$123</f>
        <v>0.20174333228533195</v>
      </c>
      <c r="C1338" s="738" t="s">
        <v>2041</v>
      </c>
      <c r="D1338" s="752">
        <f>'[1]PLAN DE DESARROLLO 2024 - 2027'!$M$124</f>
        <v>0.25944237108108109</v>
      </c>
      <c r="E1338" s="738" t="s">
        <v>2043</v>
      </c>
      <c r="F1338" s="748">
        <f>[2]Hoja1!$B$132</f>
        <v>0.20211907027027029</v>
      </c>
      <c r="G1338" s="738" t="s">
        <v>820</v>
      </c>
      <c r="H1338" s="738" t="s">
        <v>1280</v>
      </c>
      <c r="I1338" s="738"/>
      <c r="J1338" s="738" t="s">
        <v>1540</v>
      </c>
      <c r="K1338" s="749" t="s">
        <v>2256</v>
      </c>
    </row>
    <row r="1339" spans="1:11" s="734" customFormat="1" ht="43.2" x14ac:dyDescent="0.3">
      <c r="A1339" s="738" t="s">
        <v>2068</v>
      </c>
      <c r="B1339" s="750">
        <f>'[1]PLAN DE DESARROLLO 2024 - 2027'!$M$92</f>
        <v>0.25050860314981654</v>
      </c>
      <c r="C1339" s="738" t="s">
        <v>2070</v>
      </c>
      <c r="D1339" s="747">
        <f>'[1]PLAN DE DESARROLLO 2024 - 2027'!$M$110</f>
        <v>0.16375000000000001</v>
      </c>
      <c r="E1339" s="738" t="s">
        <v>2073</v>
      </c>
      <c r="F1339" s="748">
        <f>[2]Hoja1!$B$93</f>
        <v>0</v>
      </c>
      <c r="G1339" s="738" t="s">
        <v>762</v>
      </c>
      <c r="H1339" s="738" t="s">
        <v>1460</v>
      </c>
      <c r="I1339" s="738"/>
      <c r="J1339" s="738" t="s">
        <v>736</v>
      </c>
      <c r="K1339" s="749" t="s">
        <v>2256</v>
      </c>
    </row>
    <row r="1340" spans="1:11" s="734" customFormat="1" ht="28.8" x14ac:dyDescent="0.3">
      <c r="A1340" s="738" t="s">
        <v>2068</v>
      </c>
      <c r="B1340" s="750">
        <f>'[1]PLAN DE DESARROLLO 2024 - 2027'!$M$92</f>
        <v>0.25050860314981654</v>
      </c>
      <c r="C1340" s="738" t="s">
        <v>2070</v>
      </c>
      <c r="D1340" s="747">
        <f>'[1]PLAN DE DESARROLLO 2024 - 2027'!$M$110</f>
        <v>0.16375000000000001</v>
      </c>
      <c r="E1340" s="738" t="s">
        <v>1798</v>
      </c>
      <c r="F1340" s="748">
        <f>[2]Hoja1!$B$126</f>
        <v>0.4375</v>
      </c>
      <c r="G1340" s="738" t="s">
        <v>753</v>
      </c>
      <c r="H1340" s="738" t="s">
        <v>1453</v>
      </c>
      <c r="I1340" s="738"/>
      <c r="J1340" s="738" t="s">
        <v>2095</v>
      </c>
      <c r="K1340" s="749" t="s">
        <v>2256</v>
      </c>
    </row>
    <row r="1341" spans="1:11" s="734" customFormat="1" ht="28.8" x14ac:dyDescent="0.3">
      <c r="A1341" s="738" t="s">
        <v>2068</v>
      </c>
      <c r="B1341" s="750">
        <f>'[1]PLAN DE DESARROLLO 2024 - 2027'!$M$92</f>
        <v>0.25050860314981654</v>
      </c>
      <c r="C1341" s="738" t="s">
        <v>2070</v>
      </c>
      <c r="D1341" s="747">
        <f>'[1]PLAN DE DESARROLLO 2024 - 2027'!$M$110</f>
        <v>0.16375000000000001</v>
      </c>
      <c r="E1341" s="738" t="s">
        <v>1798</v>
      </c>
      <c r="F1341" s="748">
        <f>[2]Hoja1!$B$126</f>
        <v>0.4375</v>
      </c>
      <c r="G1341" s="738" t="s">
        <v>755</v>
      </c>
      <c r="H1341" s="738" t="s">
        <v>1454</v>
      </c>
      <c r="I1341" s="738"/>
      <c r="J1341" s="738" t="s">
        <v>2095</v>
      </c>
      <c r="K1341" s="749" t="s">
        <v>2256</v>
      </c>
    </row>
    <row r="1342" spans="1:11" s="734" customFormat="1" ht="28.8" x14ac:dyDescent="0.3">
      <c r="A1342" s="738" t="s">
        <v>2068</v>
      </c>
      <c r="B1342" s="750">
        <f>'[1]PLAN DE DESARROLLO 2024 - 2027'!$M$92</f>
        <v>0.25050860314981654</v>
      </c>
      <c r="C1342" s="738" t="s">
        <v>2070</v>
      </c>
      <c r="D1342" s="747">
        <f>'[1]PLAN DE DESARROLLO 2024 - 2027'!$M$110</f>
        <v>0.16375000000000001</v>
      </c>
      <c r="E1342" s="738" t="s">
        <v>1798</v>
      </c>
      <c r="F1342" s="748">
        <f>[2]Hoja1!$B$126</f>
        <v>0.4375</v>
      </c>
      <c r="G1342" s="738" t="s">
        <v>756</v>
      </c>
      <c r="H1342" s="738" t="s">
        <v>1455</v>
      </c>
      <c r="I1342" s="738"/>
      <c r="J1342" s="738" t="s">
        <v>2095</v>
      </c>
      <c r="K1342" s="749" t="s">
        <v>2256</v>
      </c>
    </row>
    <row r="1343" spans="1:11" s="734" customFormat="1" ht="28.8" x14ac:dyDescent="0.3">
      <c r="A1343" s="738" t="s">
        <v>2068</v>
      </c>
      <c r="B1343" s="750">
        <f>'[1]PLAN DE DESARROLLO 2024 - 2027'!$M$92</f>
        <v>0.25050860314981654</v>
      </c>
      <c r="C1343" s="738" t="s">
        <v>2070</v>
      </c>
      <c r="D1343" s="747">
        <f>'[1]PLAN DE DESARROLLO 2024 - 2027'!$M$110</f>
        <v>0.16375000000000001</v>
      </c>
      <c r="E1343" s="738" t="s">
        <v>1798</v>
      </c>
      <c r="F1343" s="748">
        <f>[2]Hoja1!$B$126</f>
        <v>0.4375</v>
      </c>
      <c r="G1343" s="738" t="s">
        <v>757</v>
      </c>
      <c r="H1343" s="738" t="s">
        <v>1456</v>
      </c>
      <c r="I1343" s="738"/>
      <c r="J1343" s="738" t="s">
        <v>2095</v>
      </c>
      <c r="K1343" s="749" t="s">
        <v>2256</v>
      </c>
    </row>
    <row r="1344" spans="1:11" s="734" customFormat="1" ht="28.8" x14ac:dyDescent="0.3">
      <c r="A1344" s="738" t="s">
        <v>2068</v>
      </c>
      <c r="B1344" s="750">
        <f>'[1]PLAN DE DESARROLLO 2024 - 2027'!$M$92</f>
        <v>0.25050860314981654</v>
      </c>
      <c r="C1344" s="738" t="s">
        <v>2070</v>
      </c>
      <c r="D1344" s="747">
        <f>'[1]PLAN DE DESARROLLO 2024 - 2027'!$M$110</f>
        <v>0.16375000000000001</v>
      </c>
      <c r="E1344" s="738" t="s">
        <v>1796</v>
      </c>
      <c r="F1344" s="748">
        <f>[2]Hoja1!$B$144</f>
        <v>0</v>
      </c>
      <c r="G1344" s="738" t="s">
        <v>735</v>
      </c>
      <c r="H1344" s="738" t="s">
        <v>1437</v>
      </c>
      <c r="I1344" s="738"/>
      <c r="J1344" s="738" t="s">
        <v>736</v>
      </c>
      <c r="K1344" s="749" t="s">
        <v>2256</v>
      </c>
    </row>
    <row r="1345" spans="1:11" s="734" customFormat="1" ht="28.8" x14ac:dyDescent="0.3">
      <c r="A1345" s="738" t="s">
        <v>2068</v>
      </c>
      <c r="B1345" s="750">
        <f>'[1]PLAN DE DESARROLLO 2024 - 2027'!$M$92</f>
        <v>0.25050860314981654</v>
      </c>
      <c r="C1345" s="738" t="s">
        <v>2070</v>
      </c>
      <c r="D1345" s="747">
        <f>'[1]PLAN DE DESARROLLO 2024 - 2027'!$M$110</f>
        <v>0.16375000000000001</v>
      </c>
      <c r="E1345" s="738" t="s">
        <v>1796</v>
      </c>
      <c r="F1345" s="748">
        <f>[2]Hoja1!$B$144</f>
        <v>0</v>
      </c>
      <c r="G1345" s="738" t="s">
        <v>737</v>
      </c>
      <c r="H1345" s="738" t="s">
        <v>1438</v>
      </c>
      <c r="I1345" s="738"/>
      <c r="J1345" s="738" t="s">
        <v>736</v>
      </c>
      <c r="K1345" s="749" t="s">
        <v>2256</v>
      </c>
    </row>
    <row r="1346" spans="1:11" s="734" customFormat="1" ht="28.8" x14ac:dyDescent="0.3">
      <c r="A1346" s="738" t="s">
        <v>2068</v>
      </c>
      <c r="B1346" s="750">
        <f>'[1]PLAN DE DESARROLLO 2024 - 2027'!$M$92</f>
        <v>0.25050860314981654</v>
      </c>
      <c r="C1346" s="738" t="s">
        <v>2070</v>
      </c>
      <c r="D1346" s="747">
        <f>'[1]PLAN DE DESARROLLO 2024 - 2027'!$M$110</f>
        <v>0.16375000000000001</v>
      </c>
      <c r="E1346" s="738" t="s">
        <v>1796</v>
      </c>
      <c r="F1346" s="748">
        <f>[2]Hoja1!$B$144</f>
        <v>0</v>
      </c>
      <c r="G1346" s="738" t="s">
        <v>738</v>
      </c>
      <c r="H1346" s="738" t="s">
        <v>1439</v>
      </c>
      <c r="I1346" s="738"/>
      <c r="J1346" s="738" t="s">
        <v>736</v>
      </c>
      <c r="K1346" s="749" t="s">
        <v>2256</v>
      </c>
    </row>
    <row r="1347" spans="1:11" s="734" customFormat="1" ht="28.8" x14ac:dyDescent="0.3">
      <c r="A1347" s="738" t="s">
        <v>2068</v>
      </c>
      <c r="B1347" s="750">
        <f>'[1]PLAN DE DESARROLLO 2024 - 2027'!$M$92</f>
        <v>0.25050860314981654</v>
      </c>
      <c r="C1347" s="738" t="s">
        <v>2070</v>
      </c>
      <c r="D1347" s="747">
        <f>'[1]PLAN DE DESARROLLO 2024 - 2027'!$M$110</f>
        <v>0.16375000000000001</v>
      </c>
      <c r="E1347" s="738" t="s">
        <v>1796</v>
      </c>
      <c r="F1347" s="748">
        <f>[2]Hoja1!$B$144</f>
        <v>0</v>
      </c>
      <c r="G1347" s="738" t="s">
        <v>739</v>
      </c>
      <c r="H1347" s="738" t="s">
        <v>2071</v>
      </c>
      <c r="I1347" s="738"/>
      <c r="J1347" s="738" t="s">
        <v>736</v>
      </c>
      <c r="K1347" s="749" t="s">
        <v>2256</v>
      </c>
    </row>
    <row r="1348" spans="1:11" s="734" customFormat="1" ht="28.8" x14ac:dyDescent="0.3">
      <c r="A1348" s="738" t="s">
        <v>2068</v>
      </c>
      <c r="B1348" s="750">
        <f>'[1]PLAN DE DESARROLLO 2024 - 2027'!$M$92</f>
        <v>0.25050860314981654</v>
      </c>
      <c r="C1348" s="738" t="s">
        <v>2070</v>
      </c>
      <c r="D1348" s="747">
        <f>'[1]PLAN DE DESARROLLO 2024 - 2027'!$M$110</f>
        <v>0.16375000000000001</v>
      </c>
      <c r="E1348" s="738" t="s">
        <v>1797</v>
      </c>
      <c r="F1348" s="748">
        <f>[2]Hoja1!$B$156</f>
        <v>0</v>
      </c>
      <c r="G1348" s="738" t="s">
        <v>740</v>
      </c>
      <c r="H1348" s="738" t="s">
        <v>1441</v>
      </c>
      <c r="I1348" s="738"/>
      <c r="J1348" s="738" t="s">
        <v>736</v>
      </c>
      <c r="K1348" s="749" t="s">
        <v>2256</v>
      </c>
    </row>
    <row r="1349" spans="1:11" s="734" customFormat="1" ht="36.75" customHeight="1" x14ac:dyDescent="0.3">
      <c r="A1349" s="738" t="s">
        <v>2068</v>
      </c>
      <c r="B1349" s="750">
        <f>'[1]PLAN DE DESARROLLO 2024 - 2027'!$M$92</f>
        <v>0.25050860314981654</v>
      </c>
      <c r="C1349" s="738" t="s">
        <v>2070</v>
      </c>
      <c r="D1349" s="747">
        <f>'[1]PLAN DE DESARROLLO 2024 - 2027'!$M$110</f>
        <v>0.16375000000000001</v>
      </c>
      <c r="E1349" s="738" t="s">
        <v>1797</v>
      </c>
      <c r="F1349" s="748">
        <f>[2]Hoja1!$B$156</f>
        <v>0</v>
      </c>
      <c r="G1349" s="738" t="s">
        <v>741</v>
      </c>
      <c r="H1349" s="738" t="s">
        <v>1442</v>
      </c>
      <c r="I1349" s="738"/>
      <c r="J1349" s="738" t="s">
        <v>736</v>
      </c>
      <c r="K1349" s="749" t="s">
        <v>2256</v>
      </c>
    </row>
    <row r="1350" spans="1:11" s="734" customFormat="1" ht="18.75" customHeight="1" x14ac:dyDescent="0.3">
      <c r="A1350" s="738" t="s">
        <v>2068</v>
      </c>
      <c r="B1350" s="750">
        <f>'[1]PLAN DE DESARROLLO 2024 - 2027'!$M$92</f>
        <v>0.25050860314981654</v>
      </c>
      <c r="C1350" s="738" t="s">
        <v>2070</v>
      </c>
      <c r="D1350" s="747">
        <f>'[1]PLAN DE DESARROLLO 2024 - 2027'!$M$110</f>
        <v>0.16375000000000001</v>
      </c>
      <c r="E1350" s="738" t="s">
        <v>1797</v>
      </c>
      <c r="F1350" s="748">
        <f>[2]Hoja1!$B$156</f>
        <v>0</v>
      </c>
      <c r="G1350" s="738" t="s">
        <v>742</v>
      </c>
      <c r="H1350" s="738" t="s">
        <v>1443</v>
      </c>
      <c r="I1350" s="738"/>
      <c r="J1350" s="738" t="s">
        <v>736</v>
      </c>
      <c r="K1350" s="749" t="s">
        <v>2256</v>
      </c>
    </row>
    <row r="1351" spans="1:11" s="734" customFormat="1" ht="28.8" x14ac:dyDescent="0.3">
      <c r="A1351" s="738" t="s">
        <v>2143</v>
      </c>
      <c r="B1351" s="746">
        <f>'[1]PLAN DE DESARROLLO 2024 - 2027'!$M$4</f>
        <v>0.24028917333263158</v>
      </c>
      <c r="C1351" s="738" t="s">
        <v>2145</v>
      </c>
      <c r="D1351" s="747">
        <f>'[1]PLAN DE DESARROLLO 2024 - 2027'!$M$34</f>
        <v>0.12535549571208945</v>
      </c>
      <c r="E1351" s="738" t="s">
        <v>1622</v>
      </c>
      <c r="F1351" s="748">
        <f>[2]Hoja1!$B$94</f>
        <v>0.15668414473684211</v>
      </c>
      <c r="G1351" s="738" t="s">
        <v>324</v>
      </c>
      <c r="H1351" s="738" t="s">
        <v>325</v>
      </c>
      <c r="I1351" s="738"/>
      <c r="J1351" s="738" t="s">
        <v>297</v>
      </c>
      <c r="K1351" s="749" t="s">
        <v>2256</v>
      </c>
    </row>
    <row r="1352" spans="1:11" s="734" customFormat="1" ht="43.2" x14ac:dyDescent="0.3">
      <c r="A1352" s="738" t="s">
        <v>2143</v>
      </c>
      <c r="B1352" s="746">
        <f>'[1]PLAN DE DESARROLLO 2024 - 2027'!$M$4</f>
        <v>0.24028917333263158</v>
      </c>
      <c r="C1352" s="738" t="s">
        <v>2145</v>
      </c>
      <c r="D1352" s="747">
        <f>'[1]PLAN DE DESARROLLO 2024 - 2027'!$M$34</f>
        <v>0.12535549571208945</v>
      </c>
      <c r="E1352" s="738" t="s">
        <v>2169</v>
      </c>
      <c r="F1352" s="748">
        <f>[2]Hoja1!$B$138</f>
        <v>0.33227499999999999</v>
      </c>
      <c r="G1352" s="738" t="s">
        <v>300</v>
      </c>
      <c r="H1352" s="738" t="s">
        <v>301</v>
      </c>
      <c r="I1352" s="738"/>
      <c r="J1352" s="738" t="s">
        <v>297</v>
      </c>
      <c r="K1352" s="749" t="s">
        <v>2256</v>
      </c>
    </row>
    <row r="1353" spans="1:11" s="734" customFormat="1" ht="28.8" x14ac:dyDescent="0.3">
      <c r="A1353" s="738" t="s">
        <v>2143</v>
      </c>
      <c r="B1353" s="746">
        <f>'[1]PLAN DE DESARROLLO 2024 - 2027'!$M$4</f>
        <v>0.24028917333263158</v>
      </c>
      <c r="C1353" s="738" t="s">
        <v>2145</v>
      </c>
      <c r="D1353" s="747">
        <f>'[1]PLAN DE DESARROLLO 2024 - 2027'!$M$34</f>
        <v>0.12535549571208945</v>
      </c>
      <c r="E1353" s="738" t="s">
        <v>2169</v>
      </c>
      <c r="F1353" s="748">
        <f>[2]Hoja1!$B$138</f>
        <v>0.33227499999999999</v>
      </c>
      <c r="G1353" s="738" t="s">
        <v>302</v>
      </c>
      <c r="H1353" s="738" t="s">
        <v>303</v>
      </c>
      <c r="I1353" s="738"/>
      <c r="J1353" s="738" t="s">
        <v>297</v>
      </c>
      <c r="K1353" s="749" t="s">
        <v>2256</v>
      </c>
    </row>
    <row r="1354" spans="1:11" s="734" customFormat="1" ht="28.8" x14ac:dyDescent="0.3">
      <c r="A1354" s="738" t="s">
        <v>2143</v>
      </c>
      <c r="B1354" s="746">
        <f>'[1]PLAN DE DESARROLLO 2024 - 2027'!$M$4</f>
        <v>0.24028917333263158</v>
      </c>
      <c r="C1354" s="738" t="s">
        <v>2145</v>
      </c>
      <c r="D1354" s="747">
        <f>'[1]PLAN DE DESARROLLO 2024 - 2027'!$M$34</f>
        <v>0.12535549571208945</v>
      </c>
      <c r="E1354" s="738" t="s">
        <v>2169</v>
      </c>
      <c r="F1354" s="748">
        <f>[2]Hoja1!$B$138</f>
        <v>0.33227499999999999</v>
      </c>
      <c r="G1354" s="738" t="s">
        <v>304</v>
      </c>
      <c r="H1354" s="738" t="s">
        <v>305</v>
      </c>
      <c r="I1354" s="738"/>
      <c r="J1354" s="738" t="s">
        <v>297</v>
      </c>
      <c r="K1354" s="749" t="s">
        <v>2256</v>
      </c>
    </row>
    <row r="1355" spans="1:11" s="734" customFormat="1" ht="28.8" x14ac:dyDescent="0.3">
      <c r="A1355" s="738" t="s">
        <v>2143</v>
      </c>
      <c r="B1355" s="746">
        <f>'[1]PLAN DE DESARROLLO 2024 - 2027'!$M$4</f>
        <v>0.24028917333263158</v>
      </c>
      <c r="C1355" s="738" t="s">
        <v>2145</v>
      </c>
      <c r="D1355" s="747">
        <f>'[1]PLAN DE DESARROLLO 2024 - 2027'!$M$34</f>
        <v>0.12535549571208945</v>
      </c>
      <c r="E1355" s="738" t="s">
        <v>2173</v>
      </c>
      <c r="F1355" s="748">
        <f>[2]Hoja1!$B$140</f>
        <v>0.14611666666666664</v>
      </c>
      <c r="G1355" s="738" t="s">
        <v>336</v>
      </c>
      <c r="H1355" s="738" t="s">
        <v>337</v>
      </c>
      <c r="I1355" s="738"/>
      <c r="J1355" s="738" t="s">
        <v>297</v>
      </c>
      <c r="K1355" s="749" t="s">
        <v>2256</v>
      </c>
    </row>
    <row r="1356" spans="1:11" s="734" customFormat="1" ht="28.8" x14ac:dyDescent="0.3">
      <c r="A1356" s="738" t="s">
        <v>2143</v>
      </c>
      <c r="B1356" s="746">
        <f>'[1]PLAN DE DESARROLLO 2024 - 2027'!$M$4</f>
        <v>0.24028917333263158</v>
      </c>
      <c r="C1356" s="738" t="s">
        <v>2145</v>
      </c>
      <c r="D1356" s="747">
        <f>'[1]PLAN DE DESARROLLO 2024 - 2027'!$M$34</f>
        <v>0.12535549571208945</v>
      </c>
      <c r="E1356" s="738" t="s">
        <v>2173</v>
      </c>
      <c r="F1356" s="748">
        <f>[2]Hoja1!$B$140</f>
        <v>0.14611666666666664</v>
      </c>
      <c r="G1356" s="738" t="s">
        <v>338</v>
      </c>
      <c r="H1356" s="738" t="s">
        <v>339</v>
      </c>
      <c r="I1356" s="738"/>
      <c r="J1356" s="738" t="s">
        <v>297</v>
      </c>
      <c r="K1356" s="749" t="s">
        <v>2256</v>
      </c>
    </row>
    <row r="1357" spans="1:11" s="734" customFormat="1" ht="28.8" x14ac:dyDescent="0.3">
      <c r="A1357" s="738" t="s">
        <v>2143</v>
      </c>
      <c r="B1357" s="746">
        <f>'[1]PLAN DE DESARROLLO 2024 - 2027'!$M$4</f>
        <v>0.24028917333263158</v>
      </c>
      <c r="C1357" s="738" t="s">
        <v>2145</v>
      </c>
      <c r="D1357" s="747">
        <f>'[1]PLAN DE DESARROLLO 2024 - 2027'!$M$34</f>
        <v>0.12535549571208945</v>
      </c>
      <c r="E1357" s="738" t="s">
        <v>2173</v>
      </c>
      <c r="F1357" s="748">
        <f>[2]Hoja1!$B$140</f>
        <v>0.14611666666666664</v>
      </c>
      <c r="G1357" s="738" t="s">
        <v>340</v>
      </c>
      <c r="H1357" s="738" t="s">
        <v>341</v>
      </c>
      <c r="I1357" s="738"/>
      <c r="J1357" s="738" t="s">
        <v>297</v>
      </c>
      <c r="K1357" s="749" t="s">
        <v>2256</v>
      </c>
    </row>
    <row r="1358" spans="1:11" s="734" customFormat="1" ht="28.8" x14ac:dyDescent="0.3">
      <c r="A1358" s="738" t="s">
        <v>2197</v>
      </c>
      <c r="B1358" s="746">
        <f>'[1]PLAN DE DESARROLLO 2024 - 2027'!$M$46</f>
        <v>0.25251661967012345</v>
      </c>
      <c r="C1358" s="738" t="s">
        <v>2198</v>
      </c>
      <c r="D1358" s="747">
        <f>'[1]PLAN DE DESARROLLO 2024 - 2027'!$M$47</f>
        <v>0.26592582694462413</v>
      </c>
      <c r="E1358" s="738" t="s">
        <v>1651</v>
      </c>
      <c r="F1358" s="748">
        <f>[2]Hoja1!$B$159</f>
        <v>0.15592630718954248</v>
      </c>
      <c r="G1358" s="738" t="s">
        <v>450</v>
      </c>
      <c r="H1358" s="738" t="s">
        <v>451</v>
      </c>
      <c r="I1358" s="738"/>
      <c r="J1358" s="738" t="s">
        <v>2199</v>
      </c>
      <c r="K1358" s="749" t="s">
        <v>2256</v>
      </c>
    </row>
    <row r="1359" spans="1:11" s="734" customFormat="1" ht="28.8" x14ac:dyDescent="0.3">
      <c r="A1359" s="738" t="s">
        <v>2197</v>
      </c>
      <c r="B1359" s="746">
        <f>'[1]PLAN DE DESARROLLO 2024 - 2027'!$M$46</f>
        <v>0.25251661967012345</v>
      </c>
      <c r="C1359" s="738" t="s">
        <v>2198</v>
      </c>
      <c r="D1359" s="747">
        <f>'[1]PLAN DE DESARROLLO 2024 - 2027'!$M$47</f>
        <v>0.26592582694462413</v>
      </c>
      <c r="E1359" s="738" t="s">
        <v>1651</v>
      </c>
      <c r="F1359" s="748">
        <f>[2]Hoja1!$B$159</f>
        <v>0.15592630718954248</v>
      </c>
      <c r="G1359" s="738" t="s">
        <v>452</v>
      </c>
      <c r="H1359" s="738" t="s">
        <v>2223</v>
      </c>
      <c r="I1359" s="738"/>
      <c r="J1359" s="738" t="s">
        <v>2199</v>
      </c>
      <c r="K1359" s="749" t="s">
        <v>2256</v>
      </c>
    </row>
    <row r="1360" spans="1:11" s="734" customFormat="1" ht="28.8" x14ac:dyDescent="0.3">
      <c r="A1360" s="738" t="s">
        <v>2197</v>
      </c>
      <c r="B1360" s="746">
        <f>'[1]PLAN DE DESARROLLO 2024 - 2027'!$M$46</f>
        <v>0.25251661967012345</v>
      </c>
      <c r="C1360" s="738" t="s">
        <v>2198</v>
      </c>
      <c r="D1360" s="747">
        <f>'[1]PLAN DE DESARROLLO 2024 - 2027'!$M$47</f>
        <v>0.26592582694462413</v>
      </c>
      <c r="E1360" s="738" t="s">
        <v>1651</v>
      </c>
      <c r="F1360" s="748">
        <f>[2]Hoja1!$B$159</f>
        <v>0.15592630718954248</v>
      </c>
      <c r="G1360" s="738" t="s">
        <v>454</v>
      </c>
      <c r="H1360" s="738" t="s">
        <v>2224</v>
      </c>
      <c r="I1360" s="738"/>
      <c r="J1360" s="738" t="s">
        <v>2199</v>
      </c>
      <c r="K1360" s="749" t="s">
        <v>2256</v>
      </c>
    </row>
    <row r="1361" spans="1:11" s="734" customFormat="1" ht="43.2" x14ac:dyDescent="0.3">
      <c r="A1361" s="738" t="s">
        <v>2197</v>
      </c>
      <c r="B1361" s="746">
        <f>'[1]PLAN DE DESARROLLO 2024 - 2027'!$M$46</f>
        <v>0.25251661967012345</v>
      </c>
      <c r="C1361" s="738" t="s">
        <v>2198</v>
      </c>
      <c r="D1361" s="747">
        <f>'[1]PLAN DE DESARROLLO 2024 - 2027'!$M$47</f>
        <v>0.26592582694462413</v>
      </c>
      <c r="E1361" s="738" t="s">
        <v>1651</v>
      </c>
      <c r="F1361" s="748">
        <f>[2]Hoja1!$B$159</f>
        <v>0.15592630718954248</v>
      </c>
      <c r="G1361" s="738" t="s">
        <v>456</v>
      </c>
      <c r="H1361" s="738" t="s">
        <v>457</v>
      </c>
      <c r="I1361" s="738"/>
      <c r="J1361" s="738" t="s">
        <v>2199</v>
      </c>
      <c r="K1361" s="749" t="s">
        <v>2256</v>
      </c>
    </row>
    <row r="1362" spans="1:11" s="734" customFormat="1" ht="43.2" x14ac:dyDescent="0.3">
      <c r="A1362" s="738" t="s">
        <v>2197</v>
      </c>
      <c r="B1362" s="746">
        <f>'[1]PLAN DE DESARROLLO 2024 - 2027'!$M$46</f>
        <v>0.25251661967012345</v>
      </c>
      <c r="C1362" s="738" t="s">
        <v>2198</v>
      </c>
      <c r="D1362" s="747">
        <f>'[1]PLAN DE DESARROLLO 2024 - 2027'!$M$47</f>
        <v>0.26592582694462413</v>
      </c>
      <c r="E1362" s="738" t="s">
        <v>2207</v>
      </c>
      <c r="F1362" s="748">
        <f>[2]Hoja1!$B$164</f>
        <v>0.45714235707833262</v>
      </c>
      <c r="G1362" s="738" t="s">
        <v>2208</v>
      </c>
      <c r="H1362" s="738" t="s">
        <v>2209</v>
      </c>
      <c r="I1362" s="738"/>
      <c r="J1362" s="738" t="s">
        <v>2199</v>
      </c>
      <c r="K1362" s="749" t="s">
        <v>2256</v>
      </c>
    </row>
    <row r="1363" spans="1:11" s="734" customFormat="1" ht="28.8" x14ac:dyDescent="0.3">
      <c r="A1363" s="738" t="s">
        <v>2197</v>
      </c>
      <c r="B1363" s="746">
        <f>'[1]PLAN DE DESARROLLO 2024 - 2027'!$M$46</f>
        <v>0.25251661967012345</v>
      </c>
      <c r="C1363" s="738" t="s">
        <v>2198</v>
      </c>
      <c r="D1363" s="747">
        <f>'[1]PLAN DE DESARROLLO 2024 - 2027'!$M$47</f>
        <v>0.26592582694462413</v>
      </c>
      <c r="E1363" s="738" t="s">
        <v>2207</v>
      </c>
      <c r="F1363" s="748">
        <f>[2]Hoja1!$B$164</f>
        <v>0.45714235707833262</v>
      </c>
      <c r="G1363" s="738" t="s">
        <v>384</v>
      </c>
      <c r="H1363" s="738" t="s">
        <v>385</v>
      </c>
      <c r="I1363" s="738"/>
      <c r="J1363" s="738" t="s">
        <v>2199</v>
      </c>
      <c r="K1363" s="749" t="s">
        <v>2256</v>
      </c>
    </row>
    <row r="1364" spans="1:11" s="734" customFormat="1" ht="28.8" x14ac:dyDescent="0.3">
      <c r="A1364" s="738" t="s">
        <v>2197</v>
      </c>
      <c r="B1364" s="746">
        <f>'[1]PLAN DE DESARROLLO 2024 - 2027'!$M$46</f>
        <v>0.25251661967012345</v>
      </c>
      <c r="C1364" s="738" t="s">
        <v>2198</v>
      </c>
      <c r="D1364" s="747">
        <f>'[1]PLAN DE DESARROLLO 2024 - 2027'!$M$47</f>
        <v>0.26592582694462413</v>
      </c>
      <c r="E1364" s="738" t="s">
        <v>2207</v>
      </c>
      <c r="F1364" s="748">
        <f>[2]Hoja1!$B$164</f>
        <v>0.45714235707833262</v>
      </c>
      <c r="G1364" s="738" t="s">
        <v>386</v>
      </c>
      <c r="H1364" s="738" t="s">
        <v>387</v>
      </c>
      <c r="I1364" s="738"/>
      <c r="J1364" s="738" t="s">
        <v>2199</v>
      </c>
      <c r="K1364" s="749" t="s">
        <v>2256</v>
      </c>
    </row>
    <row r="1365" spans="1:11" s="734" customFormat="1" ht="28.8" x14ac:dyDescent="0.3">
      <c r="A1365" s="738" t="s">
        <v>2068</v>
      </c>
      <c r="B1365" s="750">
        <f>'[1]PLAN DE DESARROLLO 2024 - 2027'!$M$92</f>
        <v>0.25050860314981654</v>
      </c>
      <c r="C1365" s="738" t="s">
        <v>2070</v>
      </c>
      <c r="D1365" s="747">
        <f>'[1]PLAN DE DESARROLLO 2024 - 2027'!$M$110</f>
        <v>0.16375000000000001</v>
      </c>
      <c r="E1365" s="738" t="s">
        <v>1797</v>
      </c>
      <c r="F1365" s="748">
        <f>[2]Hoja1!$B$156</f>
        <v>0</v>
      </c>
      <c r="G1365" s="738" t="s">
        <v>743</v>
      </c>
      <c r="H1365" s="738" t="s">
        <v>1444</v>
      </c>
      <c r="I1365" s="738"/>
      <c r="J1365" s="738" t="s">
        <v>736</v>
      </c>
      <c r="K1365" s="749" t="s">
        <v>2256</v>
      </c>
    </row>
    <row r="1366" spans="1:11" s="734" customFormat="1" ht="28.8" x14ac:dyDescent="0.3">
      <c r="A1366" s="738" t="s">
        <v>2068</v>
      </c>
      <c r="B1366" s="750">
        <f>'[1]PLAN DE DESARROLLO 2024 - 2027'!$M$92</f>
        <v>0.25050860314981654</v>
      </c>
      <c r="C1366" s="738" t="s">
        <v>2070</v>
      </c>
      <c r="D1366" s="747">
        <f>'[1]PLAN DE DESARROLLO 2024 - 2027'!$M$110</f>
        <v>0.16375000000000001</v>
      </c>
      <c r="E1366" s="738" t="s">
        <v>1797</v>
      </c>
      <c r="F1366" s="748">
        <f>[2]Hoja1!$B$156</f>
        <v>0</v>
      </c>
      <c r="G1366" s="738" t="s">
        <v>744</v>
      </c>
      <c r="H1366" s="738" t="s">
        <v>1445</v>
      </c>
      <c r="I1366" s="738"/>
      <c r="J1366" s="738" t="s">
        <v>2072</v>
      </c>
      <c r="K1366" s="749" t="s">
        <v>2256</v>
      </c>
    </row>
    <row r="1367" spans="1:11" s="734" customFormat="1" ht="28.8" x14ac:dyDescent="0.3">
      <c r="A1367" s="738" t="s">
        <v>2068</v>
      </c>
      <c r="B1367" s="750">
        <f>'[1]PLAN DE DESARROLLO 2024 - 2027'!$M$92</f>
        <v>0.25050860314981654</v>
      </c>
      <c r="C1367" s="738" t="s">
        <v>2070</v>
      </c>
      <c r="D1367" s="747">
        <f>'[1]PLAN DE DESARROLLO 2024 - 2027'!$M$110</f>
        <v>0.16375000000000001</v>
      </c>
      <c r="E1367" s="738" t="s">
        <v>1797</v>
      </c>
      <c r="F1367" s="748">
        <f>[2]Hoja1!$B$156</f>
        <v>0</v>
      </c>
      <c r="G1367" s="738" t="s">
        <v>746</v>
      </c>
      <c r="H1367" s="738" t="s">
        <v>1446</v>
      </c>
      <c r="I1367" s="738"/>
      <c r="J1367" s="738" t="s">
        <v>736</v>
      </c>
      <c r="K1367" s="749" t="s">
        <v>2256</v>
      </c>
    </row>
    <row r="1368" spans="1:11" s="734" customFormat="1" x14ac:dyDescent="0.3">
      <c r="A1368" s="738" t="s">
        <v>2068</v>
      </c>
      <c r="B1368" s="750">
        <f>'[1]PLAN DE DESARROLLO 2024 - 2027'!$M$92</f>
        <v>0.25050860314981654</v>
      </c>
      <c r="C1368" s="738" t="s">
        <v>2070</v>
      </c>
      <c r="D1368" s="747">
        <f>'[1]PLAN DE DESARROLLO 2024 - 2027'!$M$110</f>
        <v>0.16375000000000001</v>
      </c>
      <c r="E1368" s="738" t="s">
        <v>1797</v>
      </c>
      <c r="F1368" s="748">
        <f>[2]Hoja1!$B$156</f>
        <v>0</v>
      </c>
      <c r="G1368" s="738" t="s">
        <v>747</v>
      </c>
      <c r="H1368" s="738" t="s">
        <v>1447</v>
      </c>
      <c r="I1368" s="738"/>
      <c r="J1368" s="738" t="s">
        <v>736</v>
      </c>
      <c r="K1368" s="749" t="s">
        <v>2256</v>
      </c>
    </row>
    <row r="1369" spans="1:11" s="734" customFormat="1" ht="43.2" x14ac:dyDescent="0.3">
      <c r="A1369" s="738" t="s">
        <v>2197</v>
      </c>
      <c r="B1369" s="746">
        <f>'[1]PLAN DE DESARROLLO 2024 - 2027'!$M$46</f>
        <v>0.25251661967012345</v>
      </c>
      <c r="C1369" s="738" t="s">
        <v>2198</v>
      </c>
      <c r="D1369" s="747">
        <f>'[1]PLAN DE DESARROLLO 2024 - 2027'!$M$47</f>
        <v>0.26592582694462413</v>
      </c>
      <c r="E1369" s="738" t="s">
        <v>2207</v>
      </c>
      <c r="F1369" s="748">
        <f>[2]Hoja1!$B$164</f>
        <v>0.45714235707833262</v>
      </c>
      <c r="G1369" s="738" t="s">
        <v>388</v>
      </c>
      <c r="H1369" s="738" t="s">
        <v>389</v>
      </c>
      <c r="I1369" s="738"/>
      <c r="J1369" s="738" t="s">
        <v>2199</v>
      </c>
      <c r="K1369" s="749" t="s">
        <v>2256</v>
      </c>
    </row>
    <row r="1370" spans="1:11" s="734" customFormat="1" ht="43.2" x14ac:dyDescent="0.3">
      <c r="A1370" s="738" t="s">
        <v>2197</v>
      </c>
      <c r="B1370" s="746">
        <f>'[1]PLAN DE DESARROLLO 2024 - 2027'!$M$46</f>
        <v>0.25251661967012345</v>
      </c>
      <c r="C1370" s="738" t="s">
        <v>2198</v>
      </c>
      <c r="D1370" s="747">
        <f>'[1]PLAN DE DESARROLLO 2024 - 2027'!$M$47</f>
        <v>0.26592582694462413</v>
      </c>
      <c r="E1370" s="738" t="s">
        <v>2207</v>
      </c>
      <c r="F1370" s="748">
        <f>[2]Hoja1!$B$164</f>
        <v>0.45714235707833262</v>
      </c>
      <c r="G1370" s="738" t="s">
        <v>390</v>
      </c>
      <c r="H1370" s="738" t="s">
        <v>391</v>
      </c>
      <c r="I1370" s="738"/>
      <c r="J1370" s="738" t="s">
        <v>2199</v>
      </c>
      <c r="K1370" s="749" t="s">
        <v>2256</v>
      </c>
    </row>
    <row r="1371" spans="1:11" s="734" customFormat="1" x14ac:dyDescent="0.3">
      <c r="A1371" s="738" t="s">
        <v>2197</v>
      </c>
      <c r="B1371" s="746">
        <f>'[1]PLAN DE DESARROLLO 2024 - 2027'!$M$46</f>
        <v>0.25251661967012345</v>
      </c>
      <c r="C1371" s="738" t="s">
        <v>2198</v>
      </c>
      <c r="D1371" s="747">
        <f>'[1]PLAN DE DESARROLLO 2024 - 2027'!$M$47</f>
        <v>0.26592582694462413</v>
      </c>
      <c r="E1371" s="738" t="s">
        <v>2207</v>
      </c>
      <c r="F1371" s="748">
        <f>[2]Hoja1!$B$164</f>
        <v>0.45714235707833262</v>
      </c>
      <c r="G1371" s="738" t="s">
        <v>392</v>
      </c>
      <c r="H1371" s="738" t="s">
        <v>393</v>
      </c>
      <c r="I1371" s="738"/>
      <c r="J1371" s="738" t="s">
        <v>2199</v>
      </c>
      <c r="K1371" s="749" t="s">
        <v>2256</v>
      </c>
    </row>
    <row r="1372" spans="1:11" s="734" customFormat="1" ht="28.8" x14ac:dyDescent="0.3">
      <c r="A1372" s="738" t="s">
        <v>2197</v>
      </c>
      <c r="B1372" s="746">
        <f>'[1]PLAN DE DESARROLLO 2024 - 2027'!$M$46</f>
        <v>0.25251661967012345</v>
      </c>
      <c r="C1372" s="738" t="s">
        <v>2198</v>
      </c>
      <c r="D1372" s="747">
        <f>'[1]PLAN DE DESARROLLO 2024 - 2027'!$M$47</f>
        <v>0.26592582694462413</v>
      </c>
      <c r="E1372" s="738" t="s">
        <v>2207</v>
      </c>
      <c r="F1372" s="748">
        <f>[2]Hoja1!$B$164</f>
        <v>0.45714235707833262</v>
      </c>
      <c r="G1372" s="738" t="s">
        <v>394</v>
      </c>
      <c r="H1372" s="738" t="s">
        <v>395</v>
      </c>
      <c r="I1372" s="738"/>
      <c r="J1372" s="738" t="s">
        <v>2199</v>
      </c>
      <c r="K1372" s="749" t="s">
        <v>2256</v>
      </c>
    </row>
    <row r="1373" spans="1:11" s="734" customFormat="1" ht="43.2" x14ac:dyDescent="0.3">
      <c r="A1373" s="738" t="s">
        <v>2197</v>
      </c>
      <c r="B1373" s="746">
        <f>'[1]PLAN DE DESARROLLO 2024 - 2027'!$M$46</f>
        <v>0.25251661967012345</v>
      </c>
      <c r="C1373" s="738" t="s">
        <v>2253</v>
      </c>
      <c r="D1373" s="747">
        <f>'[1]PLAN DE DESARROLLO 2024 - 2027'!$M$88</f>
        <v>0.26231152970052202</v>
      </c>
      <c r="E1373" s="738" t="s">
        <v>1681</v>
      </c>
      <c r="F1373" s="748">
        <f>[2]Hoja1!$B$18</f>
        <v>0.22035277777777779</v>
      </c>
      <c r="G1373" s="738" t="s">
        <v>669</v>
      </c>
      <c r="H1373" s="738" t="s">
        <v>670</v>
      </c>
      <c r="I1373" s="738"/>
      <c r="J1373" s="738" t="s">
        <v>58</v>
      </c>
      <c r="K1373" s="749" t="s">
        <v>2256</v>
      </c>
    </row>
    <row r="1374" spans="1:11" s="734" customFormat="1" ht="43.2" x14ac:dyDescent="0.3">
      <c r="A1374" s="738" t="s">
        <v>2197</v>
      </c>
      <c r="B1374" s="746">
        <f>'[1]PLAN DE DESARROLLO 2024 - 2027'!$M$46</f>
        <v>0.25251661967012345</v>
      </c>
      <c r="C1374" s="738" t="s">
        <v>2253</v>
      </c>
      <c r="D1374" s="747">
        <f>'[1]PLAN DE DESARROLLO 2024 - 2027'!$M$88</f>
        <v>0.26231152970052202</v>
      </c>
      <c r="E1374" s="738" t="s">
        <v>1681</v>
      </c>
      <c r="F1374" s="748">
        <f>[2]Hoja1!$B$18</f>
        <v>0.22035277777777779</v>
      </c>
      <c r="G1374" s="738" t="s">
        <v>671</v>
      </c>
      <c r="H1374" s="738" t="s">
        <v>672</v>
      </c>
      <c r="I1374" s="738"/>
      <c r="J1374" s="738" t="s">
        <v>58</v>
      </c>
      <c r="K1374" s="749" t="s">
        <v>2256</v>
      </c>
    </row>
    <row r="1375" spans="1:11" s="734" customFormat="1" ht="43.2" x14ac:dyDescent="0.3">
      <c r="A1375" s="738" t="s">
        <v>2197</v>
      </c>
      <c r="B1375" s="746">
        <f>'[1]PLAN DE DESARROLLO 2024 - 2027'!$M$46</f>
        <v>0.25251661967012345</v>
      </c>
      <c r="C1375" s="738" t="s">
        <v>2253</v>
      </c>
      <c r="D1375" s="747">
        <f>'[1]PLAN DE DESARROLLO 2024 - 2027'!$M$88</f>
        <v>0.26231152970052202</v>
      </c>
      <c r="E1375" s="738" t="s">
        <v>1681</v>
      </c>
      <c r="F1375" s="748">
        <f>[2]Hoja1!$B$18</f>
        <v>0.22035277777777779</v>
      </c>
      <c r="G1375" s="738" t="s">
        <v>673</v>
      </c>
      <c r="H1375" s="738" t="s">
        <v>674</v>
      </c>
      <c r="I1375" s="738"/>
      <c r="J1375" s="738" t="s">
        <v>58</v>
      </c>
      <c r="K1375" s="749" t="s">
        <v>2256</v>
      </c>
    </row>
    <row r="1376" spans="1:11" s="734" customFormat="1" ht="28.8" x14ac:dyDescent="0.3">
      <c r="A1376" s="738" t="s">
        <v>2197</v>
      </c>
      <c r="B1376" s="746">
        <f>'[1]PLAN DE DESARROLLO 2024 - 2027'!$M$46</f>
        <v>0.25251661967012345</v>
      </c>
      <c r="C1376" s="738" t="s">
        <v>2253</v>
      </c>
      <c r="D1376" s="747">
        <f>'[1]PLAN DE DESARROLLO 2024 - 2027'!$M$88</f>
        <v>0.26231152970052202</v>
      </c>
      <c r="E1376" s="738" t="s">
        <v>1681</v>
      </c>
      <c r="F1376" s="748">
        <f>[2]Hoja1!$B$18</f>
        <v>0.22035277777777779</v>
      </c>
      <c r="G1376" s="738" t="s">
        <v>675</v>
      </c>
      <c r="H1376" s="738" t="s">
        <v>676</v>
      </c>
      <c r="I1376" s="738"/>
      <c r="J1376" s="738" t="s">
        <v>58</v>
      </c>
      <c r="K1376" s="749" t="s">
        <v>2256</v>
      </c>
    </row>
    <row r="1377" spans="1:11" s="734" customFormat="1" ht="28.8" x14ac:dyDescent="0.3">
      <c r="A1377" s="738" t="s">
        <v>2197</v>
      </c>
      <c r="B1377" s="746">
        <f>'[1]PLAN DE DESARROLLO 2024 - 2027'!$M$46</f>
        <v>0.25251661967012345</v>
      </c>
      <c r="C1377" s="738" t="s">
        <v>2253</v>
      </c>
      <c r="D1377" s="747">
        <f>'[1]PLAN DE DESARROLLO 2024 - 2027'!$M$88</f>
        <v>0.26231152970052202</v>
      </c>
      <c r="E1377" s="738" t="s">
        <v>2254</v>
      </c>
      <c r="F1377" s="748">
        <f>[2]Hoja1!$B$59</f>
        <v>0.17771416533617174</v>
      </c>
      <c r="G1377" s="738" t="s">
        <v>660</v>
      </c>
      <c r="H1377" s="738" t="s">
        <v>661</v>
      </c>
      <c r="I1377" s="738"/>
      <c r="J1377" s="738" t="s">
        <v>58</v>
      </c>
      <c r="K1377" s="749" t="s">
        <v>2256</v>
      </c>
    </row>
    <row r="1378" spans="1:11" s="734" customFormat="1" ht="57.6" x14ac:dyDescent="0.3">
      <c r="A1378" s="738" t="s">
        <v>2197</v>
      </c>
      <c r="B1378" s="746">
        <f>'[1]PLAN DE DESARROLLO 2024 - 2027'!$M$46</f>
        <v>0.25251661967012345</v>
      </c>
      <c r="C1378" s="738" t="s">
        <v>2253</v>
      </c>
      <c r="D1378" s="747">
        <f>'[1]PLAN DE DESARROLLO 2024 - 2027'!$M$88</f>
        <v>0.26231152970052202</v>
      </c>
      <c r="E1378" s="738" t="s">
        <v>2254</v>
      </c>
      <c r="F1378" s="748">
        <f>[2]Hoja1!$B$59</f>
        <v>0.17771416533617174</v>
      </c>
      <c r="G1378" s="738" t="s">
        <v>663</v>
      </c>
      <c r="H1378" s="738" t="s">
        <v>2255</v>
      </c>
      <c r="I1378" s="738"/>
      <c r="J1378" s="738" t="s">
        <v>58</v>
      </c>
      <c r="K1378" s="749" t="s">
        <v>2256</v>
      </c>
    </row>
    <row r="1379" spans="1:11" s="734" customFormat="1" ht="28.8" x14ac:dyDescent="0.3">
      <c r="A1379" s="738" t="s">
        <v>2197</v>
      </c>
      <c r="B1379" s="746">
        <f>'[1]PLAN DE DESARROLLO 2024 - 2027'!$M$46</f>
        <v>0.25251661967012345</v>
      </c>
      <c r="C1379" s="738" t="s">
        <v>2253</v>
      </c>
      <c r="D1379" s="747">
        <f>'[1]PLAN DE DESARROLLO 2024 - 2027'!$M$88</f>
        <v>0.26231152970052202</v>
      </c>
      <c r="E1379" s="738" t="s">
        <v>2254</v>
      </c>
      <c r="F1379" s="748">
        <f>[2]Hoja1!$B$59</f>
        <v>0.17771416533617174</v>
      </c>
      <c r="G1379" s="738" t="s">
        <v>665</v>
      </c>
      <c r="H1379" s="738" t="s">
        <v>666</v>
      </c>
      <c r="I1379" s="738"/>
      <c r="J1379" s="738" t="s">
        <v>58</v>
      </c>
      <c r="K1379" s="749" t="s">
        <v>2256</v>
      </c>
    </row>
    <row r="1380" spans="1:11" s="734" customFormat="1" x14ac:dyDescent="0.3">
      <c r="A1380" s="738" t="s">
        <v>2197</v>
      </c>
      <c r="B1380" s="746">
        <f>'[1]PLAN DE DESARROLLO 2024 - 2027'!$M$46</f>
        <v>0.25251661967012345</v>
      </c>
      <c r="C1380" s="738" t="s">
        <v>2253</v>
      </c>
      <c r="D1380" s="747">
        <f>'[1]PLAN DE DESARROLLO 2024 - 2027'!$M$88</f>
        <v>0.26231152970052202</v>
      </c>
      <c r="E1380" s="738" t="s">
        <v>2254</v>
      </c>
      <c r="F1380" s="748">
        <f>[2]Hoja1!$B$59</f>
        <v>0.17771416533617174</v>
      </c>
      <c r="G1380" s="738" t="s">
        <v>667</v>
      </c>
      <c r="H1380" s="738" t="s">
        <v>668</v>
      </c>
      <c r="I1380" s="738"/>
      <c r="J1380" s="738" t="s">
        <v>58</v>
      </c>
      <c r="K1380" s="749" t="s">
        <v>2256</v>
      </c>
    </row>
    <row r="1381" spans="1:11" s="734" customFormat="1" ht="28.8" x14ac:dyDescent="0.3">
      <c r="A1381" s="738" t="s">
        <v>2068</v>
      </c>
      <c r="B1381" s="750">
        <f>'[1]PLAN DE DESARROLLO 2024 - 2027'!$M$92</f>
        <v>0.25050860314981654</v>
      </c>
      <c r="C1381" s="738" t="s">
        <v>2070</v>
      </c>
      <c r="D1381" s="747">
        <f>'[1]PLAN DE DESARROLLO 2024 - 2027'!$M$110</f>
        <v>0.16375000000000001</v>
      </c>
      <c r="E1381" s="738" t="s">
        <v>1797</v>
      </c>
      <c r="F1381" s="748">
        <f>[2]Hoja1!$B$156</f>
        <v>0</v>
      </c>
      <c r="G1381" s="738" t="s">
        <v>748</v>
      </c>
      <c r="H1381" s="738" t="s">
        <v>1448</v>
      </c>
      <c r="I1381" s="738"/>
      <c r="J1381" s="738" t="s">
        <v>736</v>
      </c>
      <c r="K1381" s="749" t="s">
        <v>2256</v>
      </c>
    </row>
    <row r="1382" spans="1:11" s="734" customFormat="1" ht="28.8" x14ac:dyDescent="0.3">
      <c r="A1382" s="738" t="s">
        <v>2068</v>
      </c>
      <c r="B1382" s="750">
        <f>'[1]PLAN DE DESARROLLO 2024 - 2027'!$M$92</f>
        <v>0.25050860314981654</v>
      </c>
      <c r="C1382" s="738" t="s">
        <v>2070</v>
      </c>
      <c r="D1382" s="747">
        <f>'[1]PLAN DE DESARROLLO 2024 - 2027'!$M$110</f>
        <v>0.16375000000000001</v>
      </c>
      <c r="E1382" s="738" t="s">
        <v>1797</v>
      </c>
      <c r="F1382" s="748">
        <f>[2]Hoja1!$B$156</f>
        <v>0</v>
      </c>
      <c r="G1382" s="738" t="s">
        <v>749</v>
      </c>
      <c r="H1382" s="738" t="s">
        <v>1449</v>
      </c>
      <c r="I1382" s="738"/>
      <c r="J1382" s="738" t="s">
        <v>736</v>
      </c>
      <c r="K1382" s="749" t="s">
        <v>2256</v>
      </c>
    </row>
    <row r="1383" spans="1:11" s="734" customFormat="1" ht="28.8" x14ac:dyDescent="0.3">
      <c r="A1383" s="738" t="s">
        <v>2068</v>
      </c>
      <c r="B1383" s="750">
        <f>'[1]PLAN DE DESARROLLO 2024 - 2027'!$M$92</f>
        <v>0.25050860314981654</v>
      </c>
      <c r="C1383" s="738" t="s">
        <v>2070</v>
      </c>
      <c r="D1383" s="747">
        <f>'[1]PLAN DE DESARROLLO 2024 - 2027'!$M$110</f>
        <v>0.16375000000000001</v>
      </c>
      <c r="E1383" s="738" t="s">
        <v>1797</v>
      </c>
      <c r="F1383" s="748">
        <f>[2]Hoja1!$B$156</f>
        <v>0</v>
      </c>
      <c r="G1383" s="738" t="s">
        <v>750</v>
      </c>
      <c r="H1383" s="738" t="s">
        <v>1450</v>
      </c>
      <c r="I1383" s="738"/>
      <c r="J1383" s="738" t="s">
        <v>736</v>
      </c>
      <c r="K1383" s="749" t="s">
        <v>2256</v>
      </c>
    </row>
    <row r="1384" spans="1:11" s="734" customFormat="1" ht="28.8" x14ac:dyDescent="0.3">
      <c r="A1384" s="738" t="s">
        <v>2068</v>
      </c>
      <c r="B1384" s="750">
        <f>'[1]PLAN DE DESARROLLO 2024 - 2027'!$M$92</f>
        <v>0.25050860314981654</v>
      </c>
      <c r="C1384" s="738" t="s">
        <v>2070</v>
      </c>
      <c r="D1384" s="747">
        <f>'[1]PLAN DE DESARROLLO 2024 - 2027'!$M$110</f>
        <v>0.16375000000000001</v>
      </c>
      <c r="E1384" s="738" t="s">
        <v>1797</v>
      </c>
      <c r="F1384" s="748">
        <f>[2]Hoja1!$B$156</f>
        <v>0</v>
      </c>
      <c r="G1384" s="738" t="s">
        <v>751</v>
      </c>
      <c r="H1384" s="738" t="s">
        <v>1451</v>
      </c>
      <c r="I1384" s="738"/>
      <c r="J1384" s="738" t="s">
        <v>736</v>
      </c>
      <c r="K1384" s="749" t="s">
        <v>2256</v>
      </c>
    </row>
    <row r="1385" spans="1:11" s="734" customFormat="1" ht="28.8" x14ac:dyDescent="0.3">
      <c r="A1385" s="738" t="s">
        <v>2068</v>
      </c>
      <c r="B1385" s="750">
        <f>'[1]PLAN DE DESARROLLO 2024 - 2027'!$M$92</f>
        <v>0.25050860314981654</v>
      </c>
      <c r="C1385" s="738" t="s">
        <v>2070</v>
      </c>
      <c r="D1385" s="747">
        <f>'[1]PLAN DE DESARROLLO 2024 - 2027'!$M$110</f>
        <v>0.16375000000000001</v>
      </c>
      <c r="E1385" s="738" t="s">
        <v>1797</v>
      </c>
      <c r="F1385" s="748">
        <f>[2]Hoja1!$B$156</f>
        <v>0</v>
      </c>
      <c r="G1385" s="738" t="s">
        <v>752</v>
      </c>
      <c r="H1385" s="738" t="s">
        <v>1452</v>
      </c>
      <c r="I1385" s="738"/>
      <c r="J1385" s="738" t="s">
        <v>736</v>
      </c>
      <c r="K1385" s="749" t="s">
        <v>2256</v>
      </c>
    </row>
    <row r="1386" spans="1:11" s="734" customFormat="1" ht="43.2" x14ac:dyDescent="0.3">
      <c r="A1386" s="738" t="s">
        <v>2197</v>
      </c>
      <c r="B1386" s="746">
        <f>'[1]PLAN DE DESARROLLO 2024 - 2027'!$M$46</f>
        <v>0.25251661967012345</v>
      </c>
      <c r="C1386" s="738" t="s">
        <v>2253</v>
      </c>
      <c r="D1386" s="747">
        <f>'[1]PLAN DE DESARROLLO 2024 - 2027'!$M$88</f>
        <v>0.26231152970052202</v>
      </c>
      <c r="E1386" s="738" t="s">
        <v>1682</v>
      </c>
      <c r="F1386" s="748">
        <f>[2]Hoja1!$B$99</f>
        <v>0.47346501035196686</v>
      </c>
      <c r="G1386" s="738" t="s">
        <v>677</v>
      </c>
      <c r="H1386" s="738" t="s">
        <v>678</v>
      </c>
      <c r="I1386" s="738"/>
      <c r="J1386" s="738" t="s">
        <v>58</v>
      </c>
      <c r="K1386" s="749" t="s">
        <v>2256</v>
      </c>
    </row>
    <row r="1387" spans="1:11" s="734" customFormat="1" ht="28.8" x14ac:dyDescent="0.3">
      <c r="A1387" s="738" t="s">
        <v>2197</v>
      </c>
      <c r="B1387" s="746">
        <f>'[1]PLAN DE DESARROLLO 2024 - 2027'!$M$46</f>
        <v>0.25251661967012345</v>
      </c>
      <c r="C1387" s="738" t="s">
        <v>2253</v>
      </c>
      <c r="D1387" s="747">
        <f>'[1]PLAN DE DESARROLLO 2024 - 2027'!$M$88</f>
        <v>0.26231152970052202</v>
      </c>
      <c r="E1387" s="738" t="s">
        <v>1682</v>
      </c>
      <c r="F1387" s="748">
        <f>[2]Hoja1!$B$99</f>
        <v>0.47346501035196686</v>
      </c>
      <c r="G1387" s="738" t="s">
        <v>679</v>
      </c>
      <c r="H1387" s="738" t="s">
        <v>680</v>
      </c>
      <c r="I1387" s="738"/>
      <c r="J1387" s="738" t="s">
        <v>58</v>
      </c>
      <c r="K1387" s="749" t="s">
        <v>2256</v>
      </c>
    </row>
    <row r="1388" spans="1:11" s="734" customFormat="1" ht="28.8" x14ac:dyDescent="0.3">
      <c r="A1388" s="738" t="s">
        <v>2197</v>
      </c>
      <c r="B1388" s="746">
        <f>'[1]PLAN DE DESARROLLO 2024 - 2027'!$M$46</f>
        <v>0.25251661967012345</v>
      </c>
      <c r="C1388" s="738" t="s">
        <v>2232</v>
      </c>
      <c r="D1388" s="747">
        <f>'[1]PLAN DE DESARROLLO 2024 - 2027'!$M$68</f>
        <v>0.14932529411764706</v>
      </c>
      <c r="E1388" s="738" t="s">
        <v>1661</v>
      </c>
      <c r="F1388" s="748">
        <f>[2]Hoja1!$B$105</f>
        <v>0.24345098039215687</v>
      </c>
      <c r="G1388" s="738" t="s">
        <v>552</v>
      </c>
      <c r="H1388" s="738" t="s">
        <v>553</v>
      </c>
      <c r="I1388" s="738"/>
      <c r="J1388" s="738" t="s">
        <v>551</v>
      </c>
      <c r="K1388" s="749" t="s">
        <v>2256</v>
      </c>
    </row>
    <row r="1389" spans="1:11" s="734" customFormat="1" x14ac:dyDescent="0.3">
      <c r="A1389" s="738" t="s">
        <v>2197</v>
      </c>
      <c r="B1389" s="746">
        <f>'[1]PLAN DE DESARROLLO 2024 - 2027'!$M$46</f>
        <v>0.25251661967012345</v>
      </c>
      <c r="C1389" s="738" t="s">
        <v>2232</v>
      </c>
      <c r="D1389" s="747">
        <f>'[1]PLAN DE DESARROLLO 2024 - 2027'!$M$68</f>
        <v>0.14932529411764706</v>
      </c>
      <c r="E1389" s="738" t="s">
        <v>1662</v>
      </c>
      <c r="F1389" s="748">
        <f>[2]Hoja1!$B$106</f>
        <v>0.24099999999999999</v>
      </c>
      <c r="G1389" s="738" t="s">
        <v>554</v>
      </c>
      <c r="H1389" s="738" t="s">
        <v>555</v>
      </c>
      <c r="I1389" s="738"/>
      <c r="J1389" s="738" t="s">
        <v>551</v>
      </c>
      <c r="K1389" s="749" t="s">
        <v>2256</v>
      </c>
    </row>
    <row r="1390" spans="1:11" s="734" customFormat="1" ht="28.8" x14ac:dyDescent="0.3">
      <c r="A1390" s="738" t="s">
        <v>2197</v>
      </c>
      <c r="B1390" s="746">
        <f>'[1]PLAN DE DESARROLLO 2024 - 2027'!$M$46</f>
        <v>0.25251661967012345</v>
      </c>
      <c r="C1390" s="738" t="s">
        <v>2232</v>
      </c>
      <c r="D1390" s="747">
        <f>'[1]PLAN DE DESARROLLO 2024 - 2027'!$M$68</f>
        <v>0.14932529411764706</v>
      </c>
      <c r="E1390" s="738" t="s">
        <v>2234</v>
      </c>
      <c r="F1390" s="748">
        <f>[2]Hoja1!$B$108</f>
        <v>7.8800000000000009E-2</v>
      </c>
      <c r="G1390" s="738" t="s">
        <v>556</v>
      </c>
      <c r="H1390" s="738" t="s">
        <v>557</v>
      </c>
      <c r="I1390" s="738"/>
      <c r="J1390" s="738" t="s">
        <v>551</v>
      </c>
      <c r="K1390" s="749" t="s">
        <v>2256</v>
      </c>
    </row>
    <row r="1391" spans="1:11" s="734" customFormat="1" ht="28.8" x14ac:dyDescent="0.3">
      <c r="A1391" s="738" t="s">
        <v>2197</v>
      </c>
      <c r="B1391" s="746">
        <f>'[1]PLAN DE DESARROLLO 2024 - 2027'!$M$46</f>
        <v>0.25251661967012345</v>
      </c>
      <c r="C1391" s="738" t="s">
        <v>2232</v>
      </c>
      <c r="D1391" s="747">
        <f>'[1]PLAN DE DESARROLLO 2024 - 2027'!$M$68</f>
        <v>0.14932529411764706</v>
      </c>
      <c r="E1391" s="738" t="s">
        <v>2234</v>
      </c>
      <c r="F1391" s="748">
        <f>[2]Hoja1!$B$108</f>
        <v>7.8800000000000009E-2</v>
      </c>
      <c r="G1391" s="738" t="s">
        <v>558</v>
      </c>
      <c r="H1391" s="738" t="s">
        <v>559</v>
      </c>
      <c r="I1391" s="738"/>
      <c r="J1391" s="738" t="s">
        <v>560</v>
      </c>
      <c r="K1391" s="749" t="s">
        <v>2256</v>
      </c>
    </row>
    <row r="1392" spans="1:11" s="734" customFormat="1" x14ac:dyDescent="0.3">
      <c r="A1392" s="738" t="s">
        <v>2197</v>
      </c>
      <c r="B1392" s="746">
        <f>'[1]PLAN DE DESARROLLO 2024 - 2027'!$M$46</f>
        <v>0.25251661967012345</v>
      </c>
      <c r="C1392" s="738" t="s">
        <v>2232</v>
      </c>
      <c r="D1392" s="747">
        <f>'[1]PLAN DE DESARROLLO 2024 - 2027'!$M$68</f>
        <v>0.14932529411764706</v>
      </c>
      <c r="E1392" s="738" t="s">
        <v>2234</v>
      </c>
      <c r="F1392" s="748">
        <f>[2]Hoja1!$B$108</f>
        <v>7.8800000000000009E-2</v>
      </c>
      <c r="G1392" s="738" t="s">
        <v>561</v>
      </c>
      <c r="H1392" s="738" t="s">
        <v>562</v>
      </c>
      <c r="I1392" s="738"/>
      <c r="J1392" s="738" t="s">
        <v>551</v>
      </c>
      <c r="K1392" s="749" t="s">
        <v>2256</v>
      </c>
    </row>
    <row r="1393" spans="1:11" s="734" customFormat="1" ht="28.8" x14ac:dyDescent="0.3">
      <c r="A1393" s="738" t="s">
        <v>2197</v>
      </c>
      <c r="B1393" s="746">
        <f>'[1]PLAN DE DESARROLLO 2024 - 2027'!$M$46</f>
        <v>0.25251661967012345</v>
      </c>
      <c r="C1393" s="738" t="s">
        <v>2232</v>
      </c>
      <c r="D1393" s="747">
        <f>'[1]PLAN DE DESARROLLO 2024 - 2027'!$M$68</f>
        <v>0.14932529411764706</v>
      </c>
      <c r="E1393" s="738" t="s">
        <v>2233</v>
      </c>
      <c r="F1393" s="748">
        <f>[2]Hoja1!$B$163</f>
        <v>4.1099999999999998E-2</v>
      </c>
      <c r="G1393" s="738" t="s">
        <v>549</v>
      </c>
      <c r="H1393" s="738" t="s">
        <v>550</v>
      </c>
      <c r="I1393" s="738"/>
      <c r="J1393" s="738" t="s">
        <v>551</v>
      </c>
      <c r="K1393" s="749" t="s">
        <v>2256</v>
      </c>
    </row>
    <row r="1394" spans="1:11" ht="28.8" x14ac:dyDescent="0.3">
      <c r="A1394" s="738" t="s">
        <v>2017</v>
      </c>
      <c r="B1394" s="754">
        <v>0</v>
      </c>
      <c r="C1394" s="738" t="s">
        <v>2034</v>
      </c>
      <c r="D1394" s="747">
        <v>0</v>
      </c>
      <c r="E1394" s="738" t="s">
        <v>1751</v>
      </c>
      <c r="F1394" s="748">
        <v>0</v>
      </c>
      <c r="G1394" s="738" t="s">
        <v>951</v>
      </c>
      <c r="H1394" s="738" t="s">
        <v>1388</v>
      </c>
      <c r="J1394" s="738" t="s">
        <v>560</v>
      </c>
      <c r="K1394" s="755" t="s">
        <v>1996</v>
      </c>
    </row>
    <row r="1395" spans="1:11" ht="28.8" x14ac:dyDescent="0.3">
      <c r="A1395" s="738" t="s">
        <v>2017</v>
      </c>
      <c r="B1395" s="754">
        <v>0</v>
      </c>
      <c r="C1395" s="738" t="s">
        <v>2034</v>
      </c>
      <c r="D1395" s="747">
        <v>0</v>
      </c>
      <c r="E1395" s="738" t="s">
        <v>1751</v>
      </c>
      <c r="F1395" s="748">
        <v>0</v>
      </c>
      <c r="G1395" s="738" t="s">
        <v>952</v>
      </c>
      <c r="H1395" s="738" t="s">
        <v>1389</v>
      </c>
      <c r="J1395" s="738" t="s">
        <v>953</v>
      </c>
      <c r="K1395" s="755" t="s">
        <v>1996</v>
      </c>
    </row>
    <row r="1396" spans="1:11" ht="28.8" x14ac:dyDescent="0.3">
      <c r="A1396" s="738" t="s">
        <v>2017</v>
      </c>
      <c r="B1396" s="754">
        <v>0</v>
      </c>
      <c r="C1396" s="738" t="s">
        <v>2034</v>
      </c>
      <c r="D1396" s="747">
        <v>0</v>
      </c>
      <c r="E1396" s="738" t="s">
        <v>1751</v>
      </c>
      <c r="F1396" s="748">
        <v>0</v>
      </c>
      <c r="G1396" s="738" t="s">
        <v>954</v>
      </c>
      <c r="H1396" s="738" t="s">
        <v>1390</v>
      </c>
      <c r="J1396" s="738" t="s">
        <v>1872</v>
      </c>
      <c r="K1396" s="755" t="s">
        <v>1996</v>
      </c>
    </row>
  </sheetData>
  <autoFilter ref="A1:P1396"/>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4"/>
  <sheetViews>
    <sheetView zoomScale="40" zoomScaleNormal="40" workbookViewId="0">
      <selection activeCell="C25" sqref="C25"/>
    </sheetView>
  </sheetViews>
  <sheetFormatPr baseColWidth="10" defaultRowHeight="14.4" x14ac:dyDescent="0.3"/>
  <cols>
    <col min="3" max="3" width="125.77734375" customWidth="1"/>
    <col min="4" max="4" width="67.109375" customWidth="1"/>
    <col min="5" max="5" width="56.88671875" customWidth="1"/>
    <col min="6" max="6" width="36" customWidth="1"/>
  </cols>
  <sheetData>
    <row r="3" spans="3:6" ht="93.6" x14ac:dyDescent="0.3">
      <c r="C3" s="827"/>
      <c r="D3" s="828" t="s">
        <v>2380</v>
      </c>
      <c r="E3" s="828" t="s">
        <v>2378</v>
      </c>
      <c r="F3" s="828" t="s">
        <v>2379</v>
      </c>
    </row>
    <row r="4" spans="3:6" ht="73.2" customHeight="1" x14ac:dyDescent="0.65">
      <c r="C4" s="829" t="s">
        <v>1588</v>
      </c>
      <c r="D4" s="830">
        <f>+'SEGUIMIENTO DEL PLAN DE DESARRO'!G3</f>
        <v>0.80223711421976773</v>
      </c>
      <c r="E4" s="831">
        <v>0.5020023857457443</v>
      </c>
      <c r="F4" s="833">
        <f>+D4-E4</f>
        <v>0.30023472847402344</v>
      </c>
    </row>
    <row r="5" spans="3:6" ht="84.6" customHeight="1" x14ac:dyDescent="0.3">
      <c r="C5" s="832" t="str">
        <f>+'SEGUIMIENTO DEL PLAN DE DESARRO'!B4</f>
        <v xml:space="preserve"> SEGURIDAD HUMANA
</v>
      </c>
      <c r="D5" s="830">
        <f>+'SEGUIMIENTO DEL PLAN DE DESARRO'!G4</f>
        <v>0.79931262285361604</v>
      </c>
      <c r="E5" s="831">
        <v>0.61218984525965447</v>
      </c>
      <c r="F5" s="833">
        <f t="shared" ref="F5:F10" si="0">+D5-E5</f>
        <v>0.18712277759396156</v>
      </c>
    </row>
    <row r="6" spans="3:6" ht="67.2" x14ac:dyDescent="0.3">
      <c r="C6" s="832" t="str">
        <f>+'SEGUIMIENTO DEL PLAN DE DESARRO'!B5</f>
        <v xml:space="preserve"> VIDA DIGNA
</v>
      </c>
      <c r="D6" s="830">
        <f>+'SEGUIMIENTO DEL PLAN DE DESARRO'!G5</f>
        <v>0.82276088820641258</v>
      </c>
      <c r="E6" s="831">
        <v>0.54684174372440431</v>
      </c>
      <c r="F6" s="833">
        <f t="shared" si="0"/>
        <v>0.27591914448200827</v>
      </c>
    </row>
    <row r="7" spans="3:6" ht="67.2" x14ac:dyDescent="0.3">
      <c r="C7" s="832" t="str">
        <f>+'SEGUIMIENTO DEL PLAN DE DESARRO'!B6</f>
        <v xml:space="preserve"> DESARROLLO ECONÓMICO EQUITATIVO
</v>
      </c>
      <c r="D7" s="830">
        <f>+'SEGUIMIENTO DEL PLAN DE DESARRO'!G6</f>
        <v>0.82209331785503881</v>
      </c>
      <c r="E7" s="831">
        <v>0.57077618047162071</v>
      </c>
      <c r="F7" s="833">
        <f t="shared" si="0"/>
        <v>0.2513171373834181</v>
      </c>
    </row>
    <row r="8" spans="3:6" ht="67.2" x14ac:dyDescent="0.3">
      <c r="C8" s="832" t="str">
        <f>+'SEGUIMIENTO DEL PLAN DE DESARRO'!B7</f>
        <v xml:space="preserve">CARTAGENA CIUDAD CONECTADA Y SOSTENIBLE
</v>
      </c>
      <c r="D8" s="830">
        <f>+'SEGUIMIENTO DEL PLAN DE DESARRO'!G7</f>
        <v>0.77279219838918167</v>
      </c>
      <c r="E8" s="831">
        <v>0.45762029306363849</v>
      </c>
      <c r="F8" s="833">
        <f t="shared" si="0"/>
        <v>0.31517190532554318</v>
      </c>
    </row>
    <row r="9" spans="3:6" ht="52.8" customHeight="1" x14ac:dyDescent="0.3">
      <c r="C9" s="832" t="str">
        <f>+'SEGUIMIENTO DEL PLAN DE DESARRO'!B8</f>
        <v xml:space="preserve"> INNOVACIÓN PÚBLICA Y PARTICIPACIÓN CIUDADANA
</v>
      </c>
      <c r="D9" s="830">
        <f>+'SEGUIMIENTO DEL PLAN DE DESARRO'!G8</f>
        <v>0.83819641214294427</v>
      </c>
      <c r="E9" s="831">
        <v>0.49805847417737026</v>
      </c>
      <c r="F9" s="833">
        <f t="shared" si="0"/>
        <v>0.34013793796557401</v>
      </c>
    </row>
    <row r="10" spans="3:6" ht="67.2" x14ac:dyDescent="0.3">
      <c r="C10" s="832" t="str">
        <f>+'SEGUIMIENTO DEL PLAN DE DESARRO'!B9</f>
        <v xml:space="preserve">CAPÍTULO DE LOS PUEBLOS Y COMUNIDADES ÉTNICAS
</v>
      </c>
      <c r="D10" s="830">
        <f>+'SEGUIMIENTO DEL PLAN DE DESARRO'!G9</f>
        <v>0.75826724587141259</v>
      </c>
      <c r="E10" s="831">
        <v>0.32652777777777775</v>
      </c>
      <c r="F10" s="833">
        <f t="shared" si="0"/>
        <v>0.43173946809363484</v>
      </c>
    </row>
    <row r="26" spans="4:6" ht="32.4" x14ac:dyDescent="0.6">
      <c r="D26" s="834">
        <v>0.49419619862321573</v>
      </c>
      <c r="E26" s="834">
        <v>0.5020023857457443</v>
      </c>
      <c r="F26" s="834">
        <v>-7.8061871225285628E-3</v>
      </c>
    </row>
    <row r="27" spans="4:6" ht="32.4" x14ac:dyDescent="0.6">
      <c r="D27" s="834">
        <v>0.62418546438135691</v>
      </c>
      <c r="E27" s="834">
        <v>0.61218984525965447</v>
      </c>
      <c r="F27" s="834">
        <v>1.1995619121702439E-2</v>
      </c>
    </row>
    <row r="28" spans="4:6" ht="32.4" x14ac:dyDescent="0.6">
      <c r="D28" s="834">
        <v>0.52056862280937166</v>
      </c>
      <c r="E28" s="834">
        <v>0.54684174372440431</v>
      </c>
      <c r="F28" s="834">
        <v>-2.6273120915032644E-2</v>
      </c>
    </row>
    <row r="29" spans="4:6" ht="32.4" x14ac:dyDescent="0.6">
      <c r="D29" s="834">
        <v>0.5453371327856642</v>
      </c>
      <c r="E29" s="834">
        <v>0.57077618047162071</v>
      </c>
      <c r="F29" s="834">
        <v>-2.5439047685956506E-2</v>
      </c>
    </row>
    <row r="30" spans="4:6" ht="32.4" x14ac:dyDescent="0.6">
      <c r="D30" s="834">
        <v>0.45510331524978564</v>
      </c>
      <c r="E30" s="834">
        <v>0.45762029306363849</v>
      </c>
      <c r="F30" s="834">
        <v>-2.5169778138528498E-3</v>
      </c>
    </row>
    <row r="31" spans="4:6" ht="32.4" x14ac:dyDescent="0.6">
      <c r="D31" s="834">
        <v>0.50130812185670715</v>
      </c>
      <c r="E31" s="834">
        <v>0.49805847417737026</v>
      </c>
      <c r="F31" s="834">
        <v>3.2496476793368867E-3</v>
      </c>
    </row>
    <row r="32" spans="4:6" ht="32.4" x14ac:dyDescent="0.6">
      <c r="D32" s="834">
        <v>0.31880731922398586</v>
      </c>
      <c r="E32" s="834">
        <v>0.32652777777777775</v>
      </c>
      <c r="F32" s="834">
        <v>-7.7204585537918868E-3</v>
      </c>
    </row>
    <row r="33" spans="3:6" x14ac:dyDescent="0.3">
      <c r="D33" s="6"/>
      <c r="E33" s="6"/>
      <c r="F33" s="6"/>
    </row>
    <row r="43" spans="3:6" ht="15" thickBot="1" x14ac:dyDescent="0.35"/>
    <row r="44" spans="3:6" ht="101.4" thickBot="1" x14ac:dyDescent="0.7">
      <c r="C44" s="845"/>
      <c r="D44" s="847" t="s">
        <v>2398</v>
      </c>
      <c r="E44" s="846" t="s">
        <v>2392</v>
      </c>
      <c r="F44" s="846" t="s">
        <v>2393</v>
      </c>
    </row>
    <row r="45" spans="3:6" ht="75" customHeight="1" x14ac:dyDescent="0.7">
      <c r="C45" s="851" t="s">
        <v>2391</v>
      </c>
      <c r="D45" s="836">
        <v>5</v>
      </c>
      <c r="E45" s="852">
        <v>1</v>
      </c>
      <c r="F45" s="852">
        <v>5</v>
      </c>
    </row>
    <row r="46" spans="3:6" ht="33.6" x14ac:dyDescent="0.65">
      <c r="C46" s="841" t="s">
        <v>12</v>
      </c>
      <c r="D46" s="837">
        <v>2</v>
      </c>
      <c r="E46" s="848">
        <v>1</v>
      </c>
      <c r="F46" s="848">
        <v>1</v>
      </c>
    </row>
    <row r="47" spans="3:6" ht="33.6" x14ac:dyDescent="0.65">
      <c r="C47" s="841" t="s">
        <v>31</v>
      </c>
      <c r="D47" s="837">
        <v>5</v>
      </c>
      <c r="E47" s="848">
        <v>1</v>
      </c>
      <c r="F47" s="848">
        <v>4</v>
      </c>
    </row>
    <row r="48" spans="3:6" ht="33.6" x14ac:dyDescent="0.65">
      <c r="C48" s="842" t="s">
        <v>58</v>
      </c>
      <c r="D48" s="838">
        <v>2</v>
      </c>
      <c r="E48" s="849"/>
      <c r="F48" s="850">
        <v>2</v>
      </c>
    </row>
    <row r="49" spans="3:6" ht="33.6" x14ac:dyDescent="0.65">
      <c r="C49" s="842" t="s">
        <v>2394</v>
      </c>
      <c r="D49" s="838">
        <v>8</v>
      </c>
      <c r="E49" s="850">
        <v>6</v>
      </c>
      <c r="F49" s="850">
        <v>2</v>
      </c>
    </row>
    <row r="50" spans="3:6" ht="67.2" x14ac:dyDescent="0.65">
      <c r="C50" s="842" t="s">
        <v>2341</v>
      </c>
      <c r="D50" s="838">
        <v>2</v>
      </c>
      <c r="E50" s="850">
        <v>2</v>
      </c>
      <c r="F50" s="849"/>
    </row>
    <row r="51" spans="3:6" ht="33.6" x14ac:dyDescent="0.65">
      <c r="C51" s="842" t="s">
        <v>2395</v>
      </c>
      <c r="D51" s="838">
        <v>15</v>
      </c>
      <c r="E51" s="850">
        <v>4</v>
      </c>
      <c r="F51" s="850">
        <v>11</v>
      </c>
    </row>
    <row r="52" spans="3:6" ht="33.6" x14ac:dyDescent="0.65">
      <c r="C52" s="842" t="s">
        <v>2396</v>
      </c>
      <c r="D52" s="838">
        <v>3</v>
      </c>
      <c r="E52" s="850">
        <v>0</v>
      </c>
      <c r="F52" s="850">
        <v>3</v>
      </c>
    </row>
    <row r="53" spans="3:6" ht="34.200000000000003" thickBot="1" x14ac:dyDescent="0.7">
      <c r="C53" s="843" t="s">
        <v>516</v>
      </c>
      <c r="D53" s="839">
        <v>11</v>
      </c>
      <c r="E53" s="853">
        <v>4</v>
      </c>
      <c r="F53" s="853">
        <v>7</v>
      </c>
    </row>
    <row r="54" spans="3:6" ht="34.200000000000003" thickBot="1" x14ac:dyDescent="0.7">
      <c r="C54" s="844" t="s">
        <v>2397</v>
      </c>
      <c r="D54" s="840">
        <f>SUM(D45:D53)</f>
        <v>53</v>
      </c>
      <c r="E54" s="854">
        <f>SUM(E45:E53)</f>
        <v>19</v>
      </c>
      <c r="F54" s="854">
        <f>SUM(F45:F53)</f>
        <v>35</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05"/>
  <sheetViews>
    <sheetView zoomScale="30" zoomScaleNormal="30" workbookViewId="0">
      <pane xSplit="3" ySplit="2" topLeftCell="D156" activePane="bottomRight" state="frozen"/>
      <selection pane="topRight" activeCell="D1" sqref="D1"/>
      <selection pane="bottomLeft" activeCell="A3" sqref="A3"/>
      <selection pane="bottomRight" activeCell="F163" sqref="F163"/>
    </sheetView>
  </sheetViews>
  <sheetFormatPr baseColWidth="10" defaultColWidth="14.44140625" defaultRowHeight="122.4" customHeight="1" x14ac:dyDescent="0.4"/>
  <cols>
    <col min="1" max="1" width="0.33203125" style="293" customWidth="1"/>
    <col min="2" max="2" width="59.5546875" style="293" customWidth="1"/>
    <col min="3" max="3" width="59.21875" style="293" customWidth="1"/>
    <col min="4" max="4" width="38" style="640" customWidth="1"/>
    <col min="5" max="5" width="41.6640625" style="293" customWidth="1"/>
    <col min="6" max="6" width="36.5546875" style="393" customWidth="1"/>
    <col min="7" max="7" width="38.88671875" style="293" customWidth="1"/>
    <col min="8" max="9" width="33" style="293" customWidth="1"/>
    <col min="10" max="10" width="41.88671875" style="293" customWidth="1"/>
    <col min="11" max="12" width="40.6640625" style="293" customWidth="1"/>
    <col min="13" max="13" width="45.88671875" style="293" customWidth="1"/>
    <col min="14" max="14" width="53.6640625" style="293" customWidth="1"/>
    <col min="15" max="15" width="54.109375" style="293" hidden="1" customWidth="1"/>
    <col min="16" max="16" width="45" style="520" customWidth="1"/>
    <col min="17" max="17" width="36" style="293" hidden="1" customWidth="1"/>
    <col min="18" max="18" width="38.21875" style="293" hidden="1" customWidth="1"/>
    <col min="19" max="19" width="35.6640625" style="293" hidden="1" customWidth="1"/>
    <col min="20" max="20" width="31.44140625" style="293" hidden="1" customWidth="1"/>
    <col min="21" max="21" width="42.5546875" style="293" hidden="1" customWidth="1"/>
    <col min="22" max="22" width="29.77734375" style="293" customWidth="1"/>
    <col min="23" max="23" width="31.6640625" style="293" customWidth="1"/>
    <col min="24" max="24" width="48.6640625" style="293" customWidth="1"/>
    <col min="25" max="25" width="39.77734375" style="293" customWidth="1"/>
    <col min="26" max="26" width="36.88671875" style="293" customWidth="1"/>
    <col min="27" max="27" width="35" style="293" customWidth="1"/>
    <col min="28" max="28" width="31.6640625" style="293" customWidth="1"/>
    <col min="29" max="29" width="44.6640625" style="293" hidden="1" customWidth="1"/>
    <col min="30" max="30" width="38.44140625" style="293" hidden="1" customWidth="1"/>
    <col min="31" max="31" width="38" style="293" customWidth="1"/>
    <col min="32" max="32" width="37.33203125" style="293" hidden="1" customWidth="1"/>
    <col min="33" max="34" width="40.109375" style="293" hidden="1" customWidth="1"/>
    <col min="35" max="35" width="43.88671875" style="293" customWidth="1"/>
    <col min="36" max="36" width="41.33203125" style="293" customWidth="1"/>
    <col min="37" max="37" width="46.88671875" style="293" customWidth="1"/>
    <col min="38" max="38" width="47.44140625" style="293" customWidth="1"/>
    <col min="39" max="39" width="63" style="293" customWidth="1"/>
    <col min="40" max="40" width="41.6640625" style="293" customWidth="1"/>
    <col min="41" max="41" width="51.44140625" style="293" hidden="1" customWidth="1"/>
    <col min="42" max="42" width="66.5546875" style="293" hidden="1" customWidth="1"/>
    <col min="43" max="43" width="48.5546875" style="293" hidden="1" customWidth="1"/>
    <col min="44" max="44" width="51.5546875" style="293" hidden="1" customWidth="1"/>
    <col min="45" max="45" width="64.21875" style="293" hidden="1" customWidth="1"/>
    <col min="46" max="46" width="71.109375" style="293" hidden="1" customWidth="1"/>
    <col min="47" max="47" width="76.6640625" style="293" hidden="1" customWidth="1"/>
    <col min="48" max="48" width="63.6640625" style="293" hidden="1" customWidth="1"/>
    <col min="49" max="53" width="10.6640625" style="293" customWidth="1"/>
    <col min="54" max="16384" width="14.44140625" style="293"/>
  </cols>
  <sheetData>
    <row r="1" spans="1:125" ht="12.6" customHeight="1" thickBot="1" x14ac:dyDescent="0.45">
      <c r="A1" s="291"/>
      <c r="B1" s="291"/>
      <c r="C1" s="291"/>
      <c r="D1" s="611"/>
      <c r="E1" s="291"/>
      <c r="F1" s="292"/>
      <c r="G1" s="291"/>
      <c r="H1" s="291"/>
      <c r="I1" s="291"/>
      <c r="J1" s="291"/>
      <c r="K1" s="291"/>
      <c r="L1" s="291"/>
      <c r="M1" s="291"/>
      <c r="N1" s="291"/>
      <c r="O1" s="291"/>
      <c r="P1" s="514"/>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row>
    <row r="2" spans="1:125" s="300" customFormat="1" ht="222.6" customHeight="1" thickBot="1" x14ac:dyDescent="0.45">
      <c r="A2" s="294"/>
      <c r="B2" s="1529" t="s">
        <v>0</v>
      </c>
      <c r="C2" s="1530"/>
      <c r="D2" s="295" t="s">
        <v>1</v>
      </c>
      <c r="E2" s="296" t="s">
        <v>2</v>
      </c>
      <c r="F2" s="297" t="s">
        <v>3</v>
      </c>
      <c r="G2" s="297" t="s">
        <v>4</v>
      </c>
      <c r="H2" s="297" t="s">
        <v>1873</v>
      </c>
      <c r="I2" s="1009" t="s">
        <v>2527</v>
      </c>
      <c r="J2" s="1081" t="s">
        <v>5</v>
      </c>
      <c r="K2" s="297" t="s">
        <v>1874</v>
      </c>
      <c r="L2" s="1009" t="s">
        <v>2526</v>
      </c>
      <c r="M2" s="1015" t="s">
        <v>6</v>
      </c>
      <c r="N2" s="1015" t="s">
        <v>1875</v>
      </c>
      <c r="O2" s="1421" t="s">
        <v>2549</v>
      </c>
      <c r="P2" s="1016" t="s">
        <v>1847</v>
      </c>
      <c r="Q2" s="1017" t="s">
        <v>1876</v>
      </c>
      <c r="R2" s="1017" t="s">
        <v>1878</v>
      </c>
      <c r="S2" s="1017" t="s">
        <v>1877</v>
      </c>
      <c r="T2" s="1017" t="s">
        <v>2431</v>
      </c>
      <c r="U2" s="1017" t="s">
        <v>2548</v>
      </c>
      <c r="V2" s="1017" t="s">
        <v>1879</v>
      </c>
      <c r="W2" s="1422" t="s">
        <v>2529</v>
      </c>
      <c r="X2" s="1009" t="s">
        <v>2528</v>
      </c>
      <c r="Y2" s="1009" t="s">
        <v>2530</v>
      </c>
      <c r="Z2" s="1009" t="s">
        <v>2531</v>
      </c>
      <c r="AA2" s="1018" t="s">
        <v>2532</v>
      </c>
      <c r="AB2" s="1019" t="s">
        <v>2533</v>
      </c>
      <c r="AC2" s="482" t="s">
        <v>7</v>
      </c>
      <c r="AD2" s="1007" t="s">
        <v>2534</v>
      </c>
      <c r="AE2" s="1019" t="s">
        <v>2546</v>
      </c>
      <c r="AF2" s="959" t="s">
        <v>8</v>
      </c>
      <c r="AG2" s="1022" t="s">
        <v>2535</v>
      </c>
      <c r="AH2" s="1421" t="s">
        <v>2547</v>
      </c>
      <c r="AI2" s="413" t="s">
        <v>1881</v>
      </c>
      <c r="AJ2" s="413" t="s">
        <v>2536</v>
      </c>
      <c r="AK2" s="1423" t="s">
        <v>2539</v>
      </c>
      <c r="AL2" s="1022" t="s">
        <v>1849</v>
      </c>
      <c r="AM2" s="959" t="s">
        <v>2550</v>
      </c>
      <c r="AN2" s="1421" t="s">
        <v>2541</v>
      </c>
      <c r="AO2" s="298" t="s">
        <v>2474</v>
      </c>
      <c r="AP2" s="533" t="s">
        <v>1882</v>
      </c>
      <c r="AQ2" s="534" t="s">
        <v>2290</v>
      </c>
      <c r="AR2" s="892" t="s">
        <v>2291</v>
      </c>
      <c r="AS2" s="893" t="s">
        <v>2342</v>
      </c>
      <c r="AT2" s="893" t="s">
        <v>2432</v>
      </c>
      <c r="AU2" s="893" t="s">
        <v>1880</v>
      </c>
      <c r="AV2" s="1095" t="s">
        <v>2540</v>
      </c>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row>
    <row r="3" spans="1:125" s="731" customFormat="1" ht="122.4" customHeight="1" thickBot="1" x14ac:dyDescent="0.55000000000000004">
      <c r="A3" s="724"/>
      <c r="B3" s="1538" t="s">
        <v>1639</v>
      </c>
      <c r="C3" s="1539"/>
      <c r="D3" s="1071"/>
      <c r="E3" s="1072">
        <v>0.2</v>
      </c>
      <c r="F3" s="1073"/>
      <c r="G3" s="1074"/>
      <c r="H3" s="1075"/>
      <c r="I3" s="1080"/>
      <c r="J3" s="1082">
        <f>+(J4+J91+J119+J130+J164+J192)/6</f>
        <v>0.25323854832043019</v>
      </c>
      <c r="K3" s="725">
        <f>+(K4+K91+K119+K130+K164+K192)/6</f>
        <v>0.29872026705958277</v>
      </c>
      <c r="L3" s="725">
        <f>+(L4+L91+L119+L130+L164+L192)/6</f>
        <v>0.31001232315895783</v>
      </c>
      <c r="M3" s="726">
        <f>+(M4+M91+M119+M130+M164+M192)/6</f>
        <v>0.20215522261646302</v>
      </c>
      <c r="N3" s="727">
        <f>+(N4+N91+N119+N130+N164+N192)/6</f>
        <v>0.26377249543649056</v>
      </c>
      <c r="O3" s="727"/>
      <c r="P3" s="728"/>
      <c r="Q3" s="729"/>
      <c r="R3" s="730"/>
      <c r="S3" s="729"/>
      <c r="T3" s="729"/>
      <c r="U3" s="729"/>
      <c r="V3" s="1093"/>
      <c r="W3" s="729"/>
      <c r="X3" s="730"/>
      <c r="Y3" s="729"/>
      <c r="Z3" s="729"/>
      <c r="AA3" s="730"/>
      <c r="AB3" s="729"/>
      <c r="AC3" s="1094">
        <f>+(AC4+AC91+AC119+AC130+AC164+AC192)/6</f>
        <v>0.8644187717729529</v>
      </c>
      <c r="AD3" s="817">
        <f>+(AD4+AD1+AD119+AD130+AD164+AD192)/6</f>
        <v>0.71907447715303718</v>
      </c>
      <c r="AE3" s="817">
        <f>+(AE4+AE91+AE119+AE130+AE164+AE192)/6</f>
        <v>0.27856668470614288</v>
      </c>
      <c r="AF3" s="818">
        <f>F4+F91+F119+F130+F164+F192</f>
        <v>0.69716842348257646</v>
      </c>
      <c r="AG3" s="818">
        <f>H4+H91+H119+H130+H164+H192</f>
        <v>0.77555895729814739</v>
      </c>
      <c r="AH3" s="818">
        <f>I4+I91+I119+I130+I164+I192</f>
        <v>0.23734303993502964</v>
      </c>
      <c r="AI3" s="819">
        <f>+(AI4+AI91+AI119+AI130+AI164+AI192)/6</f>
        <v>0.21807289507744496</v>
      </c>
      <c r="AJ3" s="826">
        <v>0.5127485650474547</v>
      </c>
      <c r="AK3" s="826">
        <f>+(AK4+AK91+AK119+AK130+AK164+AK192)/6</f>
        <v>0.56537558510342345</v>
      </c>
      <c r="AL3" s="818">
        <f>+(AL4+AL91+AL119+AL130+AL164+AL192)/6</f>
        <v>0.17961900387690335</v>
      </c>
      <c r="AM3" s="818">
        <f>+(AM4*E4)+(AM91*E91)+(AM119*E119)+(AM130*E130)+(AM164*E164)+(AM192*E192)</f>
        <v>0.48090129462939524</v>
      </c>
      <c r="AN3" s="818">
        <f>+(AN4*E4)+(AN91*E91)+(AN119*E119)+(AN130*E130)+(AN164*E164)+(AN192*E192)</f>
        <v>0.53288230613882503</v>
      </c>
      <c r="AO3" s="886"/>
      <c r="AP3" s="894"/>
      <c r="AQ3" s="894"/>
      <c r="AR3" s="894"/>
      <c r="AS3" s="894"/>
      <c r="AT3" s="895"/>
      <c r="AU3" s="895"/>
      <c r="AV3" s="895"/>
    </row>
    <row r="4" spans="1:125" s="653" customFormat="1" ht="76.2" customHeight="1" thickBot="1" x14ac:dyDescent="0.55000000000000004">
      <c r="A4" s="654"/>
      <c r="B4" s="1540" t="s">
        <v>1638</v>
      </c>
      <c r="C4" s="1541"/>
      <c r="D4" s="1066"/>
      <c r="E4" s="1067">
        <v>0.3</v>
      </c>
      <c r="F4" s="1068">
        <f>+E4*AF4</f>
        <v>0.19700364635079345</v>
      </c>
      <c r="G4" s="1069"/>
      <c r="H4" s="1076">
        <f>E4*AG4</f>
        <v>0.22922680579883903</v>
      </c>
      <c r="I4" s="1076">
        <f>E4*AH4</f>
        <v>8.4654449946565527E-2</v>
      </c>
      <c r="J4" s="1070">
        <f>+(J5+J12+J15+J21+J29+J34+J39+J43+J49+J52+J56+J60+J68+J73+J77+J85)/15</f>
        <v>0.26981900399515463</v>
      </c>
      <c r="K4" s="656">
        <f>+(K5+K12+K15+K21+K29+K34+K39+K43+K49+K52+K56+K60+K68+K73+K77+K85)/16</f>
        <v>0.26016382169667063</v>
      </c>
      <c r="L4" s="656">
        <f>+(L5+L12+L15+L21+L29+L34+L39+L43+L49+L52+L56+L60+L68+L73+L77+L85)/16</f>
        <v>0.26864479781308737</v>
      </c>
      <c r="M4" s="657">
        <f>+(M5+M12+M15+M21+M29+M34+M39+M43+M49+M52+M56+M60+M68+M73+M77+M85)/15</f>
        <v>0.25378937395993473</v>
      </c>
      <c r="N4" s="657">
        <f>+(N5+N12+N15+N21+N29+N34+N39+N43+N49+N52+N56+N60+N68+N73+N77+N85)/16</f>
        <v>0.3123638200568663</v>
      </c>
      <c r="O4" s="1107"/>
      <c r="P4" s="658"/>
      <c r="Q4" s="659"/>
      <c r="R4" s="659"/>
      <c r="S4" s="659"/>
      <c r="T4" s="659"/>
      <c r="U4" s="659"/>
      <c r="V4" s="659"/>
      <c r="W4" s="659"/>
      <c r="X4" s="1085"/>
      <c r="Y4" s="1085"/>
      <c r="Z4" s="1085"/>
      <c r="AA4" s="1085"/>
      <c r="AB4" s="1085"/>
      <c r="AC4" s="660">
        <f>+(AC5+AC12+AC15+AC21+AC29+AC34+AC39+AC43+AC49+AC52+AC56+AC60+AC68+AC73+AC77+AC85)/15</f>
        <v>0.68051329970379359</v>
      </c>
      <c r="AD4" s="660">
        <f>+(AD5+AD12+AD15+AD21+AD29+AD34+AD39+AD43+AD49+AD52+AD56+AD60+AD68+AD73+AD77+AD85)/16</f>
        <v>0.85063192848151603</v>
      </c>
      <c r="AE4" s="660">
        <f>+(AE5+AE12+AE15+AE21+AE29+AE34+AE39+AE43+AE49+AE52+AE56+AE60+AE68+AE73+AE77+AE85)/16</f>
        <v>0.31459107233382766</v>
      </c>
      <c r="AF4" s="661">
        <f>+AF5+AF12+AF15+AF21+AF29+AF34+AF39+AF43+AF49+AF52+AF56+AF60+AF68+AF73+AF77+AF85</f>
        <v>0.65667882116931153</v>
      </c>
      <c r="AG4" s="661">
        <f>+AG5+AG12+AG15+AG21+AG29+AG34+AG39+AG43+AG49+AG52+AG56+AG60+AG68+AG73+AG77+AG85</f>
        <v>0.76408935266279676</v>
      </c>
      <c r="AH4" s="661">
        <f>+AH5+AH12+AH15+AH21+AH29+AH34+AH39+AH43+AH49+AH52+AH56+AH60+AH68+AH73+AH77+AH85</f>
        <v>0.28218149982188512</v>
      </c>
      <c r="AI4" s="662">
        <f>(AI5+AI12+AI15+AI21+AI29+AI34+AI39+AI43+AI49+AI52+AI56+AI60+AI68+AI73+AI77+AI85)/15</f>
        <v>0.21333072171641188</v>
      </c>
      <c r="AJ4" s="662">
        <v>0.50550379134463475</v>
      </c>
      <c r="AK4" s="662">
        <f>(AK5+AK12+AK15+AK21+AK29+AK34+AK39+AK43+AK49+AK52+AK56+AK60+AK68+AK73+AK77+AK85)/16</f>
        <v>0.54582005569608971</v>
      </c>
      <c r="AL4" s="661">
        <f>+AL5+AL12+AL15+AL21+AL29+AL34+AL39+AL43+AL49+AL52+AL56+AL60+AL68+AL73+AL77+AL85</f>
        <v>0.19538897473062464</v>
      </c>
      <c r="AM4" s="661">
        <f>+(AM5*E5)+(AM12*E12)+(AM15*E15)+(AM21*E21)+(AM29*E29)+(AM34*E34)+(AM39*E39)+(AM43*E43)+(AM49*E49)+(AM52*E52)+(AM56*E56)+(AM60*E60)+(AM68*E68)+(AM73*E73)+(AM77*E77)+(AM85*E85)</f>
        <v>0.44645446238331843</v>
      </c>
      <c r="AN4" s="661">
        <f>+(AN5*E5)+(AN12*E12)+(AN15*E15)+(AN21*E21)+(AN29*E29)+(AN34*E34)+(AN39*E39)+(AN43*E43)+(AN49*E49)+(AN52*E52)+(AN56*E56)+(AN60*E60)+(AN68*E68)+(AN73*E73)+(AN77*E77)+(AN85*E85)</f>
        <v>0.49742369396749242</v>
      </c>
      <c r="AO4" s="887"/>
      <c r="AP4" s="666"/>
      <c r="AQ4" s="666"/>
      <c r="AR4" s="666"/>
      <c r="AS4" s="666"/>
      <c r="AT4" s="896"/>
      <c r="AU4" s="895"/>
      <c r="AV4" s="896"/>
    </row>
    <row r="5" spans="1:125" s="653" customFormat="1" ht="122.4" customHeight="1" thickBot="1" x14ac:dyDescent="0.55000000000000004">
      <c r="A5" s="654"/>
      <c r="B5" s="1542" t="s">
        <v>1640</v>
      </c>
      <c r="C5" s="1543"/>
      <c r="D5" s="655"/>
      <c r="E5" s="663">
        <v>0.25</v>
      </c>
      <c r="F5" s="664"/>
      <c r="G5" s="665"/>
      <c r="H5" s="923"/>
      <c r="I5" s="666"/>
      <c r="J5" s="667">
        <f>+AVERAGE(J6:J11)</f>
        <v>0.13533333333333333</v>
      </c>
      <c r="K5" s="667">
        <f>+AVERAGE(K6:K11)</f>
        <v>0.26333333333333325</v>
      </c>
      <c r="L5" s="667">
        <f>+AVERAGE(L6:L11)</f>
        <v>0.36180555555555549</v>
      </c>
      <c r="M5" s="668">
        <f>+M6+M7+M8+M9+M10+M11</f>
        <v>0.12433333333333335</v>
      </c>
      <c r="N5" s="668">
        <f>+N6+N7+N8+N9+N10+N11</f>
        <v>1.2288333333333334</v>
      </c>
      <c r="O5" s="668"/>
      <c r="P5" s="669"/>
      <c r="Q5" s="670"/>
      <c r="R5" s="670"/>
      <c r="S5" s="670"/>
      <c r="T5" s="670"/>
      <c r="U5" s="670"/>
      <c r="V5" s="670"/>
      <c r="W5" s="670"/>
      <c r="X5" s="1086"/>
      <c r="Y5" s="1086"/>
      <c r="Z5" s="1086"/>
      <c r="AA5" s="1086"/>
      <c r="AB5" s="1086"/>
      <c r="AC5" s="671">
        <f>+AVERAGE(AC6:AC11)</f>
        <v>0.73124999999999996</v>
      </c>
      <c r="AD5" s="671">
        <f>+AVERAGE(AD6:AD11)</f>
        <v>0.70866013071895428</v>
      </c>
      <c r="AE5" s="671">
        <f>+AVERAGE(AE6:AE11)</f>
        <v>0.13186520222123937</v>
      </c>
      <c r="AF5" s="672">
        <f>+(AF6+AF7+AF8+AF9+AF10+AF11)*E5</f>
        <v>0.16640625000000003</v>
      </c>
      <c r="AG5" s="672">
        <f>+(AG6+AG7+AG8+AG9+AG10+AG11)*E5</f>
        <v>0.20504901960784314</v>
      </c>
      <c r="AH5" s="672">
        <f>+(AH6+AH7+AH8+AH9+AH10+AH11)*E5</f>
        <v>3.2574266548724758E-2</v>
      </c>
      <c r="AI5" s="673">
        <f>+AVERAGE(AI6:AI11)</f>
        <v>0.10613333333333333</v>
      </c>
      <c r="AJ5" s="796">
        <v>0.29002777777777777</v>
      </c>
      <c r="AK5" s="796">
        <f>+AVERAGE(AK6:AK11)</f>
        <v>0.33427777777777773</v>
      </c>
      <c r="AL5" s="673">
        <f>+(AL6+AL7+AL8+AL9+AL10+AL11)*E5</f>
        <v>2.4725000000000007E-2</v>
      </c>
      <c r="AM5" s="673">
        <f>+(AM6+AM7+AM8+AM9+AM10+AM11)</f>
        <v>0.34426666666666667</v>
      </c>
      <c r="AN5" s="673">
        <f>+(AN6+AN7+AN8+AN9+AN10+AN11)</f>
        <v>0.38286666666666669</v>
      </c>
      <c r="AO5" s="888"/>
      <c r="AP5" s="666"/>
      <c r="AQ5" s="666"/>
      <c r="AR5" s="666"/>
      <c r="AS5" s="666"/>
      <c r="AT5" s="896"/>
      <c r="AU5" s="895"/>
      <c r="AV5" s="896"/>
    </row>
    <row r="6" spans="1:125" ht="122.4" customHeight="1" thickBot="1" x14ac:dyDescent="0.45">
      <c r="A6" s="302"/>
      <c r="B6" s="1450" t="s">
        <v>355</v>
      </c>
      <c r="C6" s="1430" t="s">
        <v>356</v>
      </c>
      <c r="D6" s="350" t="s">
        <v>357</v>
      </c>
      <c r="E6" s="310">
        <v>0.1</v>
      </c>
      <c r="F6" s="311">
        <v>1</v>
      </c>
      <c r="G6" s="312"/>
      <c r="H6" s="312">
        <v>0.3</v>
      </c>
      <c r="I6" s="313">
        <v>0.7</v>
      </c>
      <c r="J6" s="314"/>
      <c r="K6" s="314">
        <f>+H6/F6</f>
        <v>0.3</v>
      </c>
      <c r="L6" s="1451">
        <f t="shared" ref="L6:L11" si="0">+I6/F6</f>
        <v>0.7</v>
      </c>
      <c r="M6" s="1451"/>
      <c r="N6" s="1451">
        <f t="shared" ref="N6" si="1">+K6/H6</f>
        <v>1</v>
      </c>
      <c r="O6" s="1451"/>
      <c r="P6" s="316"/>
      <c r="Q6" s="317">
        <v>0.1</v>
      </c>
      <c r="R6" s="580">
        <v>0</v>
      </c>
      <c r="S6" s="580">
        <v>0</v>
      </c>
      <c r="T6" s="576">
        <v>0</v>
      </c>
      <c r="U6" s="576">
        <v>0</v>
      </c>
      <c r="V6" s="646">
        <f>+Q6+R6+S6+T6+U6</f>
        <v>0.1</v>
      </c>
      <c r="W6" s="322">
        <f>+V6+P6+AB6</f>
        <v>0.1</v>
      </c>
      <c r="X6" s="1185">
        <v>0</v>
      </c>
      <c r="Y6" s="330"/>
      <c r="Z6" s="330"/>
      <c r="AA6" s="330"/>
      <c r="AB6" s="330">
        <f>+X6+Y6+Z6+AA6</f>
        <v>0</v>
      </c>
      <c r="AC6" s="318"/>
      <c r="AD6" s="319">
        <f>+V6/H6</f>
        <v>0.33333333333333337</v>
      </c>
      <c r="AE6" s="319">
        <f>+AB6/I6</f>
        <v>0</v>
      </c>
      <c r="AF6" s="319"/>
      <c r="AG6" s="319">
        <f t="shared" ref="AG6:AG11" si="2">+AD6*E6</f>
        <v>3.333333333333334E-2</v>
      </c>
      <c r="AH6" s="319">
        <f t="shared" ref="AH6:AH11" si="3">+AE6*E6</f>
        <v>0</v>
      </c>
      <c r="AI6" s="319"/>
      <c r="AJ6" s="319">
        <v>0.1</v>
      </c>
      <c r="AK6" s="319">
        <f>+W6/F6</f>
        <v>0.1</v>
      </c>
      <c r="AL6" s="319"/>
      <c r="AM6" s="319">
        <f t="shared" ref="AM6:AM11" si="4">+AJ6*E6</f>
        <v>1.0000000000000002E-2</v>
      </c>
      <c r="AN6" s="319">
        <f>+AK6*E6</f>
        <v>1.0000000000000002E-2</v>
      </c>
      <c r="AO6" s="577" t="s">
        <v>1892</v>
      </c>
      <c r="AP6" s="579" t="s">
        <v>1906</v>
      </c>
      <c r="AQ6" s="579" t="s">
        <v>2264</v>
      </c>
      <c r="AR6" s="897" t="s">
        <v>2289</v>
      </c>
      <c r="AS6" s="897" t="s">
        <v>2402</v>
      </c>
      <c r="AT6" s="897" t="s">
        <v>2436</v>
      </c>
      <c r="AU6" s="603" t="s">
        <v>2493</v>
      </c>
      <c r="AV6" s="603" t="s">
        <v>1893</v>
      </c>
    </row>
    <row r="7" spans="1:125" ht="122.4" customHeight="1" thickBot="1" x14ac:dyDescent="0.45">
      <c r="A7" s="302"/>
      <c r="B7" s="1450" t="s">
        <v>358</v>
      </c>
      <c r="C7" s="1430" t="s">
        <v>359</v>
      </c>
      <c r="D7" s="350" t="s">
        <v>357</v>
      </c>
      <c r="E7" s="310">
        <v>0.1</v>
      </c>
      <c r="F7" s="311">
        <v>60</v>
      </c>
      <c r="G7" s="312">
        <v>5</v>
      </c>
      <c r="H7" s="312">
        <v>17</v>
      </c>
      <c r="I7" s="313">
        <v>21</v>
      </c>
      <c r="J7" s="320">
        <f>+G7/F7</f>
        <v>8.3333333333333329E-2</v>
      </c>
      <c r="K7" s="314">
        <f>+H7/F7</f>
        <v>0.28333333333333333</v>
      </c>
      <c r="L7" s="1451">
        <f t="shared" si="0"/>
        <v>0.35</v>
      </c>
      <c r="M7" s="321">
        <f>+(G7/F7)*E7</f>
        <v>8.3333333333333332E-3</v>
      </c>
      <c r="N7" s="321">
        <f>+(H7/F7)*E7</f>
        <v>2.8333333333333335E-2</v>
      </c>
      <c r="O7" s="321"/>
      <c r="P7" s="646">
        <v>3</v>
      </c>
      <c r="Q7" s="580">
        <v>0</v>
      </c>
      <c r="R7" s="580">
        <v>0</v>
      </c>
      <c r="S7" s="580">
        <v>0</v>
      </c>
      <c r="T7" s="576">
        <v>0</v>
      </c>
      <c r="U7" s="576">
        <v>1</v>
      </c>
      <c r="V7" s="646">
        <f t="shared" ref="V7:V13" si="5">+Q7+R7+S7+T7+U7</f>
        <v>1</v>
      </c>
      <c r="W7" s="646">
        <f t="shared" ref="W7:W11" si="6">+V7+P7+AB7</f>
        <v>4</v>
      </c>
      <c r="X7" s="1185">
        <v>0</v>
      </c>
      <c r="Y7" s="330"/>
      <c r="Z7" s="330"/>
      <c r="AA7" s="330"/>
      <c r="AB7" s="330">
        <f t="shared" ref="AB7:AB70" si="7">+X7+Y7+Z7+AA7</f>
        <v>0</v>
      </c>
      <c r="AC7" s="318">
        <f>+(P7/G7)</f>
        <v>0.6</v>
      </c>
      <c r="AD7" s="319">
        <f>+V7/H7</f>
        <v>5.8823529411764705E-2</v>
      </c>
      <c r="AE7" s="319">
        <f t="shared" ref="AE7:AE70" si="8">+AB7/I7</f>
        <v>0</v>
      </c>
      <c r="AF7" s="319">
        <f>+AC7*E7</f>
        <v>0.06</v>
      </c>
      <c r="AG7" s="319">
        <f t="shared" si="2"/>
        <v>5.8823529411764705E-3</v>
      </c>
      <c r="AH7" s="319">
        <f t="shared" si="3"/>
        <v>0</v>
      </c>
      <c r="AI7" s="319">
        <f>+P7/F7</f>
        <v>0.05</v>
      </c>
      <c r="AJ7" s="324">
        <v>1.6666666666666666E-2</v>
      </c>
      <c r="AK7" s="319">
        <f t="shared" ref="AK7:AK70" si="9">+W7/F7</f>
        <v>6.6666666666666666E-2</v>
      </c>
      <c r="AL7" s="324">
        <f>+AI7*E7</f>
        <v>5.000000000000001E-3</v>
      </c>
      <c r="AM7" s="324">
        <f t="shared" si="4"/>
        <v>1.6666666666666668E-3</v>
      </c>
      <c r="AN7" s="319">
        <f>+AK7*E7</f>
        <v>6.6666666666666671E-3</v>
      </c>
      <c r="AO7" s="577" t="s">
        <v>1850</v>
      </c>
      <c r="AP7" s="579" t="s">
        <v>1906</v>
      </c>
      <c r="AQ7" s="579" t="s">
        <v>2264</v>
      </c>
      <c r="AR7" s="897" t="s">
        <v>2289</v>
      </c>
      <c r="AS7" s="897" t="s">
        <v>2402</v>
      </c>
      <c r="AT7" s="897" t="s">
        <v>2436</v>
      </c>
      <c r="AU7" s="603" t="s">
        <v>2493</v>
      </c>
      <c r="AV7" s="603" t="s">
        <v>1893</v>
      </c>
    </row>
    <row r="8" spans="1:125" ht="122.4" customHeight="1" thickBot="1" x14ac:dyDescent="0.45">
      <c r="A8" s="302"/>
      <c r="B8" s="1452" t="s">
        <v>360</v>
      </c>
      <c r="C8" s="1427" t="s">
        <v>361</v>
      </c>
      <c r="D8" s="350" t="s">
        <v>357</v>
      </c>
      <c r="E8" s="310">
        <v>0.2</v>
      </c>
      <c r="F8" s="311">
        <v>5</v>
      </c>
      <c r="G8" s="312">
        <v>1</v>
      </c>
      <c r="H8" s="312">
        <v>1</v>
      </c>
      <c r="I8" s="313">
        <v>1.05</v>
      </c>
      <c r="J8" s="320">
        <f>+G8/F8</f>
        <v>0.2</v>
      </c>
      <c r="K8" s="314">
        <f t="shared" ref="K8:K48" si="10">+H8/F8</f>
        <v>0.2</v>
      </c>
      <c r="L8" s="1451">
        <f t="shared" si="0"/>
        <v>0.21000000000000002</v>
      </c>
      <c r="M8" s="321">
        <f>+(G8/F8)*E8</f>
        <v>4.0000000000000008E-2</v>
      </c>
      <c r="N8" s="321">
        <f>+(H8/F8)*E8</f>
        <v>4.0000000000000008E-2</v>
      </c>
      <c r="O8" s="321"/>
      <c r="P8" s="857">
        <v>1</v>
      </c>
      <c r="Q8" s="576">
        <v>0</v>
      </c>
      <c r="R8" s="576">
        <v>0.4</v>
      </c>
      <c r="S8" s="323">
        <v>0.12</v>
      </c>
      <c r="T8" s="576">
        <v>0</v>
      </c>
      <c r="U8" s="576">
        <v>0.43</v>
      </c>
      <c r="V8" s="857">
        <f t="shared" si="5"/>
        <v>0.95</v>
      </c>
      <c r="W8" s="322">
        <f>+V8+P8+AB8</f>
        <v>1.99</v>
      </c>
      <c r="X8" s="1185">
        <v>0.04</v>
      </c>
      <c r="Y8" s="330"/>
      <c r="Z8" s="330"/>
      <c r="AA8" s="330"/>
      <c r="AB8" s="330">
        <f t="shared" si="7"/>
        <v>0.04</v>
      </c>
      <c r="AC8" s="318">
        <f>+(P8/G8)</f>
        <v>1</v>
      </c>
      <c r="AD8" s="319">
        <f>+V8/H8</f>
        <v>0.95</v>
      </c>
      <c r="AE8" s="319">
        <f t="shared" si="8"/>
        <v>3.8095238095238092E-2</v>
      </c>
      <c r="AF8" s="319">
        <f>+AC8*E8</f>
        <v>0.2</v>
      </c>
      <c r="AG8" s="319">
        <f t="shared" si="2"/>
        <v>0.19</v>
      </c>
      <c r="AH8" s="319">
        <f>+AE8*E8</f>
        <v>7.619047619047619E-3</v>
      </c>
      <c r="AI8" s="319">
        <f>+P8/F8</f>
        <v>0.2</v>
      </c>
      <c r="AJ8" s="319">
        <v>0.39</v>
      </c>
      <c r="AK8" s="319">
        <f t="shared" si="9"/>
        <v>0.39800000000000002</v>
      </c>
      <c r="AL8" s="319">
        <f>+AI8*E8</f>
        <v>4.0000000000000008E-2</v>
      </c>
      <c r="AM8" s="319">
        <f t="shared" si="4"/>
        <v>7.8000000000000014E-2</v>
      </c>
      <c r="AN8" s="319">
        <f t="shared" ref="AN8:AN70" si="11">+AK8*E8</f>
        <v>7.9600000000000004E-2</v>
      </c>
      <c r="AO8" s="577" t="s">
        <v>1850</v>
      </c>
      <c r="AP8" s="579" t="s">
        <v>1906</v>
      </c>
      <c r="AQ8" s="579" t="s">
        <v>2264</v>
      </c>
      <c r="AR8" s="897" t="s">
        <v>2289</v>
      </c>
      <c r="AS8" s="897" t="s">
        <v>2402</v>
      </c>
      <c r="AT8" s="897" t="s">
        <v>2436</v>
      </c>
      <c r="AU8" s="603" t="s">
        <v>2493</v>
      </c>
      <c r="AV8" s="603" t="s">
        <v>1893</v>
      </c>
    </row>
    <row r="9" spans="1:125" ht="122.4" customHeight="1" thickBot="1" x14ac:dyDescent="0.45">
      <c r="A9" s="302"/>
      <c r="B9" s="1450" t="s">
        <v>362</v>
      </c>
      <c r="C9" s="1430" t="s">
        <v>363</v>
      </c>
      <c r="D9" s="350" t="s">
        <v>357</v>
      </c>
      <c r="E9" s="310">
        <v>0.3</v>
      </c>
      <c r="F9" s="311">
        <v>15</v>
      </c>
      <c r="G9" s="312">
        <v>2</v>
      </c>
      <c r="H9" s="312">
        <v>4</v>
      </c>
      <c r="I9" s="313">
        <v>5</v>
      </c>
      <c r="J9" s="320">
        <f>+G9/F9</f>
        <v>0.13333333333333333</v>
      </c>
      <c r="K9" s="314">
        <f t="shared" si="10"/>
        <v>0.26666666666666666</v>
      </c>
      <c r="L9" s="1451">
        <f t="shared" si="0"/>
        <v>0.33333333333333331</v>
      </c>
      <c r="M9" s="321">
        <f>+(G9/F9)*E9</f>
        <v>0.04</v>
      </c>
      <c r="N9" s="321">
        <f t="shared" ref="N9:N11" si="12">+(H9/F9)*E9</f>
        <v>0.08</v>
      </c>
      <c r="O9" s="321"/>
      <c r="P9" s="646">
        <v>1</v>
      </c>
      <c r="Q9" s="580">
        <v>1</v>
      </c>
      <c r="R9" s="580">
        <v>1</v>
      </c>
      <c r="S9" s="580">
        <v>3</v>
      </c>
      <c r="T9" s="576">
        <v>0</v>
      </c>
      <c r="U9" s="576">
        <v>0</v>
      </c>
      <c r="V9" s="646">
        <f t="shared" si="5"/>
        <v>5</v>
      </c>
      <c r="W9" s="646">
        <f t="shared" si="6"/>
        <v>6</v>
      </c>
      <c r="X9" s="1185">
        <v>0</v>
      </c>
      <c r="Y9" s="330"/>
      <c r="Z9" s="330"/>
      <c r="AA9" s="330"/>
      <c r="AB9" s="330">
        <f t="shared" si="7"/>
        <v>0</v>
      </c>
      <c r="AC9" s="318">
        <f>+(P9/G9)</f>
        <v>0.5</v>
      </c>
      <c r="AD9" s="319">
        <v>1</v>
      </c>
      <c r="AE9" s="319">
        <f t="shared" si="8"/>
        <v>0</v>
      </c>
      <c r="AF9" s="319">
        <f>+AC9*E9</f>
        <v>0.15</v>
      </c>
      <c r="AG9" s="319">
        <f t="shared" si="2"/>
        <v>0.3</v>
      </c>
      <c r="AH9" s="319">
        <f t="shared" si="3"/>
        <v>0</v>
      </c>
      <c r="AI9" s="319">
        <f>+P9/F9</f>
        <v>6.6666666666666666E-2</v>
      </c>
      <c r="AJ9" s="319">
        <v>0.4</v>
      </c>
      <c r="AK9" s="319">
        <f t="shared" si="9"/>
        <v>0.4</v>
      </c>
      <c r="AL9" s="319">
        <f>+AI9*E9</f>
        <v>0.02</v>
      </c>
      <c r="AM9" s="319">
        <f t="shared" si="4"/>
        <v>0.12</v>
      </c>
      <c r="AN9" s="319">
        <f t="shared" si="11"/>
        <v>0.12</v>
      </c>
      <c r="AO9" s="577" t="s">
        <v>1850</v>
      </c>
      <c r="AP9" s="579" t="s">
        <v>1906</v>
      </c>
      <c r="AQ9" s="579" t="s">
        <v>2264</v>
      </c>
      <c r="AR9" s="897" t="s">
        <v>2289</v>
      </c>
      <c r="AS9" s="897" t="s">
        <v>2402</v>
      </c>
      <c r="AT9" s="897" t="s">
        <v>2436</v>
      </c>
      <c r="AU9" s="603" t="s">
        <v>2493</v>
      </c>
      <c r="AV9" s="603" t="s">
        <v>1893</v>
      </c>
    </row>
    <row r="10" spans="1:125" ht="122.4" customHeight="1" thickBot="1" x14ac:dyDescent="0.45">
      <c r="A10" s="302"/>
      <c r="B10" s="1450" t="s">
        <v>364</v>
      </c>
      <c r="C10" s="1430" t="s">
        <v>365</v>
      </c>
      <c r="D10" s="350" t="s">
        <v>357</v>
      </c>
      <c r="E10" s="310">
        <v>0.2</v>
      </c>
      <c r="F10" s="311">
        <v>80</v>
      </c>
      <c r="G10" s="312">
        <v>8</v>
      </c>
      <c r="H10" s="312">
        <v>22</v>
      </c>
      <c r="I10" s="313">
        <v>19</v>
      </c>
      <c r="J10" s="320">
        <f>+G10/F10</f>
        <v>0.1</v>
      </c>
      <c r="K10" s="314">
        <f>+H10/F10</f>
        <v>0.27500000000000002</v>
      </c>
      <c r="L10" s="1451">
        <f t="shared" si="0"/>
        <v>0.23749999999999999</v>
      </c>
      <c r="M10" s="321">
        <f>+(G10/F10)*E10</f>
        <v>2.0000000000000004E-2</v>
      </c>
      <c r="N10" s="321">
        <f t="shared" si="12"/>
        <v>5.5000000000000007E-2</v>
      </c>
      <c r="O10" s="321"/>
      <c r="P10" s="646">
        <v>10</v>
      </c>
      <c r="Q10" s="580">
        <v>10</v>
      </c>
      <c r="R10" s="580">
        <v>0</v>
      </c>
      <c r="S10" s="580">
        <v>21</v>
      </c>
      <c r="T10" s="576">
        <v>0</v>
      </c>
      <c r="U10" s="576">
        <v>0</v>
      </c>
      <c r="V10" s="646">
        <f t="shared" si="5"/>
        <v>31</v>
      </c>
      <c r="W10" s="646">
        <f>+V10+P10+AB10</f>
        <v>50</v>
      </c>
      <c r="X10" s="1185">
        <v>9</v>
      </c>
      <c r="Y10" s="330"/>
      <c r="Z10" s="330"/>
      <c r="AA10" s="330"/>
      <c r="AB10" s="330">
        <f t="shared" si="7"/>
        <v>9</v>
      </c>
      <c r="AC10" s="318">
        <v>1</v>
      </c>
      <c r="AD10" s="319">
        <v>1</v>
      </c>
      <c r="AE10" s="319">
        <f>+AB10/I10</f>
        <v>0.47368421052631576</v>
      </c>
      <c r="AF10" s="319">
        <f>+AC10*E10</f>
        <v>0.2</v>
      </c>
      <c r="AG10" s="319">
        <f t="shared" si="2"/>
        <v>0.2</v>
      </c>
      <c r="AH10" s="319">
        <f t="shared" si="3"/>
        <v>9.4736842105263161E-2</v>
      </c>
      <c r="AI10" s="319">
        <f>+P10/F10</f>
        <v>0.125</v>
      </c>
      <c r="AJ10" s="319">
        <v>0.51249999999999996</v>
      </c>
      <c r="AK10" s="319">
        <f t="shared" si="9"/>
        <v>0.625</v>
      </c>
      <c r="AL10" s="319">
        <f>+AI10*E10</f>
        <v>2.5000000000000001E-2</v>
      </c>
      <c r="AM10" s="319">
        <f t="shared" si="4"/>
        <v>0.10249999999999999</v>
      </c>
      <c r="AN10" s="319">
        <f t="shared" si="11"/>
        <v>0.125</v>
      </c>
      <c r="AO10" s="577" t="s">
        <v>1850</v>
      </c>
      <c r="AP10" s="579" t="s">
        <v>1906</v>
      </c>
      <c r="AQ10" s="579" t="s">
        <v>2264</v>
      </c>
      <c r="AR10" s="897" t="s">
        <v>2289</v>
      </c>
      <c r="AS10" s="897" t="s">
        <v>2402</v>
      </c>
      <c r="AT10" s="897" t="s">
        <v>2436</v>
      </c>
      <c r="AU10" s="603" t="s">
        <v>2493</v>
      </c>
      <c r="AV10" s="603" t="s">
        <v>1893</v>
      </c>
    </row>
    <row r="11" spans="1:125" ht="122.4" customHeight="1" thickBot="1" x14ac:dyDescent="0.45">
      <c r="A11" s="302"/>
      <c r="B11" s="1450" t="s">
        <v>366</v>
      </c>
      <c r="C11" s="1430" t="s">
        <v>367</v>
      </c>
      <c r="D11" s="350" t="s">
        <v>357</v>
      </c>
      <c r="E11" s="310">
        <v>0.1</v>
      </c>
      <c r="F11" s="311">
        <v>1000</v>
      </c>
      <c r="G11" s="312">
        <v>160</v>
      </c>
      <c r="H11" s="312">
        <v>255</v>
      </c>
      <c r="I11" s="313">
        <v>340</v>
      </c>
      <c r="J11" s="320">
        <f>+G11/F11</f>
        <v>0.16</v>
      </c>
      <c r="K11" s="314">
        <f t="shared" si="10"/>
        <v>0.255</v>
      </c>
      <c r="L11" s="1451">
        <f t="shared" si="0"/>
        <v>0.34</v>
      </c>
      <c r="M11" s="321">
        <f>+(G11/F11)*E11</f>
        <v>1.6E-2</v>
      </c>
      <c r="N11" s="321">
        <f t="shared" si="12"/>
        <v>2.5500000000000002E-2</v>
      </c>
      <c r="O11" s="321"/>
      <c r="P11" s="646">
        <v>89</v>
      </c>
      <c r="Q11" s="580">
        <v>111</v>
      </c>
      <c r="R11" s="580">
        <v>75</v>
      </c>
      <c r="S11" s="580">
        <v>17</v>
      </c>
      <c r="T11" s="576">
        <v>0</v>
      </c>
      <c r="U11" s="576">
        <v>29</v>
      </c>
      <c r="V11" s="646">
        <f t="shared" si="5"/>
        <v>232</v>
      </c>
      <c r="W11" s="646">
        <f t="shared" si="6"/>
        <v>416</v>
      </c>
      <c r="X11" s="1185">
        <v>95</v>
      </c>
      <c r="Y11" s="330"/>
      <c r="Z11" s="330"/>
      <c r="AA11" s="330"/>
      <c r="AB11" s="330">
        <f t="shared" si="7"/>
        <v>95</v>
      </c>
      <c r="AC11" s="318">
        <f>+(P11/G11)</f>
        <v>0.55625000000000002</v>
      </c>
      <c r="AD11" s="319">
        <f>+V11/H11</f>
        <v>0.90980392156862744</v>
      </c>
      <c r="AE11" s="319">
        <f t="shared" si="8"/>
        <v>0.27941176470588236</v>
      </c>
      <c r="AF11" s="319">
        <f>+AC11*E11</f>
        <v>5.5625000000000008E-2</v>
      </c>
      <c r="AG11" s="319">
        <f t="shared" si="2"/>
        <v>9.0980392156862752E-2</v>
      </c>
      <c r="AH11" s="319">
        <f t="shared" si="3"/>
        <v>2.7941176470588237E-2</v>
      </c>
      <c r="AI11" s="319">
        <f>+P11/F11</f>
        <v>8.8999999999999996E-2</v>
      </c>
      <c r="AJ11" s="319">
        <v>0.32100000000000001</v>
      </c>
      <c r="AK11" s="319">
        <f t="shared" si="9"/>
        <v>0.41599999999999998</v>
      </c>
      <c r="AL11" s="319">
        <f>+AI11*E11</f>
        <v>8.8999999999999999E-3</v>
      </c>
      <c r="AM11" s="319">
        <f t="shared" si="4"/>
        <v>3.2100000000000004E-2</v>
      </c>
      <c r="AN11" s="319">
        <f t="shared" si="11"/>
        <v>4.1599999999999998E-2</v>
      </c>
      <c r="AO11" s="577" t="s">
        <v>1850</v>
      </c>
      <c r="AP11" s="579" t="s">
        <v>1906</v>
      </c>
      <c r="AQ11" s="579" t="s">
        <v>2264</v>
      </c>
      <c r="AR11" s="897" t="s">
        <v>2289</v>
      </c>
      <c r="AS11" s="897" t="s">
        <v>2402</v>
      </c>
      <c r="AT11" s="897" t="s">
        <v>2436</v>
      </c>
      <c r="AU11" s="603" t="s">
        <v>2493</v>
      </c>
      <c r="AV11" s="603" t="s">
        <v>1893</v>
      </c>
    </row>
    <row r="12" spans="1:125" ht="122.4" customHeight="1" thickBot="1" x14ac:dyDescent="0.55000000000000004">
      <c r="A12" s="302"/>
      <c r="B12" s="1542" t="s">
        <v>1641</v>
      </c>
      <c r="C12" s="1543"/>
      <c r="D12" s="303"/>
      <c r="E12" s="307">
        <v>0.02</v>
      </c>
      <c r="F12" s="325"/>
      <c r="G12" s="326"/>
      <c r="H12" s="1077"/>
      <c r="I12" s="308"/>
      <c r="J12" s="327">
        <f>+AVERAGE(J13:J14)</f>
        <v>0.33035714285714285</v>
      </c>
      <c r="K12" s="327">
        <f>+AVERAGE(K13:K14)</f>
        <v>0.43154761904761907</v>
      </c>
      <c r="L12" s="327">
        <f>+AVERAGE(L13:L14)</f>
        <v>0.24404761904761904</v>
      </c>
      <c r="M12" s="328">
        <f>+M13+M14</f>
        <v>0.33928571428571425</v>
      </c>
      <c r="N12" s="328">
        <f>+N13+N14</f>
        <v>0.47023809523809523</v>
      </c>
      <c r="O12" s="328"/>
      <c r="P12" s="316"/>
      <c r="Q12" s="329"/>
      <c r="R12" s="329"/>
      <c r="S12" s="329"/>
      <c r="T12" s="329"/>
      <c r="U12" s="964"/>
      <c r="V12" s="329"/>
      <c r="W12" s="329"/>
      <c r="X12" s="1087"/>
      <c r="Y12" s="1087"/>
      <c r="Z12" s="1087"/>
      <c r="AA12" s="1087"/>
      <c r="AB12" s="1087"/>
      <c r="AC12" s="521">
        <f>+AVERAGE(AC13:AC15)</f>
        <v>0.76545415896074187</v>
      </c>
      <c r="AD12" s="521">
        <f>+AVERAGE(AD13:AD14)</f>
        <v>1</v>
      </c>
      <c r="AE12" s="348">
        <f>+AVERAGE(AE13:AE14)</f>
        <v>0.5</v>
      </c>
      <c r="AF12" s="348">
        <f>+(AF13+AF14)*E12</f>
        <v>1.4666666666666666E-2</v>
      </c>
      <c r="AG12" s="348">
        <f>+(AG13+AG14)*E12</f>
        <v>0.02</v>
      </c>
      <c r="AH12" s="348">
        <f>+(AH13+AH14)*E12</f>
        <v>1.2E-2</v>
      </c>
      <c r="AI12" s="309">
        <f>+AVERAGE(AI13:AI14)</f>
        <v>0.23511904761904762</v>
      </c>
      <c r="AJ12" s="309">
        <v>0.57440476190476186</v>
      </c>
      <c r="AK12" s="309">
        <f>+AVERAGE(AK13:AK14)</f>
        <v>0.69940476190476186</v>
      </c>
      <c r="AL12" s="309">
        <f>+(AL13+AL14)*E12</f>
        <v>5.261904761904761E-3</v>
      </c>
      <c r="AM12" s="309">
        <f>+(AM13+AM14)</f>
        <v>0.58452380952380956</v>
      </c>
      <c r="AN12" s="309">
        <f>+(AN13+AN14)</f>
        <v>0.73452380952380958</v>
      </c>
      <c r="AO12" s="685"/>
      <c r="AP12" s="308"/>
      <c r="AQ12" s="308"/>
      <c r="AR12" s="308"/>
      <c r="AS12" s="308"/>
      <c r="AT12" s="898"/>
      <c r="AU12" s="895"/>
      <c r="AV12" s="898"/>
    </row>
    <row r="13" spans="1:125" ht="122.4" customHeight="1" thickBot="1" x14ac:dyDescent="0.45">
      <c r="A13" s="302"/>
      <c r="B13" s="1450" t="s">
        <v>368</v>
      </c>
      <c r="C13" s="1430" t="s">
        <v>369</v>
      </c>
      <c r="D13" s="350" t="s">
        <v>357</v>
      </c>
      <c r="E13" s="310">
        <v>0.6</v>
      </c>
      <c r="F13" s="311">
        <v>40</v>
      </c>
      <c r="G13" s="330">
        <v>15</v>
      </c>
      <c r="H13" s="809">
        <v>25</v>
      </c>
      <c r="I13" s="331">
        <v>10</v>
      </c>
      <c r="J13" s="320">
        <f>+G13/F13</f>
        <v>0.375</v>
      </c>
      <c r="K13" s="320">
        <f t="shared" si="10"/>
        <v>0.625</v>
      </c>
      <c r="L13" s="320">
        <f>+I13/F13</f>
        <v>0.25</v>
      </c>
      <c r="M13" s="321">
        <f>+(G13/F13)*E13</f>
        <v>0.22499999999999998</v>
      </c>
      <c r="N13" s="321">
        <f>+(H13/F13)*E13</f>
        <v>0.375</v>
      </c>
      <c r="O13" s="321"/>
      <c r="P13" s="316">
        <v>15</v>
      </c>
      <c r="Q13" s="580">
        <v>10</v>
      </c>
      <c r="R13" s="317">
        <v>0</v>
      </c>
      <c r="S13" s="317">
        <v>0</v>
      </c>
      <c r="T13" s="317">
        <v>0</v>
      </c>
      <c r="U13" s="317">
        <v>0</v>
      </c>
      <c r="V13" s="316">
        <f t="shared" si="5"/>
        <v>10</v>
      </c>
      <c r="W13" s="646">
        <f>+V13+P13+AB13</f>
        <v>35</v>
      </c>
      <c r="X13" s="1185">
        <v>10</v>
      </c>
      <c r="Y13" s="330"/>
      <c r="Z13" s="330"/>
      <c r="AA13" s="330"/>
      <c r="AB13" s="1090">
        <f t="shared" si="7"/>
        <v>10</v>
      </c>
      <c r="AC13" s="318">
        <f>+(P13/G13)</f>
        <v>1</v>
      </c>
      <c r="AD13" s="319">
        <f>+V13/10</f>
        <v>1</v>
      </c>
      <c r="AE13" s="319">
        <f>+AB13/I13</f>
        <v>1</v>
      </c>
      <c r="AF13" s="319">
        <f>+AC13*E13</f>
        <v>0.6</v>
      </c>
      <c r="AG13" s="319">
        <f>+AD13*E13</f>
        <v>0.6</v>
      </c>
      <c r="AH13" s="319">
        <f t="shared" ref="AH13:AH76" si="13">+AE13*E13</f>
        <v>0.6</v>
      </c>
      <c r="AI13" s="319">
        <f>+P13/F13</f>
        <v>0.375</v>
      </c>
      <c r="AJ13" s="319">
        <v>0.625</v>
      </c>
      <c r="AK13" s="319">
        <f t="shared" si="9"/>
        <v>0.875</v>
      </c>
      <c r="AL13" s="319">
        <f>+AI13*E13</f>
        <v>0.22499999999999998</v>
      </c>
      <c r="AM13" s="319">
        <f>+AJ13*E13</f>
        <v>0.375</v>
      </c>
      <c r="AN13" s="319">
        <f t="shared" si="11"/>
        <v>0.52500000000000002</v>
      </c>
      <c r="AO13" s="577" t="s">
        <v>1850</v>
      </c>
      <c r="AP13" s="579" t="s">
        <v>1907</v>
      </c>
      <c r="AQ13" s="579" t="s">
        <v>2264</v>
      </c>
      <c r="AR13" s="897" t="s">
        <v>2289</v>
      </c>
      <c r="AS13" s="897" t="s">
        <v>2402</v>
      </c>
      <c r="AT13" s="897" t="s">
        <v>2436</v>
      </c>
      <c r="AU13" s="603" t="s">
        <v>2493</v>
      </c>
      <c r="AV13" s="603" t="s">
        <v>1893</v>
      </c>
    </row>
    <row r="14" spans="1:125" ht="172.2" customHeight="1" thickBot="1" x14ac:dyDescent="0.45">
      <c r="A14" s="302"/>
      <c r="B14" s="1450" t="s">
        <v>370</v>
      </c>
      <c r="C14" s="1430" t="s">
        <v>371</v>
      </c>
      <c r="D14" s="350" t="s">
        <v>357</v>
      </c>
      <c r="E14" s="310">
        <v>0.4</v>
      </c>
      <c r="F14" s="311">
        <v>105</v>
      </c>
      <c r="G14" s="330">
        <v>30</v>
      </c>
      <c r="H14" s="809">
        <v>25</v>
      </c>
      <c r="I14" s="331">
        <v>25</v>
      </c>
      <c r="J14" s="320">
        <f>+G14/F14</f>
        <v>0.2857142857142857</v>
      </c>
      <c r="K14" s="320">
        <f t="shared" si="10"/>
        <v>0.23809523809523808</v>
      </c>
      <c r="L14" s="320">
        <f t="shared" ref="L14:L78" si="14">+I14/F14</f>
        <v>0.23809523809523808</v>
      </c>
      <c r="M14" s="321">
        <f>+(G14/F14)*E14</f>
        <v>0.11428571428571428</v>
      </c>
      <c r="N14" s="321">
        <f>+(H14/F14)*E14</f>
        <v>9.5238095238095233E-2</v>
      </c>
      <c r="O14" s="321"/>
      <c r="P14" s="316">
        <v>10</v>
      </c>
      <c r="Q14" s="580">
        <v>20</v>
      </c>
      <c r="R14" s="317">
        <v>6</v>
      </c>
      <c r="S14" s="317">
        <v>19</v>
      </c>
      <c r="T14" s="317">
        <v>0</v>
      </c>
      <c r="U14" s="317">
        <v>0</v>
      </c>
      <c r="V14" s="322">
        <f>+Q14+R14+S14+T14+U14</f>
        <v>45</v>
      </c>
      <c r="W14" s="646">
        <f>+V14+P14+AB14</f>
        <v>55</v>
      </c>
      <c r="X14" s="1193">
        <v>0</v>
      </c>
      <c r="Y14" s="1088"/>
      <c r="Z14" s="1088"/>
      <c r="AA14" s="1088"/>
      <c r="AB14" s="1090">
        <f t="shared" si="7"/>
        <v>0</v>
      </c>
      <c r="AC14" s="318">
        <f>+(P14/G14)</f>
        <v>0.33333333333333331</v>
      </c>
      <c r="AD14" s="319">
        <v>1</v>
      </c>
      <c r="AE14" s="319">
        <f t="shared" si="8"/>
        <v>0</v>
      </c>
      <c r="AF14" s="319">
        <f>+AC14*E14</f>
        <v>0.13333333333333333</v>
      </c>
      <c r="AG14" s="319">
        <f>+AD14*E14</f>
        <v>0.4</v>
      </c>
      <c r="AH14" s="319">
        <f t="shared" si="13"/>
        <v>0</v>
      </c>
      <c r="AI14" s="319">
        <f>+P14/F14</f>
        <v>9.5238095238095233E-2</v>
      </c>
      <c r="AJ14" s="319">
        <v>0.52380952380952384</v>
      </c>
      <c r="AK14" s="319">
        <f t="shared" si="9"/>
        <v>0.52380952380952384</v>
      </c>
      <c r="AL14" s="319">
        <f>+AI14*E14</f>
        <v>3.8095238095238099E-2</v>
      </c>
      <c r="AM14" s="319">
        <f>+AJ14*E14</f>
        <v>0.20952380952380956</v>
      </c>
      <c r="AN14" s="319">
        <f t="shared" si="11"/>
        <v>0.20952380952380956</v>
      </c>
      <c r="AO14" s="577" t="s">
        <v>1850</v>
      </c>
      <c r="AP14" s="579" t="s">
        <v>1901</v>
      </c>
      <c r="AQ14" s="579" t="s">
        <v>2264</v>
      </c>
      <c r="AR14" s="897" t="s">
        <v>2289</v>
      </c>
      <c r="AS14" s="897" t="s">
        <v>2402</v>
      </c>
      <c r="AT14" s="897" t="s">
        <v>2436</v>
      </c>
      <c r="AU14" s="603" t="s">
        <v>2493</v>
      </c>
      <c r="AV14" s="603" t="s">
        <v>1893</v>
      </c>
    </row>
    <row r="15" spans="1:125" ht="122.4" customHeight="1" thickBot="1" x14ac:dyDescent="0.55000000000000004">
      <c r="A15" s="302"/>
      <c r="B15" s="1542" t="s">
        <v>1642</v>
      </c>
      <c r="C15" s="1543"/>
      <c r="D15" s="303"/>
      <c r="E15" s="307">
        <v>0.1</v>
      </c>
      <c r="F15" s="311"/>
      <c r="G15" s="326"/>
      <c r="H15" s="1077"/>
      <c r="I15" s="308"/>
      <c r="J15" s="327">
        <f>+AVERAGE(J16:J20)</f>
        <v>0.24305555555555555</v>
      </c>
      <c r="K15" s="327">
        <f>+AVERAGE(K16:K20)</f>
        <v>0.26562064156206416</v>
      </c>
      <c r="L15" s="327">
        <f>+AVERAGE(L16:L20)</f>
        <v>0.29013947001394697</v>
      </c>
      <c r="M15" s="328">
        <f>+M16+M17+M18+M19+M20</f>
        <v>0.22361111111111112</v>
      </c>
      <c r="N15" s="328">
        <f>+N16+N17+N18+N19+N20</f>
        <v>0.2536436541143654</v>
      </c>
      <c r="O15" s="328"/>
      <c r="P15" s="316"/>
      <c r="Q15" s="329"/>
      <c r="R15" s="329"/>
      <c r="S15" s="329"/>
      <c r="T15" s="329"/>
      <c r="U15" s="964"/>
      <c r="V15" s="329"/>
      <c r="W15" s="329"/>
      <c r="X15" s="1087"/>
      <c r="Y15" s="1087"/>
      <c r="Z15" s="1087"/>
      <c r="AA15" s="1087"/>
      <c r="AB15" s="1087"/>
      <c r="AC15" s="521">
        <f>+AVERAGE(AC16:AC20)</f>
        <v>0.96302914354889246</v>
      </c>
      <c r="AD15" s="521">
        <f>+AVERAGE(AD16:AD20)</f>
        <v>0.74378181818181821</v>
      </c>
      <c r="AE15" s="521">
        <f>+AVERAGE(AE16:AE20)</f>
        <v>0.29472727272727273</v>
      </c>
      <c r="AF15" s="348">
        <f>+(AF16+AF17+AF18+AF19+AF20)*E15</f>
        <v>8.5862844786004616E-2</v>
      </c>
      <c r="AG15" s="348">
        <f>+(AG16+AG17+AG18+AG19+AG20)*E15</f>
        <v>8.4378181818181838E-2</v>
      </c>
      <c r="AH15" s="348">
        <f>+(AH16+AH17+AH18+AH19+AH20)*E15</f>
        <v>3.7972727272727276E-2</v>
      </c>
      <c r="AI15" s="309">
        <f>+AVERAGE(AI16:AI20)</f>
        <v>0.24497534144277869</v>
      </c>
      <c r="AJ15" s="309">
        <v>0.39804672808783126</v>
      </c>
      <c r="AK15" s="309">
        <f>+AVERAGE(AK16:AK20)</f>
        <v>0.4717285462696495</v>
      </c>
      <c r="AL15" s="309">
        <f>+(AL16+AL17+AL18+AL19+AL20)*E15</f>
        <v>2.2443072307612263E-2</v>
      </c>
      <c r="AM15" s="309">
        <f>+(AM16+AM17+AM18+AM19+AM20)</f>
        <v>0.43835776173121815</v>
      </c>
      <c r="AN15" s="309">
        <f>+(AN16+AN17+AN18+AN19+AN20)</f>
        <v>0.53328957991303627</v>
      </c>
      <c r="AO15" s="685"/>
      <c r="AP15" s="308"/>
      <c r="AQ15" s="308"/>
      <c r="AR15" s="308"/>
      <c r="AS15" s="308"/>
      <c r="AT15" s="898"/>
      <c r="AU15" s="895"/>
      <c r="AV15" s="898"/>
    </row>
    <row r="16" spans="1:125" ht="122.4" customHeight="1" thickBot="1" x14ac:dyDescent="0.45">
      <c r="A16" s="302"/>
      <c r="B16" s="1452" t="s">
        <v>372</v>
      </c>
      <c r="C16" s="1427" t="s">
        <v>373</v>
      </c>
      <c r="D16" s="350" t="s">
        <v>357</v>
      </c>
      <c r="E16" s="310">
        <v>0.1</v>
      </c>
      <c r="F16" s="311">
        <v>2390</v>
      </c>
      <c r="G16" s="330">
        <v>0</v>
      </c>
      <c r="H16" s="809">
        <v>585</v>
      </c>
      <c r="I16" s="331">
        <v>878</v>
      </c>
      <c r="J16" s="320"/>
      <c r="K16" s="320">
        <f t="shared" si="10"/>
        <v>0.24476987447698745</v>
      </c>
      <c r="L16" s="320">
        <f t="shared" si="14"/>
        <v>0.36736401673640168</v>
      </c>
      <c r="M16" s="321"/>
      <c r="N16" s="321">
        <f>+(H16/F16)*E16</f>
        <v>2.4476987447698745E-2</v>
      </c>
      <c r="O16" s="321"/>
      <c r="P16" s="316"/>
      <c r="Q16" s="580">
        <v>0</v>
      </c>
      <c r="R16" s="317">
        <v>0</v>
      </c>
      <c r="S16" s="317">
        <v>0</v>
      </c>
      <c r="T16" s="317">
        <v>0</v>
      </c>
      <c r="U16" s="317">
        <v>0</v>
      </c>
      <c r="V16" s="580">
        <f>+Q16+R16+S16+T16+U16</f>
        <v>0</v>
      </c>
      <c r="W16" s="646">
        <f>+V16+P16+AB16</f>
        <v>0</v>
      </c>
      <c r="X16" s="1088">
        <v>0</v>
      </c>
      <c r="Y16" s="1088"/>
      <c r="Z16" s="1088"/>
      <c r="AA16" s="1088"/>
      <c r="AB16" s="1090">
        <f t="shared" si="7"/>
        <v>0</v>
      </c>
      <c r="AC16" s="332"/>
      <c r="AD16" s="319">
        <v>0</v>
      </c>
      <c r="AE16" s="319">
        <f t="shared" si="8"/>
        <v>0</v>
      </c>
      <c r="AF16" s="319"/>
      <c r="AG16" s="319">
        <f>+AD16*E16</f>
        <v>0</v>
      </c>
      <c r="AH16" s="319">
        <f>+AE16*E16</f>
        <v>0</v>
      </c>
      <c r="AI16" s="319"/>
      <c r="AJ16" s="319">
        <v>0</v>
      </c>
      <c r="AK16" s="319">
        <f t="shared" si="9"/>
        <v>0</v>
      </c>
      <c r="AL16" s="319"/>
      <c r="AM16" s="319">
        <f>+AJ16*E16</f>
        <v>0</v>
      </c>
      <c r="AN16" s="319">
        <f t="shared" si="11"/>
        <v>0</v>
      </c>
      <c r="AO16" s="577" t="s">
        <v>1850</v>
      </c>
      <c r="AP16" s="578" t="s">
        <v>1987</v>
      </c>
      <c r="AQ16" s="578" t="s">
        <v>1987</v>
      </c>
      <c r="AR16" s="897" t="s">
        <v>2289</v>
      </c>
      <c r="AS16" s="897" t="s">
        <v>2402</v>
      </c>
      <c r="AT16" s="897" t="s">
        <v>2436</v>
      </c>
      <c r="AU16" s="603" t="s">
        <v>2493</v>
      </c>
      <c r="AV16" s="603" t="s">
        <v>1893</v>
      </c>
    </row>
    <row r="17" spans="1:48" ht="122.4" customHeight="1" thickBot="1" x14ac:dyDescent="0.45">
      <c r="A17" s="302"/>
      <c r="B17" s="1452" t="s">
        <v>374</v>
      </c>
      <c r="C17" s="1427" t="s">
        <v>375</v>
      </c>
      <c r="D17" s="613" t="s">
        <v>357</v>
      </c>
      <c r="E17" s="310">
        <v>0.4</v>
      </c>
      <c r="F17" s="311">
        <f>106487*4</f>
        <v>425948</v>
      </c>
      <c r="G17" s="333">
        <v>106487</v>
      </c>
      <c r="H17" s="1078">
        <v>106487</v>
      </c>
      <c r="I17" s="1215">
        <v>106487</v>
      </c>
      <c r="J17" s="320">
        <f>+G17/F17</f>
        <v>0.25</v>
      </c>
      <c r="K17" s="320">
        <f t="shared" si="10"/>
        <v>0.25</v>
      </c>
      <c r="L17" s="320">
        <f>+I17/F17</f>
        <v>0.25</v>
      </c>
      <c r="M17" s="321">
        <f>+(G17/F17)*E17</f>
        <v>0.1</v>
      </c>
      <c r="N17" s="321">
        <f t="shared" ref="N17:N48" si="15">+(H17/F17)*E17</f>
        <v>0.1</v>
      </c>
      <c r="O17" s="321"/>
      <c r="P17" s="334">
        <v>100207</v>
      </c>
      <c r="Q17" s="858">
        <v>101017</v>
      </c>
      <c r="R17" s="858">
        <v>106414</v>
      </c>
      <c r="S17" s="858">
        <v>106487</v>
      </c>
      <c r="T17" s="944">
        <v>106487</v>
      </c>
      <c r="U17" s="944">
        <v>106487</v>
      </c>
      <c r="V17" s="580">
        <f>+Q17+R17+S17+T17+U17</f>
        <v>526892</v>
      </c>
      <c r="W17" s="646">
        <f t="shared" ref="W17:W20" si="16">+V17+P17+AB17</f>
        <v>733586</v>
      </c>
      <c r="X17" s="333">
        <v>106487</v>
      </c>
      <c r="Y17" s="333"/>
      <c r="Z17" s="333"/>
      <c r="AA17" s="333"/>
      <c r="AB17" s="1453">
        <f t="shared" si="7"/>
        <v>106487</v>
      </c>
      <c r="AC17" s="318">
        <f>+(P17/G17)</f>
        <v>0.94102566510466068</v>
      </c>
      <c r="AD17" s="324">
        <f>+(S17/H17)*(0.75+0.125+0.125)</f>
        <v>1</v>
      </c>
      <c r="AE17" s="324">
        <v>0.25</v>
      </c>
      <c r="AF17" s="319">
        <f>+AC17*E17</f>
        <v>0.37641026604186428</v>
      </c>
      <c r="AG17" s="319">
        <f>+AD17*E17</f>
        <v>0.4</v>
      </c>
      <c r="AH17" s="319">
        <f t="shared" si="13"/>
        <v>0.1</v>
      </c>
      <c r="AI17" s="319">
        <f>+P17/F17</f>
        <v>0.23525641627616517</v>
      </c>
      <c r="AJ17" s="797">
        <v>0.48190308488360084</v>
      </c>
      <c r="AK17" s="319">
        <f>+AJ17+0.0625</f>
        <v>0.54440308488360079</v>
      </c>
      <c r="AL17" s="319">
        <f>+AI17*E17</f>
        <v>9.4102566510466071E-2</v>
      </c>
      <c r="AM17" s="319">
        <f>+AJ17*E17</f>
        <v>0.19276123395344036</v>
      </c>
      <c r="AN17" s="319">
        <f t="shared" si="11"/>
        <v>0.21776123395344033</v>
      </c>
      <c r="AO17" s="577" t="s">
        <v>1850</v>
      </c>
      <c r="AP17" s="578" t="s">
        <v>1908</v>
      </c>
      <c r="AQ17" s="578" t="s">
        <v>1987</v>
      </c>
      <c r="AR17" s="897" t="s">
        <v>2289</v>
      </c>
      <c r="AS17" s="897" t="s">
        <v>2402</v>
      </c>
      <c r="AT17" s="897" t="s">
        <v>2436</v>
      </c>
      <c r="AU17" s="603" t="s">
        <v>2493</v>
      </c>
      <c r="AV17" s="603" t="s">
        <v>1893</v>
      </c>
    </row>
    <row r="18" spans="1:48" ht="122.4" customHeight="1" thickBot="1" x14ac:dyDescent="0.45">
      <c r="A18" s="302"/>
      <c r="B18" s="1452" t="s">
        <v>376</v>
      </c>
      <c r="C18" s="1446" t="s">
        <v>377</v>
      </c>
      <c r="D18" s="614" t="s">
        <v>357</v>
      </c>
      <c r="E18" s="310">
        <v>0.2</v>
      </c>
      <c r="F18" s="311">
        <v>22000</v>
      </c>
      <c r="G18" s="333">
        <v>5500</v>
      </c>
      <c r="H18" s="1078">
        <v>5500</v>
      </c>
      <c r="I18" s="1215">
        <v>5500</v>
      </c>
      <c r="J18" s="320">
        <f>+G18/F18</f>
        <v>0.25</v>
      </c>
      <c r="K18" s="320">
        <f t="shared" si="10"/>
        <v>0.25</v>
      </c>
      <c r="L18" s="320">
        <f t="shared" si="14"/>
        <v>0.25</v>
      </c>
      <c r="M18" s="321">
        <f>+(G18/F18)*E18</f>
        <v>0.05</v>
      </c>
      <c r="N18" s="321">
        <f t="shared" si="15"/>
        <v>0.05</v>
      </c>
      <c r="O18" s="321"/>
      <c r="P18" s="334">
        <v>5011</v>
      </c>
      <c r="Q18" s="858">
        <v>1787</v>
      </c>
      <c r="R18" s="858">
        <v>1100</v>
      </c>
      <c r="S18" s="858">
        <v>0</v>
      </c>
      <c r="T18" s="945">
        <v>1067</v>
      </c>
      <c r="U18" s="945">
        <v>0</v>
      </c>
      <c r="V18" s="580">
        <f>+Q18+R18+T18</f>
        <v>3954</v>
      </c>
      <c r="W18" s="646">
        <f t="shared" si="16"/>
        <v>11845</v>
      </c>
      <c r="X18" s="333">
        <v>2880</v>
      </c>
      <c r="Y18" s="333"/>
      <c r="Z18" s="333"/>
      <c r="AA18" s="333"/>
      <c r="AB18" s="1453">
        <f t="shared" si="7"/>
        <v>2880</v>
      </c>
      <c r="AC18" s="318">
        <f>+(P18/G18)</f>
        <v>0.91109090909090906</v>
      </c>
      <c r="AD18" s="319">
        <f>+V18/H18</f>
        <v>0.71890909090909094</v>
      </c>
      <c r="AE18" s="319">
        <f t="shared" si="8"/>
        <v>0.52363636363636368</v>
      </c>
      <c r="AF18" s="319">
        <f>+AC18*E18</f>
        <v>0.18221818181818183</v>
      </c>
      <c r="AG18" s="319">
        <f>+AD18*E18</f>
        <v>0.14378181818181821</v>
      </c>
      <c r="AH18" s="319">
        <f t="shared" si="13"/>
        <v>0.10472727272727274</v>
      </c>
      <c r="AI18" s="319">
        <f>+P18/F18</f>
        <v>0.22777272727272727</v>
      </c>
      <c r="AJ18" s="319">
        <v>0.40749999999999997</v>
      </c>
      <c r="AK18" s="319">
        <f t="shared" si="9"/>
        <v>0.53840909090909095</v>
      </c>
      <c r="AL18" s="319">
        <f>+AI18*E18</f>
        <v>4.5554545454545459E-2</v>
      </c>
      <c r="AM18" s="319">
        <f>+AJ18*E18</f>
        <v>8.1500000000000003E-2</v>
      </c>
      <c r="AN18" s="319">
        <f t="shared" si="11"/>
        <v>0.1076818181818182</v>
      </c>
      <c r="AO18" s="577" t="s">
        <v>1850</v>
      </c>
      <c r="AP18" s="579" t="s">
        <v>1901</v>
      </c>
      <c r="AQ18" s="308"/>
      <c r="AR18" s="897" t="s">
        <v>2289</v>
      </c>
      <c r="AS18" s="897" t="s">
        <v>2402</v>
      </c>
      <c r="AT18" s="897" t="s">
        <v>2436</v>
      </c>
      <c r="AU18" s="603" t="s">
        <v>2493</v>
      </c>
      <c r="AV18" s="603" t="s">
        <v>1893</v>
      </c>
    </row>
    <row r="19" spans="1:48" ht="162.6" customHeight="1" thickBot="1" x14ac:dyDescent="0.45">
      <c r="A19" s="302"/>
      <c r="B19" s="1452" t="s">
        <v>378</v>
      </c>
      <c r="C19" s="1446" t="s">
        <v>379</v>
      </c>
      <c r="D19" s="615" t="s">
        <v>357</v>
      </c>
      <c r="E19" s="310">
        <v>0.25</v>
      </c>
      <c r="F19" s="311">
        <v>40000</v>
      </c>
      <c r="G19" s="333">
        <v>10000</v>
      </c>
      <c r="H19" s="1078">
        <v>10000</v>
      </c>
      <c r="I19" s="1215">
        <v>10000</v>
      </c>
      <c r="J19" s="320">
        <f>+G19/F19</f>
        <v>0.25</v>
      </c>
      <c r="K19" s="320">
        <f t="shared" si="10"/>
        <v>0.25</v>
      </c>
      <c r="L19" s="320">
        <f t="shared" si="14"/>
        <v>0.25</v>
      </c>
      <c r="M19" s="321">
        <f>+(G19/F19)*E19</f>
        <v>6.25E-2</v>
      </c>
      <c r="N19" s="321">
        <f t="shared" si="15"/>
        <v>6.25E-2</v>
      </c>
      <c r="O19" s="321"/>
      <c r="P19" s="334">
        <v>11786</v>
      </c>
      <c r="Q19" s="858">
        <v>6000</v>
      </c>
      <c r="R19" s="858">
        <v>1400</v>
      </c>
      <c r="S19" s="858">
        <v>2125</v>
      </c>
      <c r="T19" s="945">
        <v>500</v>
      </c>
      <c r="U19" s="945">
        <v>0</v>
      </c>
      <c r="V19" s="944">
        <f>+Q19+R19+S19+T19+U19</f>
        <v>10025</v>
      </c>
      <c r="W19" s="646">
        <f t="shared" si="16"/>
        <v>28811</v>
      </c>
      <c r="X19" s="333">
        <v>7000</v>
      </c>
      <c r="Y19" s="333"/>
      <c r="Z19" s="333"/>
      <c r="AA19" s="333"/>
      <c r="AB19" s="1453">
        <f t="shared" si="7"/>
        <v>7000</v>
      </c>
      <c r="AC19" s="318">
        <v>1</v>
      </c>
      <c r="AD19" s="319">
        <v>1</v>
      </c>
      <c r="AE19" s="319">
        <f t="shared" si="8"/>
        <v>0.7</v>
      </c>
      <c r="AF19" s="319">
        <f>+AC19*E19</f>
        <v>0.25</v>
      </c>
      <c r="AG19" s="319">
        <f>+AD19*E19</f>
        <v>0.25</v>
      </c>
      <c r="AH19" s="319">
        <f t="shared" si="13"/>
        <v>0.17499999999999999</v>
      </c>
      <c r="AI19" s="319">
        <f>+P19/F19</f>
        <v>0.29465000000000002</v>
      </c>
      <c r="AJ19" s="319">
        <v>0.54527499999999995</v>
      </c>
      <c r="AK19" s="319">
        <f t="shared" si="9"/>
        <v>0.720275</v>
      </c>
      <c r="AL19" s="319">
        <f>+AI19*E19</f>
        <v>7.3662500000000006E-2</v>
      </c>
      <c r="AM19" s="319">
        <f>+AJ19*E19</f>
        <v>0.13631874999999999</v>
      </c>
      <c r="AN19" s="319">
        <f t="shared" si="11"/>
        <v>0.18006875</v>
      </c>
      <c r="AO19" s="577" t="s">
        <v>1850</v>
      </c>
      <c r="AP19" s="579" t="s">
        <v>1901</v>
      </c>
      <c r="AQ19" s="308"/>
      <c r="AR19" s="897" t="s">
        <v>2289</v>
      </c>
      <c r="AS19" s="897" t="s">
        <v>2402</v>
      </c>
      <c r="AT19" s="897" t="s">
        <v>2436</v>
      </c>
      <c r="AU19" s="603" t="s">
        <v>2493</v>
      </c>
      <c r="AV19" s="603" t="s">
        <v>1893</v>
      </c>
    </row>
    <row r="20" spans="1:48" ht="122.4" customHeight="1" thickBot="1" x14ac:dyDescent="0.45">
      <c r="A20" s="302"/>
      <c r="B20" s="1452" t="s">
        <v>380</v>
      </c>
      <c r="C20" s="1446" t="s">
        <v>381</v>
      </c>
      <c r="D20" s="615" t="s">
        <v>357</v>
      </c>
      <c r="E20" s="310">
        <v>0.05</v>
      </c>
      <c r="F20" s="311">
        <v>45</v>
      </c>
      <c r="G20" s="330">
        <v>10</v>
      </c>
      <c r="H20" s="809">
        <v>15</v>
      </c>
      <c r="I20" s="331">
        <v>15</v>
      </c>
      <c r="J20" s="320">
        <f>+G20/F20</f>
        <v>0.22222222222222221</v>
      </c>
      <c r="K20" s="320">
        <f t="shared" si="10"/>
        <v>0.33333333333333331</v>
      </c>
      <c r="L20" s="320">
        <f t="shared" si="14"/>
        <v>0.33333333333333331</v>
      </c>
      <c r="M20" s="321">
        <f>+(G20/F20)*E20</f>
        <v>1.1111111111111112E-2</v>
      </c>
      <c r="N20" s="321">
        <f t="shared" si="15"/>
        <v>1.6666666666666666E-2</v>
      </c>
      <c r="O20" s="321"/>
      <c r="P20" s="335">
        <v>10</v>
      </c>
      <c r="Q20" s="580">
        <v>0</v>
      </c>
      <c r="R20" s="317">
        <v>0</v>
      </c>
      <c r="S20" s="317">
        <v>10</v>
      </c>
      <c r="T20" s="317">
        <v>4</v>
      </c>
      <c r="U20" s="317">
        <v>1</v>
      </c>
      <c r="V20" s="580">
        <f>+S20+T20+U20+Q20+R20</f>
        <v>15</v>
      </c>
      <c r="W20" s="646">
        <f t="shared" si="16"/>
        <v>25</v>
      </c>
      <c r="X20" s="1089">
        <v>0</v>
      </c>
      <c r="Y20" s="1089"/>
      <c r="Z20" s="1089"/>
      <c r="AA20" s="1089"/>
      <c r="AB20" s="1454">
        <f t="shared" si="7"/>
        <v>0</v>
      </c>
      <c r="AC20" s="318">
        <v>1</v>
      </c>
      <c r="AD20" s="319">
        <f>+V20/H20</f>
        <v>1</v>
      </c>
      <c r="AE20" s="319">
        <f t="shared" si="8"/>
        <v>0</v>
      </c>
      <c r="AF20" s="319">
        <f>+AC20*E20</f>
        <v>0.05</v>
      </c>
      <c r="AG20" s="319">
        <f>+AD20*E20</f>
        <v>0.05</v>
      </c>
      <c r="AH20" s="319">
        <f t="shared" si="13"/>
        <v>0</v>
      </c>
      <c r="AI20" s="319">
        <f>+P20/F20</f>
        <v>0.22222222222222221</v>
      </c>
      <c r="AJ20" s="319">
        <v>0.55555555555555558</v>
      </c>
      <c r="AK20" s="319">
        <f t="shared" si="9"/>
        <v>0.55555555555555558</v>
      </c>
      <c r="AL20" s="319">
        <f>+AI20*E20</f>
        <v>1.1111111111111112E-2</v>
      </c>
      <c r="AM20" s="319">
        <f>+AJ20*E20</f>
        <v>2.777777777777778E-2</v>
      </c>
      <c r="AN20" s="319">
        <f t="shared" si="11"/>
        <v>2.777777777777778E-2</v>
      </c>
      <c r="AO20" s="577" t="s">
        <v>1850</v>
      </c>
      <c r="AP20" s="579" t="s">
        <v>1901</v>
      </c>
      <c r="AQ20" s="308"/>
      <c r="AR20" s="897" t="s">
        <v>2289</v>
      </c>
      <c r="AS20" s="897" t="s">
        <v>2402</v>
      </c>
      <c r="AT20" s="897" t="s">
        <v>2436</v>
      </c>
      <c r="AU20" s="603" t="s">
        <v>2493</v>
      </c>
      <c r="AV20" s="603" t="s">
        <v>1893</v>
      </c>
    </row>
    <row r="21" spans="1:48" ht="122.4" customHeight="1" thickBot="1" x14ac:dyDescent="0.55000000000000004">
      <c r="A21" s="302"/>
      <c r="B21" s="1542" t="s">
        <v>1643</v>
      </c>
      <c r="C21" s="1543"/>
      <c r="D21" s="616"/>
      <c r="E21" s="307">
        <v>0.1</v>
      </c>
      <c r="F21" s="311"/>
      <c r="G21" s="326"/>
      <c r="H21" s="1077"/>
      <c r="I21" s="308"/>
      <c r="J21" s="327">
        <f>+AVERAGE(J22:J28)</f>
        <v>0.28974632671496775</v>
      </c>
      <c r="K21" s="327">
        <f>+AVERAGE(K22:K28)</f>
        <v>0.22570672713529855</v>
      </c>
      <c r="L21" s="327">
        <f>+AVERAGE(L22:L28)</f>
        <v>0.21716221447928766</v>
      </c>
      <c r="M21" s="328">
        <f>+M22+M23+M24+M25+M26+M27+M28</f>
        <v>0.28333533359143115</v>
      </c>
      <c r="N21" s="328">
        <f>+N22+N23+N24+N25+N26+N27+N28</f>
        <v>0.22066402116402117</v>
      </c>
      <c r="O21" s="328"/>
      <c r="P21" s="316"/>
      <c r="Q21" s="329"/>
      <c r="R21" s="329"/>
      <c r="S21" s="329"/>
      <c r="T21" s="329"/>
      <c r="U21" s="329"/>
      <c r="V21" s="329"/>
      <c r="W21" s="329"/>
      <c r="X21" s="1087"/>
      <c r="Y21" s="1087"/>
      <c r="Z21" s="1087"/>
      <c r="AA21" s="1087"/>
      <c r="AB21" s="1087"/>
      <c r="AC21" s="521">
        <f>+AVERAGE(AC22:AC28)</f>
        <v>0.8571428571428571</v>
      </c>
      <c r="AD21" s="521">
        <f>+AVERAGE(AD22:AD28)</f>
        <v>0.75412917795844614</v>
      </c>
      <c r="AE21" s="521">
        <f>+AVERAGE(AE22:AE28)</f>
        <v>0.61597492523579489</v>
      </c>
      <c r="AF21" s="348">
        <f>+(AF22+AF23+AF24+AF25+AF26+AF27+AF28)*E21</f>
        <v>7.5000000000000011E-2</v>
      </c>
      <c r="AG21" s="348">
        <f>+(AG22+AG23+AG24+AG25+AG26+AG27+AG28)*E21</f>
        <v>7.7960862691960259E-2</v>
      </c>
      <c r="AH21" s="348">
        <f>+(AH22+AH23+AH24+AH25+AH26+AH27+AH28)*E21</f>
        <v>6.0287600644122391E-2</v>
      </c>
      <c r="AI21" s="309">
        <f>+AVERAGE(AI22:AI28)</f>
        <v>0.38444241653300881</v>
      </c>
      <c r="AJ21" s="309">
        <v>0.54770158822336523</v>
      </c>
      <c r="AK21" s="309">
        <f>+AVERAGE(AK22:AK28)</f>
        <v>0.66380860664048824</v>
      </c>
      <c r="AL21" s="309">
        <f>+(AL22+AL23+AL24+AL25+AL26+AL27+AL28)*E21</f>
        <v>3.9090985933668859E-2</v>
      </c>
      <c r="AM21" s="309">
        <f>+(AM22+AM23+AM24+AM25+AM26+AM27+AM28)</f>
        <v>0.56458837430636211</v>
      </c>
      <c r="AN21" s="309">
        <f>+(AN22+AN23+AN24+AN25+AN26+AN27+AN28)</f>
        <v>0.67562312072525499</v>
      </c>
      <c r="AO21" s="685"/>
      <c r="AP21" s="308"/>
      <c r="AQ21" s="308"/>
      <c r="AR21" s="308"/>
      <c r="AS21" s="308"/>
      <c r="AT21" s="898"/>
      <c r="AU21" s="895"/>
      <c r="AV21" s="898"/>
    </row>
    <row r="22" spans="1:48" ht="122.4" customHeight="1" thickBot="1" x14ac:dyDescent="0.45">
      <c r="A22" s="302"/>
      <c r="B22" s="1452" t="s">
        <v>382</v>
      </c>
      <c r="C22" s="1446" t="s">
        <v>383</v>
      </c>
      <c r="D22" s="490" t="s">
        <v>357</v>
      </c>
      <c r="E22" s="310">
        <v>0.1</v>
      </c>
      <c r="F22" s="311">
        <v>72</v>
      </c>
      <c r="G22" s="330">
        <v>48</v>
      </c>
      <c r="H22" s="809">
        <v>8</v>
      </c>
      <c r="I22" s="331">
        <v>8</v>
      </c>
      <c r="J22" s="320">
        <f t="shared" ref="J22:J28" si="17">+G22/F22</f>
        <v>0.66666666666666663</v>
      </c>
      <c r="K22" s="320">
        <f t="shared" si="10"/>
        <v>0.1111111111111111</v>
      </c>
      <c r="L22" s="320">
        <f t="shared" si="14"/>
        <v>0.1111111111111111</v>
      </c>
      <c r="M22" s="321">
        <f t="shared" ref="M22:M28" si="18">+(G22/F22)*E22</f>
        <v>6.6666666666666666E-2</v>
      </c>
      <c r="N22" s="321">
        <f t="shared" si="15"/>
        <v>1.1111111111111112E-2</v>
      </c>
      <c r="O22" s="321"/>
      <c r="P22" s="316">
        <v>48</v>
      </c>
      <c r="Q22" s="580">
        <v>0</v>
      </c>
      <c r="R22" s="317">
        <v>8</v>
      </c>
      <c r="S22" s="317">
        <v>0</v>
      </c>
      <c r="T22" s="317">
        <v>0</v>
      </c>
      <c r="U22" s="317">
        <v>0</v>
      </c>
      <c r="V22" s="646">
        <f>+Q22+R22+S22+T22+U22</f>
        <v>8</v>
      </c>
      <c r="W22" s="646">
        <f>+V22+P22+AB22</f>
        <v>120</v>
      </c>
      <c r="X22" s="1185">
        <v>64</v>
      </c>
      <c r="Y22" s="330"/>
      <c r="Z22" s="330"/>
      <c r="AA22" s="330"/>
      <c r="AB22" s="330">
        <f>+X22+Y22+Z22+AA22</f>
        <v>64</v>
      </c>
      <c r="AC22" s="318">
        <v>1</v>
      </c>
      <c r="AD22" s="319">
        <f>+V22/H22</f>
        <v>1</v>
      </c>
      <c r="AE22" s="319">
        <v>1</v>
      </c>
      <c r="AF22" s="319">
        <f t="shared" ref="AF22:AF28" si="19">+AC22*E22</f>
        <v>0.1</v>
      </c>
      <c r="AG22" s="319">
        <f t="shared" ref="AG22:AG28" si="20">+AD22*E22</f>
        <v>0.1</v>
      </c>
      <c r="AH22" s="319">
        <f t="shared" si="13"/>
        <v>0.1</v>
      </c>
      <c r="AI22" s="319">
        <f t="shared" ref="AI22:AI28" si="21">+P22/F22</f>
        <v>0.66666666666666663</v>
      </c>
      <c r="AJ22" s="319">
        <v>0.77777777777777779</v>
      </c>
      <c r="AK22" s="319">
        <v>1</v>
      </c>
      <c r="AL22" s="319">
        <f t="shared" ref="AL22:AL28" si="22">+AI22*E22</f>
        <v>6.6666666666666666E-2</v>
      </c>
      <c r="AM22" s="319">
        <f t="shared" ref="AM22:AM28" si="23">+AJ22*E22</f>
        <v>7.7777777777777779E-2</v>
      </c>
      <c r="AN22" s="319">
        <f t="shared" si="11"/>
        <v>0.1</v>
      </c>
      <c r="AO22" s="577" t="s">
        <v>1850</v>
      </c>
      <c r="AP22" s="603" t="s">
        <v>1901</v>
      </c>
      <c r="AQ22" s="308"/>
      <c r="AR22" s="897" t="s">
        <v>2289</v>
      </c>
      <c r="AS22" s="897" t="s">
        <v>2402</v>
      </c>
      <c r="AT22" s="897" t="s">
        <v>2436</v>
      </c>
      <c r="AU22" s="603" t="s">
        <v>2493</v>
      </c>
      <c r="AV22" s="603" t="s">
        <v>1893</v>
      </c>
    </row>
    <row r="23" spans="1:48" ht="122.4" customHeight="1" thickBot="1" x14ac:dyDescent="0.45">
      <c r="A23" s="302"/>
      <c r="B23" s="1455" t="s">
        <v>384</v>
      </c>
      <c r="C23" s="1456" t="s">
        <v>385</v>
      </c>
      <c r="D23" s="490" t="s">
        <v>357</v>
      </c>
      <c r="E23" s="310">
        <v>0.15</v>
      </c>
      <c r="F23" s="311">
        <v>4</v>
      </c>
      <c r="G23" s="330">
        <v>2</v>
      </c>
      <c r="H23" s="809">
        <v>1</v>
      </c>
      <c r="I23" s="331">
        <v>1</v>
      </c>
      <c r="J23" s="320">
        <f t="shared" si="17"/>
        <v>0.5</v>
      </c>
      <c r="K23" s="320">
        <f t="shared" si="10"/>
        <v>0.25</v>
      </c>
      <c r="L23" s="320"/>
      <c r="M23" s="321">
        <f t="shared" si="18"/>
        <v>7.4999999999999997E-2</v>
      </c>
      <c r="N23" s="321">
        <f t="shared" si="15"/>
        <v>3.7499999999999999E-2</v>
      </c>
      <c r="O23" s="321"/>
      <c r="P23" s="316">
        <v>3</v>
      </c>
      <c r="Q23" s="580">
        <v>0</v>
      </c>
      <c r="R23" s="317">
        <v>0</v>
      </c>
      <c r="S23" s="317">
        <v>1</v>
      </c>
      <c r="T23" s="317">
        <v>0</v>
      </c>
      <c r="U23" s="317">
        <v>0</v>
      </c>
      <c r="V23" s="646">
        <f t="shared" ref="V23:V28" si="24">+Q23+R23+S23+T23+U23</f>
        <v>1</v>
      </c>
      <c r="W23" s="646">
        <f t="shared" ref="W23:W28" si="25">+V23+P23+AB23</f>
        <v>5</v>
      </c>
      <c r="X23" s="1185">
        <v>1</v>
      </c>
      <c r="Y23" s="330"/>
      <c r="Z23" s="330"/>
      <c r="AA23" s="330"/>
      <c r="AB23" s="330">
        <f t="shared" si="7"/>
        <v>1</v>
      </c>
      <c r="AC23" s="318">
        <v>1</v>
      </c>
      <c r="AD23" s="319">
        <f>+V23/H23</f>
        <v>1</v>
      </c>
      <c r="AE23" s="319">
        <f>+AB23/I23</f>
        <v>1</v>
      </c>
      <c r="AF23" s="319">
        <f t="shared" si="19"/>
        <v>0.15</v>
      </c>
      <c r="AG23" s="319">
        <f t="shared" si="20"/>
        <v>0.15</v>
      </c>
      <c r="AH23" s="319">
        <f t="shared" si="13"/>
        <v>0.15</v>
      </c>
      <c r="AI23" s="319">
        <f t="shared" si="21"/>
        <v>0.75</v>
      </c>
      <c r="AJ23" s="319">
        <v>1</v>
      </c>
      <c r="AK23" s="319">
        <v>1</v>
      </c>
      <c r="AL23" s="319">
        <f t="shared" si="22"/>
        <v>0.11249999999999999</v>
      </c>
      <c r="AM23" s="319">
        <f t="shared" si="23"/>
        <v>0.15</v>
      </c>
      <c r="AN23" s="319">
        <f t="shared" si="11"/>
        <v>0.15</v>
      </c>
      <c r="AO23" s="577" t="s">
        <v>1850</v>
      </c>
      <c r="AP23" s="578" t="s">
        <v>1909</v>
      </c>
      <c r="AQ23" s="308"/>
      <c r="AR23" s="897" t="s">
        <v>2289</v>
      </c>
      <c r="AS23" s="897" t="s">
        <v>2402</v>
      </c>
      <c r="AT23" s="897" t="s">
        <v>2436</v>
      </c>
      <c r="AU23" s="603" t="s">
        <v>2493</v>
      </c>
      <c r="AV23" s="603" t="s">
        <v>1893</v>
      </c>
    </row>
    <row r="24" spans="1:48" ht="122.4" customHeight="1" thickBot="1" x14ac:dyDescent="0.45">
      <c r="A24" s="302"/>
      <c r="B24" s="1457" t="s">
        <v>386</v>
      </c>
      <c r="C24" s="1458" t="s">
        <v>387</v>
      </c>
      <c r="D24" s="617" t="s">
        <v>357</v>
      </c>
      <c r="E24" s="310">
        <v>0.2</v>
      </c>
      <c r="F24" s="311">
        <v>27</v>
      </c>
      <c r="G24" s="330">
        <v>2</v>
      </c>
      <c r="H24" s="809">
        <v>2</v>
      </c>
      <c r="I24" s="331">
        <v>3</v>
      </c>
      <c r="J24" s="320">
        <f t="shared" si="17"/>
        <v>7.407407407407407E-2</v>
      </c>
      <c r="K24" s="320">
        <f t="shared" si="10"/>
        <v>7.407407407407407E-2</v>
      </c>
      <c r="L24" s="320">
        <f t="shared" si="14"/>
        <v>0.1111111111111111</v>
      </c>
      <c r="M24" s="321">
        <f t="shared" si="18"/>
        <v>1.4814814814814815E-2</v>
      </c>
      <c r="N24" s="321">
        <f t="shared" si="15"/>
        <v>1.4814814814814815E-2</v>
      </c>
      <c r="O24" s="321"/>
      <c r="P24" s="316">
        <v>20</v>
      </c>
      <c r="Q24" s="580">
        <v>5</v>
      </c>
      <c r="R24" s="317">
        <v>0</v>
      </c>
      <c r="S24" s="317">
        <v>0</v>
      </c>
      <c r="T24" s="317">
        <v>0</v>
      </c>
      <c r="U24" s="317">
        <v>0</v>
      </c>
      <c r="V24" s="646">
        <f t="shared" si="24"/>
        <v>5</v>
      </c>
      <c r="W24" s="646">
        <f t="shared" si="25"/>
        <v>25</v>
      </c>
      <c r="X24" s="1185">
        <v>0</v>
      </c>
      <c r="Y24" s="330"/>
      <c r="Z24" s="330"/>
      <c r="AA24" s="330"/>
      <c r="AB24" s="330">
        <f t="shared" si="7"/>
        <v>0</v>
      </c>
      <c r="AC24" s="318">
        <v>1</v>
      </c>
      <c r="AD24" s="319">
        <v>1</v>
      </c>
      <c r="AE24" s="319">
        <f t="shared" si="8"/>
        <v>0</v>
      </c>
      <c r="AF24" s="319">
        <f t="shared" si="19"/>
        <v>0.2</v>
      </c>
      <c r="AG24" s="319">
        <f t="shared" si="20"/>
        <v>0.2</v>
      </c>
      <c r="AH24" s="319">
        <f t="shared" si="13"/>
        <v>0</v>
      </c>
      <c r="AI24" s="319">
        <f t="shared" si="21"/>
        <v>0.7407407407407407</v>
      </c>
      <c r="AJ24" s="319">
        <v>0.92592592592592593</v>
      </c>
      <c r="AK24" s="319">
        <f t="shared" si="9"/>
        <v>0.92592592592592593</v>
      </c>
      <c r="AL24" s="319">
        <f t="shared" si="22"/>
        <v>0.14814814814814814</v>
      </c>
      <c r="AM24" s="319">
        <f t="shared" si="23"/>
        <v>0.1851851851851852</v>
      </c>
      <c r="AN24" s="319">
        <f t="shared" si="11"/>
        <v>0.1851851851851852</v>
      </c>
      <c r="AO24" s="577" t="s">
        <v>1850</v>
      </c>
      <c r="AP24" s="579" t="s">
        <v>1901</v>
      </c>
      <c r="AQ24" s="308"/>
      <c r="AR24" s="897" t="s">
        <v>2289</v>
      </c>
      <c r="AS24" s="897" t="s">
        <v>2402</v>
      </c>
      <c r="AT24" s="897" t="s">
        <v>2436</v>
      </c>
      <c r="AU24" s="603" t="s">
        <v>2493</v>
      </c>
      <c r="AV24" s="603" t="s">
        <v>1893</v>
      </c>
    </row>
    <row r="25" spans="1:48" ht="145.19999999999999" customHeight="1" thickBot="1" x14ac:dyDescent="0.45">
      <c r="A25" s="302"/>
      <c r="B25" s="1459" t="s">
        <v>388</v>
      </c>
      <c r="C25" s="1460" t="s">
        <v>389</v>
      </c>
      <c r="D25" s="490" t="s">
        <v>357</v>
      </c>
      <c r="E25" s="310">
        <v>0.25</v>
      </c>
      <c r="F25" s="311">
        <v>4000</v>
      </c>
      <c r="G25" s="330">
        <v>1000</v>
      </c>
      <c r="H25" s="809">
        <v>1000</v>
      </c>
      <c r="I25" s="331">
        <v>1000</v>
      </c>
      <c r="J25" s="320">
        <f t="shared" si="17"/>
        <v>0.25</v>
      </c>
      <c r="K25" s="320">
        <f t="shared" si="10"/>
        <v>0.25</v>
      </c>
      <c r="L25" s="320">
        <f t="shared" si="14"/>
        <v>0.25</v>
      </c>
      <c r="M25" s="321">
        <f t="shared" si="18"/>
        <v>6.25E-2</v>
      </c>
      <c r="N25" s="321">
        <f t="shared" si="15"/>
        <v>6.25E-2</v>
      </c>
      <c r="O25" s="321"/>
      <c r="P25" s="316">
        <v>0</v>
      </c>
      <c r="Q25" s="580">
        <v>481</v>
      </c>
      <c r="R25" s="317">
        <v>171</v>
      </c>
      <c r="S25" s="317">
        <v>169</v>
      </c>
      <c r="T25" s="317">
        <v>0</v>
      </c>
      <c r="U25" s="317">
        <v>0</v>
      </c>
      <c r="V25" s="646">
        <f t="shared" si="24"/>
        <v>821</v>
      </c>
      <c r="W25" s="646">
        <f t="shared" si="25"/>
        <v>1749</v>
      </c>
      <c r="X25" s="1185">
        <v>928</v>
      </c>
      <c r="Y25" s="330"/>
      <c r="Z25" s="330"/>
      <c r="AA25" s="330"/>
      <c r="AB25" s="330">
        <f t="shared" si="7"/>
        <v>928</v>
      </c>
      <c r="AC25" s="318">
        <f>+(P25/G25)</f>
        <v>0</v>
      </c>
      <c r="AD25" s="319">
        <f>+V25/H25</f>
        <v>0.82099999999999995</v>
      </c>
      <c r="AE25" s="319">
        <f t="shared" si="8"/>
        <v>0.92800000000000005</v>
      </c>
      <c r="AF25" s="319">
        <f t="shared" si="19"/>
        <v>0</v>
      </c>
      <c r="AG25" s="319">
        <f t="shared" si="20"/>
        <v>0.20524999999999999</v>
      </c>
      <c r="AH25" s="319">
        <f t="shared" si="13"/>
        <v>0.23200000000000001</v>
      </c>
      <c r="AI25" s="319">
        <f t="shared" si="21"/>
        <v>0</v>
      </c>
      <c r="AJ25" s="319">
        <v>0.20524999999999999</v>
      </c>
      <c r="AK25" s="319">
        <f t="shared" si="9"/>
        <v>0.43725000000000003</v>
      </c>
      <c r="AL25" s="319">
        <f t="shared" si="22"/>
        <v>0</v>
      </c>
      <c r="AM25" s="319">
        <f t="shared" si="23"/>
        <v>5.1312499999999997E-2</v>
      </c>
      <c r="AN25" s="319">
        <f t="shared" si="11"/>
        <v>0.10931250000000001</v>
      </c>
      <c r="AO25" s="577" t="s">
        <v>1850</v>
      </c>
      <c r="AP25" s="579" t="s">
        <v>1901</v>
      </c>
      <c r="AQ25" s="579" t="s">
        <v>2264</v>
      </c>
      <c r="AR25" s="578" t="s">
        <v>2298</v>
      </c>
      <c r="AS25" s="897" t="s">
        <v>2402</v>
      </c>
      <c r="AT25" s="897" t="s">
        <v>2436</v>
      </c>
      <c r="AU25" s="578" t="s">
        <v>1975</v>
      </c>
      <c r="AV25" s="603" t="s">
        <v>1893</v>
      </c>
    </row>
    <row r="26" spans="1:48" ht="160.19999999999999" customHeight="1" thickBot="1" x14ac:dyDescent="0.45">
      <c r="A26" s="302"/>
      <c r="B26" s="1457" t="s">
        <v>390</v>
      </c>
      <c r="C26" s="1458" t="s">
        <v>391</v>
      </c>
      <c r="D26" s="490" t="s">
        <v>357</v>
      </c>
      <c r="E26" s="310">
        <v>0.2</v>
      </c>
      <c r="F26" s="311">
        <v>3690</v>
      </c>
      <c r="G26" s="330">
        <v>922</v>
      </c>
      <c r="H26" s="809">
        <v>1230</v>
      </c>
      <c r="I26" s="331">
        <v>920</v>
      </c>
      <c r="J26" s="320">
        <f t="shared" si="17"/>
        <v>0.24986449864498644</v>
      </c>
      <c r="K26" s="320">
        <f t="shared" si="10"/>
        <v>0.33333333333333331</v>
      </c>
      <c r="L26" s="320">
        <f t="shared" si="14"/>
        <v>0.24932249322493225</v>
      </c>
      <c r="M26" s="321">
        <f t="shared" si="18"/>
        <v>4.9972899728997294E-2</v>
      </c>
      <c r="N26" s="321">
        <f t="shared" si="15"/>
        <v>6.6666666666666666E-2</v>
      </c>
      <c r="O26" s="321"/>
      <c r="P26" s="316">
        <v>908</v>
      </c>
      <c r="Q26" s="580">
        <v>50</v>
      </c>
      <c r="R26" s="317">
        <v>372</v>
      </c>
      <c r="S26" s="317">
        <v>0</v>
      </c>
      <c r="T26" s="317">
        <v>0</v>
      </c>
      <c r="U26" s="317">
        <v>0</v>
      </c>
      <c r="V26" s="646">
        <f t="shared" si="24"/>
        <v>422</v>
      </c>
      <c r="W26" s="646">
        <f t="shared" si="25"/>
        <v>1647</v>
      </c>
      <c r="X26" s="1185">
        <v>317</v>
      </c>
      <c r="Y26" s="330"/>
      <c r="Z26" s="330"/>
      <c r="AA26" s="330"/>
      <c r="AB26" s="330">
        <f t="shared" si="7"/>
        <v>317</v>
      </c>
      <c r="AC26" s="318">
        <v>1</v>
      </c>
      <c r="AD26" s="319">
        <f t="shared" ref="AD26:AD27" si="26">+V26/H26</f>
        <v>0.34308943089430893</v>
      </c>
      <c r="AE26" s="319">
        <f t="shared" si="8"/>
        <v>0.34456521739130436</v>
      </c>
      <c r="AF26" s="319">
        <f t="shared" si="19"/>
        <v>0.2</v>
      </c>
      <c r="AG26" s="319">
        <f t="shared" si="20"/>
        <v>6.8617886178861789E-2</v>
      </c>
      <c r="AH26" s="319">
        <f t="shared" si="13"/>
        <v>6.8913043478260869E-2</v>
      </c>
      <c r="AI26" s="319">
        <f t="shared" si="21"/>
        <v>0.24607046070460706</v>
      </c>
      <c r="AJ26" s="319">
        <v>0.36043360433604338</v>
      </c>
      <c r="AK26" s="319">
        <f t="shared" si="9"/>
        <v>0.44634146341463415</v>
      </c>
      <c r="AL26" s="319">
        <f t="shared" si="22"/>
        <v>4.9214092140921414E-2</v>
      </c>
      <c r="AM26" s="319">
        <f t="shared" si="23"/>
        <v>7.2086720867208673E-2</v>
      </c>
      <c r="AN26" s="319">
        <f t="shared" si="11"/>
        <v>8.9268292682926839E-2</v>
      </c>
      <c r="AO26" s="577" t="s">
        <v>1850</v>
      </c>
      <c r="AP26" s="579" t="s">
        <v>1901</v>
      </c>
      <c r="AQ26" s="579" t="s">
        <v>2264</v>
      </c>
      <c r="AR26" s="578" t="s">
        <v>2299</v>
      </c>
      <c r="AS26" s="897" t="s">
        <v>2402</v>
      </c>
      <c r="AT26" s="897" t="s">
        <v>2436</v>
      </c>
      <c r="AU26" s="578" t="s">
        <v>1975</v>
      </c>
      <c r="AV26" s="603" t="s">
        <v>1893</v>
      </c>
    </row>
    <row r="27" spans="1:48" ht="122.4" customHeight="1" thickBot="1" x14ac:dyDescent="0.45">
      <c r="A27" s="302"/>
      <c r="B27" s="1459" t="s">
        <v>392</v>
      </c>
      <c r="C27" s="1460" t="s">
        <v>393</v>
      </c>
      <c r="D27" s="617" t="s">
        <v>357</v>
      </c>
      <c r="E27" s="310">
        <v>0.05</v>
      </c>
      <c r="F27" s="311">
        <v>8400</v>
      </c>
      <c r="G27" s="330">
        <v>400</v>
      </c>
      <c r="H27" s="809">
        <v>2700</v>
      </c>
      <c r="I27" s="331">
        <v>2700</v>
      </c>
      <c r="J27" s="320">
        <f t="shared" si="17"/>
        <v>4.7619047619047616E-2</v>
      </c>
      <c r="K27" s="320">
        <f t="shared" si="10"/>
        <v>0.32142857142857145</v>
      </c>
      <c r="L27" s="320">
        <f t="shared" si="14"/>
        <v>0.32142857142857145</v>
      </c>
      <c r="M27" s="321">
        <f t="shared" si="18"/>
        <v>2.3809523809523812E-3</v>
      </c>
      <c r="N27" s="321">
        <f t="shared" si="15"/>
        <v>1.6071428571428573E-2</v>
      </c>
      <c r="O27" s="321"/>
      <c r="P27" s="316">
        <v>400</v>
      </c>
      <c r="Q27" s="580">
        <v>0</v>
      </c>
      <c r="R27" s="317">
        <v>255</v>
      </c>
      <c r="S27" s="317">
        <v>55</v>
      </c>
      <c r="T27" s="317">
        <v>0</v>
      </c>
      <c r="U27" s="317"/>
      <c r="V27" s="646">
        <f t="shared" si="24"/>
        <v>310</v>
      </c>
      <c r="W27" s="646">
        <f t="shared" si="25"/>
        <v>816</v>
      </c>
      <c r="X27" s="1185">
        <v>106</v>
      </c>
      <c r="Y27" s="330"/>
      <c r="Z27" s="330"/>
      <c r="AA27" s="330"/>
      <c r="AB27" s="330">
        <f t="shared" si="7"/>
        <v>106</v>
      </c>
      <c r="AC27" s="318">
        <v>1</v>
      </c>
      <c r="AD27" s="319">
        <f t="shared" si="26"/>
        <v>0.11481481481481481</v>
      </c>
      <c r="AE27" s="319">
        <f t="shared" si="8"/>
        <v>3.9259259259259258E-2</v>
      </c>
      <c r="AF27" s="319">
        <f t="shared" si="19"/>
        <v>0.05</v>
      </c>
      <c r="AG27" s="319">
        <f t="shared" si="20"/>
        <v>5.7407407407407407E-3</v>
      </c>
      <c r="AH27" s="319">
        <f t="shared" si="13"/>
        <v>1.9629629629629628E-3</v>
      </c>
      <c r="AI27" s="319">
        <f t="shared" si="21"/>
        <v>4.7619047619047616E-2</v>
      </c>
      <c r="AJ27" s="319">
        <v>8.4523809523809529E-2</v>
      </c>
      <c r="AK27" s="319">
        <f t="shared" si="9"/>
        <v>9.7142857142857142E-2</v>
      </c>
      <c r="AL27" s="319">
        <f t="shared" si="22"/>
        <v>2.3809523809523812E-3</v>
      </c>
      <c r="AM27" s="319">
        <f t="shared" si="23"/>
        <v>4.2261904761904763E-3</v>
      </c>
      <c r="AN27" s="319">
        <f t="shared" si="11"/>
        <v>4.8571428571428576E-3</v>
      </c>
      <c r="AO27" s="577" t="s">
        <v>1850</v>
      </c>
      <c r="AP27" s="579" t="s">
        <v>1901</v>
      </c>
      <c r="AQ27" s="579" t="s">
        <v>2264</v>
      </c>
      <c r="AR27" s="897" t="s">
        <v>2289</v>
      </c>
      <c r="AS27" s="897" t="s">
        <v>2402</v>
      </c>
      <c r="AT27" s="897" t="s">
        <v>2436</v>
      </c>
      <c r="AU27" s="603" t="s">
        <v>2493</v>
      </c>
      <c r="AV27" s="603" t="s">
        <v>1893</v>
      </c>
    </row>
    <row r="28" spans="1:48" ht="122.4" customHeight="1" thickBot="1" x14ac:dyDescent="0.45">
      <c r="A28" s="302"/>
      <c r="B28" s="1457" t="s">
        <v>394</v>
      </c>
      <c r="C28" s="1461" t="s">
        <v>395</v>
      </c>
      <c r="D28" s="490" t="s">
        <v>357</v>
      </c>
      <c r="E28" s="310">
        <v>0.05</v>
      </c>
      <c r="F28" s="311">
        <v>50</v>
      </c>
      <c r="G28" s="330">
        <v>12</v>
      </c>
      <c r="H28" s="809">
        <v>12</v>
      </c>
      <c r="I28" s="331">
        <v>13</v>
      </c>
      <c r="J28" s="320">
        <f t="shared" si="17"/>
        <v>0.24</v>
      </c>
      <c r="K28" s="320">
        <f t="shared" si="10"/>
        <v>0.24</v>
      </c>
      <c r="L28" s="320">
        <f t="shared" si="14"/>
        <v>0.26</v>
      </c>
      <c r="M28" s="321">
        <f t="shared" si="18"/>
        <v>1.2E-2</v>
      </c>
      <c r="N28" s="321">
        <f t="shared" si="15"/>
        <v>1.2E-2</v>
      </c>
      <c r="O28" s="321"/>
      <c r="P28" s="316">
        <v>12</v>
      </c>
      <c r="Q28" s="580">
        <v>0</v>
      </c>
      <c r="R28" s="317">
        <v>12</v>
      </c>
      <c r="S28" s="317">
        <v>0</v>
      </c>
      <c r="T28" s="317">
        <v>0</v>
      </c>
      <c r="U28" s="317"/>
      <c r="V28" s="646">
        <f t="shared" si="24"/>
        <v>12</v>
      </c>
      <c r="W28" s="646">
        <f t="shared" si="25"/>
        <v>37</v>
      </c>
      <c r="X28" s="1185">
        <v>13</v>
      </c>
      <c r="Y28" s="330"/>
      <c r="Z28" s="330"/>
      <c r="AA28" s="330"/>
      <c r="AB28" s="330">
        <f t="shared" si="7"/>
        <v>13</v>
      </c>
      <c r="AC28" s="318">
        <v>1</v>
      </c>
      <c r="AD28" s="319">
        <f>+V28/H28</f>
        <v>1</v>
      </c>
      <c r="AE28" s="319">
        <f t="shared" si="8"/>
        <v>1</v>
      </c>
      <c r="AF28" s="319">
        <f t="shared" si="19"/>
        <v>0.05</v>
      </c>
      <c r="AG28" s="319">
        <f t="shared" si="20"/>
        <v>0.05</v>
      </c>
      <c r="AH28" s="319">
        <f t="shared" si="13"/>
        <v>0.05</v>
      </c>
      <c r="AI28" s="319">
        <f t="shared" si="21"/>
        <v>0.24</v>
      </c>
      <c r="AJ28" s="319">
        <v>0.48</v>
      </c>
      <c r="AK28" s="319">
        <f t="shared" si="9"/>
        <v>0.74</v>
      </c>
      <c r="AL28" s="319">
        <f t="shared" si="22"/>
        <v>1.2E-2</v>
      </c>
      <c r="AM28" s="319">
        <f t="shared" si="23"/>
        <v>2.4E-2</v>
      </c>
      <c r="AN28" s="319">
        <f t="shared" si="11"/>
        <v>3.6999999999999998E-2</v>
      </c>
      <c r="AO28" s="577" t="s">
        <v>1850</v>
      </c>
      <c r="AP28" s="579" t="s">
        <v>1901</v>
      </c>
      <c r="AQ28" s="308"/>
      <c r="AR28" s="897" t="s">
        <v>2289</v>
      </c>
      <c r="AS28" s="897" t="s">
        <v>2402</v>
      </c>
      <c r="AT28" s="897" t="s">
        <v>2436</v>
      </c>
      <c r="AU28" s="603" t="s">
        <v>2493</v>
      </c>
      <c r="AV28" s="603" t="s">
        <v>1893</v>
      </c>
    </row>
    <row r="29" spans="1:48" ht="122.4" customHeight="1" thickBot="1" x14ac:dyDescent="0.55000000000000004">
      <c r="A29" s="302"/>
      <c r="B29" s="1542" t="s">
        <v>1644</v>
      </c>
      <c r="C29" s="1543"/>
      <c r="D29" s="612"/>
      <c r="E29" s="307">
        <v>0.05</v>
      </c>
      <c r="F29" s="325"/>
      <c r="G29" s="326"/>
      <c r="H29" s="1077"/>
      <c r="I29" s="308"/>
      <c r="J29" s="327">
        <f>+AVERAGE(J30:J33)</f>
        <v>0.15707666719467767</v>
      </c>
      <c r="K29" s="327">
        <f>+AVERAGE(K30:K33)</f>
        <v>0.26624623792174879</v>
      </c>
      <c r="L29" s="327">
        <f>+AVERAGE(L30:L33)</f>
        <v>0.25778816199376947</v>
      </c>
      <c r="M29" s="328">
        <f>+M30+M31+M32+M33</f>
        <v>0.14557658799303025</v>
      </c>
      <c r="N29" s="328">
        <f>+N30+N31+N32+N33</f>
        <v>0.263632583557738</v>
      </c>
      <c r="O29" s="328"/>
      <c r="P29" s="316"/>
      <c r="Q29" s="329"/>
      <c r="R29" s="329"/>
      <c r="S29" s="329"/>
      <c r="T29" s="329"/>
      <c r="U29" s="964"/>
      <c r="V29" s="329"/>
      <c r="W29" s="329"/>
      <c r="X29" s="1087"/>
      <c r="Y29" s="1087"/>
      <c r="Z29" s="1087"/>
      <c r="AA29" s="1087"/>
      <c r="AB29" s="1087"/>
      <c r="AC29" s="521">
        <f>+AVERAGE(AC30:AC33)</f>
        <v>0.98</v>
      </c>
      <c r="AD29" s="521">
        <f>+AVERAGE(AD30:AD33)</f>
        <v>1</v>
      </c>
      <c r="AE29" s="521">
        <f>+AVERAGE(AE30:AE33)</f>
        <v>0.80629539951573848</v>
      </c>
      <c r="AF29" s="348">
        <f>+(AF30+AF31+AF32+AF33)*E29</f>
        <v>4.9200000000000008E-2</v>
      </c>
      <c r="AG29" s="348">
        <f>+(AG30+AG31+AG32+AG33)*E29</f>
        <v>0.05</v>
      </c>
      <c r="AH29" s="348">
        <f>+(AH30+AH31+AH32+AH33)*E29</f>
        <v>4.1743341404358363E-2</v>
      </c>
      <c r="AI29" s="309">
        <f>+AVERAGE(AI30:AI33)</f>
        <v>0.28525463329637252</v>
      </c>
      <c r="AJ29" s="309">
        <v>0.78257167749089174</v>
      </c>
      <c r="AK29" s="309">
        <f>+AVERAGE(AK30:AK33)</f>
        <v>0.89077102803738317</v>
      </c>
      <c r="AL29" s="309">
        <f>+(AL30+AL31+AL32+AL33)*E29</f>
        <v>1.4958914145414224E-2</v>
      </c>
      <c r="AM29" s="309">
        <f>+(AM30+AM31+AM32+AM33)</f>
        <v>0.80359971487406945</v>
      </c>
      <c r="AN29" s="309">
        <f>+(AN30+AN31+AN32+AN33)</f>
        <v>0.90011682242990654</v>
      </c>
      <c r="AO29" s="685"/>
      <c r="AP29" s="308"/>
      <c r="AQ29" s="308"/>
      <c r="AR29" s="308"/>
      <c r="AS29" s="308"/>
      <c r="AT29" s="898"/>
      <c r="AU29" s="895"/>
      <c r="AV29" s="898"/>
    </row>
    <row r="30" spans="1:48" ht="160.19999999999999" customHeight="1" thickBot="1" x14ac:dyDescent="0.45">
      <c r="A30" s="302"/>
      <c r="B30" s="1457" t="s">
        <v>396</v>
      </c>
      <c r="C30" s="1461" t="s">
        <v>397</v>
      </c>
      <c r="D30" s="618" t="s">
        <v>357</v>
      </c>
      <c r="E30" s="336">
        <v>0.25</v>
      </c>
      <c r="F30" s="311">
        <v>236</v>
      </c>
      <c r="G30" s="330">
        <v>10</v>
      </c>
      <c r="H30" s="809">
        <v>59</v>
      </c>
      <c r="I30" s="331">
        <v>59</v>
      </c>
      <c r="J30" s="320">
        <f>+G30/F30</f>
        <v>4.2372881355932202E-2</v>
      </c>
      <c r="K30" s="320">
        <f t="shared" si="10"/>
        <v>0.25</v>
      </c>
      <c r="L30" s="320">
        <f t="shared" si="14"/>
        <v>0.25</v>
      </c>
      <c r="M30" s="321">
        <f>+(G30/F30)*E30</f>
        <v>1.059322033898305E-2</v>
      </c>
      <c r="N30" s="321">
        <f t="shared" si="15"/>
        <v>6.25E-2</v>
      </c>
      <c r="O30" s="321"/>
      <c r="P30" s="316">
        <v>71</v>
      </c>
      <c r="Q30" s="580">
        <v>59</v>
      </c>
      <c r="R30" s="317">
        <v>0</v>
      </c>
      <c r="S30" s="317">
        <v>0</v>
      </c>
      <c r="T30" s="317">
        <v>0</v>
      </c>
      <c r="U30" s="317">
        <v>0</v>
      </c>
      <c r="V30" s="646">
        <f>+Q30+R30+S30+T30+U30</f>
        <v>59</v>
      </c>
      <c r="W30" s="646">
        <f>+V30+P30+AB30</f>
        <v>177</v>
      </c>
      <c r="X30" s="1194">
        <v>47</v>
      </c>
      <c r="Y30" s="1090"/>
      <c r="Z30" s="1090"/>
      <c r="AA30" s="1090"/>
      <c r="AB30" s="1090">
        <f t="shared" si="7"/>
        <v>47</v>
      </c>
      <c r="AC30" s="318">
        <v>1</v>
      </c>
      <c r="AD30" s="319">
        <f>+V30/H30</f>
        <v>1</v>
      </c>
      <c r="AE30" s="319">
        <f t="shared" si="8"/>
        <v>0.79661016949152541</v>
      </c>
      <c r="AF30" s="319">
        <f>+AC30*E30</f>
        <v>0.25</v>
      </c>
      <c r="AG30" s="319">
        <f>+AD30*E30</f>
        <v>0.25</v>
      </c>
      <c r="AH30" s="319">
        <f>+AE30*E30</f>
        <v>0.19915254237288135</v>
      </c>
      <c r="AI30" s="319">
        <f>+P30/F30</f>
        <v>0.30084745762711862</v>
      </c>
      <c r="AJ30" s="319">
        <v>0.55084745762711862</v>
      </c>
      <c r="AK30" s="319">
        <f t="shared" si="9"/>
        <v>0.75</v>
      </c>
      <c r="AL30" s="319">
        <f>+AI30*E30</f>
        <v>7.5211864406779655E-2</v>
      </c>
      <c r="AM30" s="319">
        <f>+AJ30*E30</f>
        <v>0.13771186440677965</v>
      </c>
      <c r="AN30" s="319">
        <f t="shared" si="11"/>
        <v>0.1875</v>
      </c>
      <c r="AO30" s="577" t="s">
        <v>1850</v>
      </c>
      <c r="AP30" s="579" t="s">
        <v>1901</v>
      </c>
      <c r="AQ30" s="579" t="s">
        <v>2264</v>
      </c>
      <c r="AR30" s="897" t="s">
        <v>2289</v>
      </c>
      <c r="AS30" s="897" t="s">
        <v>2402</v>
      </c>
      <c r="AT30" s="897" t="s">
        <v>2436</v>
      </c>
      <c r="AU30" s="603" t="s">
        <v>2493</v>
      </c>
      <c r="AV30" s="603" t="s">
        <v>1893</v>
      </c>
    </row>
    <row r="31" spans="1:48" ht="142.19999999999999" customHeight="1" thickBot="1" x14ac:dyDescent="0.45">
      <c r="A31" s="302"/>
      <c r="B31" s="1457" t="s">
        <v>398</v>
      </c>
      <c r="C31" s="1461" t="s">
        <v>399</v>
      </c>
      <c r="D31" s="618" t="s">
        <v>357</v>
      </c>
      <c r="E31" s="336">
        <v>0.35</v>
      </c>
      <c r="F31" s="311">
        <v>59</v>
      </c>
      <c r="G31" s="330">
        <v>7</v>
      </c>
      <c r="H31" s="809">
        <v>15</v>
      </c>
      <c r="I31" s="331">
        <v>15</v>
      </c>
      <c r="J31" s="320">
        <f>+G31/F31</f>
        <v>0.11864406779661017</v>
      </c>
      <c r="K31" s="320">
        <f t="shared" si="10"/>
        <v>0.25423728813559321</v>
      </c>
      <c r="L31" s="320"/>
      <c r="M31" s="321">
        <f>+(G31/F31)*E31</f>
        <v>4.1525423728813557E-2</v>
      </c>
      <c r="N31" s="321">
        <f t="shared" si="15"/>
        <v>8.8983050847457612E-2</v>
      </c>
      <c r="O31" s="321"/>
      <c r="P31" s="316">
        <v>22</v>
      </c>
      <c r="Q31" s="580">
        <v>0</v>
      </c>
      <c r="R31" s="317">
        <v>15</v>
      </c>
      <c r="S31" s="317">
        <v>8</v>
      </c>
      <c r="T31" s="317">
        <v>0</v>
      </c>
      <c r="U31" s="317">
        <v>23</v>
      </c>
      <c r="V31" s="646">
        <f t="shared" ref="V31:V33" si="27">+Q31+R31+S31+T31+U31</f>
        <v>46</v>
      </c>
      <c r="W31" s="646">
        <f t="shared" ref="W31:W33" si="28">+V31+P31+AB31</f>
        <v>84</v>
      </c>
      <c r="X31" s="1185">
        <v>16</v>
      </c>
      <c r="Y31" s="330"/>
      <c r="Z31" s="330"/>
      <c r="AA31" s="330"/>
      <c r="AB31" s="330">
        <f t="shared" si="7"/>
        <v>16</v>
      </c>
      <c r="AC31" s="318">
        <v>1</v>
      </c>
      <c r="AD31" s="319">
        <v>1</v>
      </c>
      <c r="AE31" s="319">
        <v>1</v>
      </c>
      <c r="AF31" s="319">
        <f>+AC31*E31</f>
        <v>0.35</v>
      </c>
      <c r="AG31" s="319">
        <f>+AD31*E31</f>
        <v>0.35</v>
      </c>
      <c r="AH31" s="319">
        <f t="shared" si="13"/>
        <v>0.35</v>
      </c>
      <c r="AI31" s="319">
        <f>+P31/F31</f>
        <v>0.3728813559322034</v>
      </c>
      <c r="AJ31" s="319">
        <v>1</v>
      </c>
      <c r="AK31" s="319">
        <v>1</v>
      </c>
      <c r="AL31" s="319">
        <f>+AI31*E31</f>
        <v>0.13050847457627118</v>
      </c>
      <c r="AM31" s="319">
        <f>+AJ31*E31</f>
        <v>0.35</v>
      </c>
      <c r="AN31" s="319">
        <f t="shared" si="11"/>
        <v>0.35</v>
      </c>
      <c r="AO31" s="577" t="s">
        <v>1850</v>
      </c>
      <c r="AP31" s="579" t="s">
        <v>1901</v>
      </c>
      <c r="AQ31" s="308"/>
      <c r="AR31" s="897" t="s">
        <v>2289</v>
      </c>
      <c r="AS31" s="897" t="s">
        <v>2402</v>
      </c>
      <c r="AT31" s="578" t="s">
        <v>1865</v>
      </c>
      <c r="AU31" s="578" t="s">
        <v>1865</v>
      </c>
      <c r="AV31" s="603" t="s">
        <v>1893</v>
      </c>
    </row>
    <row r="32" spans="1:48" ht="122.4" customHeight="1" thickBot="1" x14ac:dyDescent="0.45">
      <c r="A32" s="302"/>
      <c r="B32" s="1457" t="s">
        <v>400</v>
      </c>
      <c r="C32" s="1461" t="s">
        <v>401</v>
      </c>
      <c r="D32" s="618" t="s">
        <v>357</v>
      </c>
      <c r="E32" s="336">
        <v>0.2</v>
      </c>
      <c r="F32" s="311">
        <v>107</v>
      </c>
      <c r="G32" s="330">
        <v>25</v>
      </c>
      <c r="H32" s="809">
        <v>30</v>
      </c>
      <c r="I32" s="331">
        <v>28</v>
      </c>
      <c r="J32" s="320">
        <f>+G32/F32</f>
        <v>0.23364485981308411</v>
      </c>
      <c r="K32" s="320">
        <f t="shared" si="10"/>
        <v>0.28037383177570091</v>
      </c>
      <c r="L32" s="320">
        <f t="shared" si="14"/>
        <v>0.26168224299065418</v>
      </c>
      <c r="M32" s="321">
        <f>+(G32/F32)*E32</f>
        <v>4.6728971962616828E-2</v>
      </c>
      <c r="N32" s="321">
        <f t="shared" si="15"/>
        <v>5.6074766355140186E-2</v>
      </c>
      <c r="O32" s="321"/>
      <c r="P32" s="335">
        <v>27</v>
      </c>
      <c r="Q32" s="580">
        <v>21</v>
      </c>
      <c r="R32" s="317">
        <v>30</v>
      </c>
      <c r="S32" s="317">
        <v>7</v>
      </c>
      <c r="T32" s="317">
        <v>12</v>
      </c>
      <c r="U32" s="317">
        <v>0</v>
      </c>
      <c r="V32" s="646">
        <f t="shared" si="27"/>
        <v>70</v>
      </c>
      <c r="W32" s="646">
        <f t="shared" si="28"/>
        <v>122</v>
      </c>
      <c r="X32" s="1185">
        <v>25</v>
      </c>
      <c r="Y32" s="1089"/>
      <c r="Z32" s="1089"/>
      <c r="AA32" s="1089"/>
      <c r="AB32" s="1089">
        <f t="shared" si="7"/>
        <v>25</v>
      </c>
      <c r="AC32" s="318">
        <v>1</v>
      </c>
      <c r="AD32" s="319">
        <v>1</v>
      </c>
      <c r="AE32" s="319">
        <f t="shared" si="8"/>
        <v>0.8928571428571429</v>
      </c>
      <c r="AF32" s="319">
        <f>+AC32*E32</f>
        <v>0.2</v>
      </c>
      <c r="AG32" s="319">
        <f>+AD32*E32</f>
        <v>0.2</v>
      </c>
      <c r="AH32" s="319">
        <f t="shared" si="13"/>
        <v>0.1785714285714286</v>
      </c>
      <c r="AI32" s="319">
        <f>+P32/F32</f>
        <v>0.25233644859813081</v>
      </c>
      <c r="AJ32" s="319">
        <v>0.90654205607476634</v>
      </c>
      <c r="AK32" s="319">
        <v>1</v>
      </c>
      <c r="AL32" s="319">
        <f>+AI32*E32</f>
        <v>5.0467289719626163E-2</v>
      </c>
      <c r="AM32" s="319">
        <f>+AJ32*E32</f>
        <v>0.18130841121495328</v>
      </c>
      <c r="AN32" s="319">
        <f t="shared" si="11"/>
        <v>0.2</v>
      </c>
      <c r="AO32" s="577" t="s">
        <v>1850</v>
      </c>
      <c r="AP32" s="579" t="s">
        <v>1901</v>
      </c>
      <c r="AQ32" s="308"/>
      <c r="AR32" s="897" t="s">
        <v>2289</v>
      </c>
      <c r="AS32" s="897" t="s">
        <v>2402</v>
      </c>
      <c r="AT32" s="897" t="s">
        <v>2436</v>
      </c>
      <c r="AU32" s="603" t="s">
        <v>2493</v>
      </c>
      <c r="AV32" s="603" t="s">
        <v>1893</v>
      </c>
    </row>
    <row r="33" spans="1:48" ht="164.4" customHeight="1" thickBot="1" x14ac:dyDescent="0.45">
      <c r="A33" s="302"/>
      <c r="B33" s="1457" t="s">
        <v>402</v>
      </c>
      <c r="C33" s="1461" t="s">
        <v>403</v>
      </c>
      <c r="D33" s="618" t="s">
        <v>357</v>
      </c>
      <c r="E33" s="336">
        <v>0.2</v>
      </c>
      <c r="F33" s="311">
        <v>107</v>
      </c>
      <c r="G33" s="330">
        <v>25</v>
      </c>
      <c r="H33" s="809">
        <v>30</v>
      </c>
      <c r="I33" s="331">
        <v>28</v>
      </c>
      <c r="J33" s="320">
        <f>+G33/F33</f>
        <v>0.23364485981308411</v>
      </c>
      <c r="K33" s="320">
        <f t="shared" si="10"/>
        <v>0.28037383177570091</v>
      </c>
      <c r="L33" s="320">
        <f t="shared" si="14"/>
        <v>0.26168224299065418</v>
      </c>
      <c r="M33" s="321">
        <f>+(G33/F33)*E33</f>
        <v>4.6728971962616828E-2</v>
      </c>
      <c r="N33" s="321">
        <f t="shared" si="15"/>
        <v>5.6074766355140186E-2</v>
      </c>
      <c r="O33" s="321"/>
      <c r="P33" s="335">
        <v>23</v>
      </c>
      <c r="Q33" s="580">
        <v>0</v>
      </c>
      <c r="R33" s="317">
        <v>30</v>
      </c>
      <c r="S33" s="317">
        <v>7</v>
      </c>
      <c r="T33" s="317">
        <v>12</v>
      </c>
      <c r="U33" s="317">
        <v>0</v>
      </c>
      <c r="V33" s="646">
        <f t="shared" si="27"/>
        <v>49</v>
      </c>
      <c r="W33" s="646">
        <f t="shared" si="28"/>
        <v>87</v>
      </c>
      <c r="X33" s="1185">
        <v>15</v>
      </c>
      <c r="Y33" s="1089"/>
      <c r="Z33" s="1089"/>
      <c r="AA33" s="1089"/>
      <c r="AB33" s="1089">
        <f t="shared" si="7"/>
        <v>15</v>
      </c>
      <c r="AC33" s="318">
        <f>+P33/G33</f>
        <v>0.92</v>
      </c>
      <c r="AD33" s="319">
        <v>1</v>
      </c>
      <c r="AE33" s="319">
        <f t="shared" si="8"/>
        <v>0.5357142857142857</v>
      </c>
      <c r="AF33" s="319">
        <f>+AC33*E33</f>
        <v>0.18400000000000002</v>
      </c>
      <c r="AG33" s="319">
        <f>+AD33*E33</f>
        <v>0.2</v>
      </c>
      <c r="AH33" s="319">
        <f t="shared" si="13"/>
        <v>0.10714285714285715</v>
      </c>
      <c r="AI33" s="319">
        <f>+P33/F33</f>
        <v>0.21495327102803738</v>
      </c>
      <c r="AJ33" s="319">
        <v>0.67289719626168221</v>
      </c>
      <c r="AK33" s="319">
        <f t="shared" si="9"/>
        <v>0.81308411214953269</v>
      </c>
      <c r="AL33" s="319">
        <f>+AI33*E33</f>
        <v>4.2990654205607479E-2</v>
      </c>
      <c r="AM33" s="319">
        <f>+AJ33*E33</f>
        <v>0.13457943925233645</v>
      </c>
      <c r="AN33" s="319">
        <f t="shared" si="11"/>
        <v>0.16261682242990655</v>
      </c>
      <c r="AO33" s="577" t="s">
        <v>1850</v>
      </c>
      <c r="AP33" s="579" t="s">
        <v>1901</v>
      </c>
      <c r="AQ33" s="579" t="s">
        <v>2264</v>
      </c>
      <c r="AR33" s="897" t="s">
        <v>2289</v>
      </c>
      <c r="AS33" s="897" t="s">
        <v>2402</v>
      </c>
      <c r="AT33" s="897" t="s">
        <v>2436</v>
      </c>
      <c r="AU33" s="603" t="s">
        <v>2493</v>
      </c>
      <c r="AV33" s="603" t="s">
        <v>1893</v>
      </c>
    </row>
    <row r="34" spans="1:48" ht="122.4" customHeight="1" thickBot="1" x14ac:dyDescent="0.55000000000000004">
      <c r="A34" s="302"/>
      <c r="B34" s="1544" t="s">
        <v>1645</v>
      </c>
      <c r="C34" s="1545"/>
      <c r="D34" s="490"/>
      <c r="E34" s="307">
        <v>0.02</v>
      </c>
      <c r="F34" s="325"/>
      <c r="G34" s="326"/>
      <c r="H34" s="1077"/>
      <c r="I34" s="308"/>
      <c r="J34" s="327">
        <f>+AVERAGE(J35:J38)</f>
        <v>0.44396853146853149</v>
      </c>
      <c r="K34" s="327">
        <f>+AVERAGE(K35:K38)</f>
        <v>0.2717074592074592</v>
      </c>
      <c r="L34" s="327">
        <f>+AVERAGE(L35:L38)/2</f>
        <v>0.12613636363636363</v>
      </c>
      <c r="M34" s="328">
        <f>+M35+M36+M37+M38</f>
        <v>0.55517482517482519</v>
      </c>
      <c r="N34" s="328">
        <f>+N35+N36+N37+N38</f>
        <v>0.28403263403263401</v>
      </c>
      <c r="O34" s="328"/>
      <c r="P34" s="316"/>
      <c r="Q34" s="329"/>
      <c r="R34" s="329"/>
      <c r="S34" s="329"/>
      <c r="T34" s="329"/>
      <c r="U34" s="964"/>
      <c r="V34" s="329"/>
      <c r="W34" s="329"/>
      <c r="X34" s="1087"/>
      <c r="Y34" s="1087"/>
      <c r="Z34" s="1087"/>
      <c r="AA34" s="1087"/>
      <c r="AB34" s="1087"/>
      <c r="AC34" s="521">
        <f>+AVERAGE(AC35:AC38)</f>
        <v>0.28083333333333332</v>
      </c>
      <c r="AD34" s="521">
        <f>+AVERAGE(AD35:AD38)</f>
        <v>0.96666666666666667</v>
      </c>
      <c r="AE34" s="521">
        <f>+AVERAGE(AE35:AE38)</f>
        <v>0.33333333333333331</v>
      </c>
      <c r="AF34" s="348">
        <f>+(AF35+AF36+AF37+AF38)*E34</f>
        <v>5.8266666666666666E-3</v>
      </c>
      <c r="AG34" s="348">
        <f>+(AG35+AG36+AG37+AG38)*E34</f>
        <v>1.9466666666666667E-2</v>
      </c>
      <c r="AH34" s="348">
        <f>+(AH35+AH36+AH37+AH38)*E34</f>
        <v>9.3333333333333341E-3</v>
      </c>
      <c r="AI34" s="309">
        <f>+AVERAGE(AI35:AI38)</f>
        <v>0.14352564102564103</v>
      </c>
      <c r="AJ34" s="309">
        <v>0.64242424242424245</v>
      </c>
      <c r="AK34" s="309">
        <f>+AVERAGE(AK35:AK38)</f>
        <v>0.64242424242424245</v>
      </c>
      <c r="AL34" s="309">
        <f>+(AL35+AL36+AL37+AL38)*E34</f>
        <v>3.6297435897435898E-3</v>
      </c>
      <c r="AM34" s="309">
        <f>+(AM35+AM36+AM37+AM38)</f>
        <v>0.71393939393939398</v>
      </c>
      <c r="AN34" s="309">
        <f>+(AN35+AN36+AN37+AN38)</f>
        <v>0.71393939393939398</v>
      </c>
      <c r="AO34" s="685"/>
      <c r="AP34" s="308"/>
      <c r="AQ34" s="308"/>
      <c r="AR34" s="308"/>
      <c r="AS34" s="308"/>
      <c r="AT34" s="898"/>
      <c r="AU34" s="895"/>
      <c r="AV34" s="898"/>
    </row>
    <row r="35" spans="1:48" ht="248.4" customHeight="1" thickBot="1" x14ac:dyDescent="0.45">
      <c r="A35" s="302"/>
      <c r="B35" s="1457" t="s">
        <v>404</v>
      </c>
      <c r="C35" s="1458" t="s">
        <v>405</v>
      </c>
      <c r="D35" s="490" t="s">
        <v>357</v>
      </c>
      <c r="E35" s="310">
        <v>0.2</v>
      </c>
      <c r="F35" s="311">
        <v>13</v>
      </c>
      <c r="G35" s="330">
        <v>4</v>
      </c>
      <c r="H35" s="809">
        <v>3</v>
      </c>
      <c r="I35" s="331">
        <v>3</v>
      </c>
      <c r="J35" s="320">
        <f>+G35/F35</f>
        <v>0.30769230769230771</v>
      </c>
      <c r="K35" s="320">
        <f t="shared" si="10"/>
        <v>0.23076923076923078</v>
      </c>
      <c r="L35" s="320"/>
      <c r="M35" s="321">
        <f>+(G35/F35)*E35</f>
        <v>6.1538461538461542E-2</v>
      </c>
      <c r="N35" s="321">
        <f t="shared" si="15"/>
        <v>4.6153846153846156E-2</v>
      </c>
      <c r="O35" s="321"/>
      <c r="P35" s="316">
        <v>3</v>
      </c>
      <c r="Q35" s="580">
        <v>0</v>
      </c>
      <c r="R35" s="317">
        <v>3</v>
      </c>
      <c r="S35" s="317">
        <v>6</v>
      </c>
      <c r="T35" s="317">
        <v>2</v>
      </c>
      <c r="U35" s="317">
        <v>0</v>
      </c>
      <c r="V35" s="646">
        <f>+Q35+R35+S35+T35+U35</f>
        <v>11</v>
      </c>
      <c r="W35" s="646">
        <f>+V35+P35+AB35</f>
        <v>15</v>
      </c>
      <c r="X35" s="330">
        <v>1</v>
      </c>
      <c r="Y35" s="330"/>
      <c r="Z35" s="330"/>
      <c r="AA35" s="330"/>
      <c r="AB35" s="330">
        <f t="shared" si="7"/>
        <v>1</v>
      </c>
      <c r="AC35" s="318">
        <f>+P35/G35</f>
        <v>0.75</v>
      </c>
      <c r="AD35" s="319">
        <v>1</v>
      </c>
      <c r="AE35" s="319">
        <f t="shared" si="8"/>
        <v>0.33333333333333331</v>
      </c>
      <c r="AF35" s="319">
        <f>+AC35*E35</f>
        <v>0.15000000000000002</v>
      </c>
      <c r="AG35" s="319">
        <f>+AD35*E35</f>
        <v>0.2</v>
      </c>
      <c r="AH35" s="319">
        <f t="shared" si="13"/>
        <v>6.6666666666666666E-2</v>
      </c>
      <c r="AI35" s="319">
        <f>+P35/F35</f>
        <v>0.23076923076923078</v>
      </c>
      <c r="AJ35" s="319">
        <v>1</v>
      </c>
      <c r="AK35" s="319">
        <v>1</v>
      </c>
      <c r="AL35" s="319">
        <f>+AI35*E35</f>
        <v>4.6153846153846156E-2</v>
      </c>
      <c r="AM35" s="319">
        <f>+AJ35*E35</f>
        <v>0.2</v>
      </c>
      <c r="AN35" s="319">
        <f t="shared" si="11"/>
        <v>0.2</v>
      </c>
      <c r="AO35" s="577" t="s">
        <v>1850</v>
      </c>
      <c r="AP35" s="579" t="s">
        <v>1901</v>
      </c>
      <c r="AQ35" s="579" t="s">
        <v>2264</v>
      </c>
      <c r="AR35" s="897" t="s">
        <v>2289</v>
      </c>
      <c r="AS35" s="897" t="s">
        <v>2402</v>
      </c>
      <c r="AT35" s="897" t="s">
        <v>2436</v>
      </c>
      <c r="AU35" s="603" t="s">
        <v>2493</v>
      </c>
      <c r="AV35" s="603" t="s">
        <v>1893</v>
      </c>
    </row>
    <row r="36" spans="1:48" ht="122.4" customHeight="1" thickBot="1" x14ac:dyDescent="0.45">
      <c r="A36" s="302"/>
      <c r="B36" s="1457" t="s">
        <v>406</v>
      </c>
      <c r="C36" s="1458" t="s">
        <v>407</v>
      </c>
      <c r="D36" s="490" t="s">
        <v>357</v>
      </c>
      <c r="E36" s="310">
        <v>0.4</v>
      </c>
      <c r="F36" s="311">
        <v>6</v>
      </c>
      <c r="G36" s="330">
        <v>6</v>
      </c>
      <c r="H36" s="809">
        <v>2</v>
      </c>
      <c r="I36" s="331">
        <v>2</v>
      </c>
      <c r="J36" s="320">
        <f>+G36/F36</f>
        <v>1</v>
      </c>
      <c r="K36" s="320">
        <f t="shared" si="10"/>
        <v>0.33333333333333331</v>
      </c>
      <c r="L36" s="320"/>
      <c r="M36" s="321">
        <f>+(G36/F36)*E36</f>
        <v>0.4</v>
      </c>
      <c r="N36" s="321">
        <f t="shared" si="15"/>
        <v>0.13333333333333333</v>
      </c>
      <c r="O36" s="321"/>
      <c r="P36" s="316">
        <v>2</v>
      </c>
      <c r="Q36" s="580">
        <v>0</v>
      </c>
      <c r="R36" s="317">
        <v>1</v>
      </c>
      <c r="S36" s="317">
        <v>4</v>
      </c>
      <c r="T36" s="317">
        <v>0</v>
      </c>
      <c r="U36" s="317">
        <v>0</v>
      </c>
      <c r="V36" s="646">
        <f t="shared" ref="V36:V37" si="29">+Q36+R36+S36+T36+U36</f>
        <v>5</v>
      </c>
      <c r="W36" s="646">
        <f t="shared" ref="W36:W38" si="30">+V36+P36+AB36</f>
        <v>10</v>
      </c>
      <c r="X36" s="330">
        <v>3</v>
      </c>
      <c r="Y36" s="330"/>
      <c r="Z36" s="330"/>
      <c r="AA36" s="330"/>
      <c r="AB36" s="330">
        <f t="shared" si="7"/>
        <v>3</v>
      </c>
      <c r="AC36" s="318">
        <f>+(P36/G36)</f>
        <v>0.33333333333333331</v>
      </c>
      <c r="AD36" s="319">
        <v>1</v>
      </c>
      <c r="AE36" s="319">
        <v>1</v>
      </c>
      <c r="AF36" s="319">
        <f>+AC36*E36</f>
        <v>0.13333333333333333</v>
      </c>
      <c r="AG36" s="319">
        <f>+AD36*E36</f>
        <v>0.4</v>
      </c>
      <c r="AH36" s="319">
        <f t="shared" si="13"/>
        <v>0.4</v>
      </c>
      <c r="AI36" s="319">
        <f>+P36/F36</f>
        <v>0.33333333333333331</v>
      </c>
      <c r="AJ36" s="319">
        <v>1</v>
      </c>
      <c r="AK36" s="319">
        <v>1</v>
      </c>
      <c r="AL36" s="319">
        <f>+AI36*E36</f>
        <v>0.13333333333333333</v>
      </c>
      <c r="AM36" s="319">
        <f>+AJ36*E36</f>
        <v>0.4</v>
      </c>
      <c r="AN36" s="319">
        <f t="shared" si="11"/>
        <v>0.4</v>
      </c>
      <c r="AO36" s="577" t="s">
        <v>1850</v>
      </c>
      <c r="AP36" s="579" t="s">
        <v>1901</v>
      </c>
      <c r="AQ36" s="579" t="s">
        <v>2264</v>
      </c>
      <c r="AR36" s="897" t="s">
        <v>2289</v>
      </c>
      <c r="AS36" s="897" t="s">
        <v>2402</v>
      </c>
      <c r="AT36" s="897" t="s">
        <v>2436</v>
      </c>
      <c r="AU36" s="603" t="s">
        <v>2493</v>
      </c>
      <c r="AV36" s="603" t="s">
        <v>1893</v>
      </c>
    </row>
    <row r="37" spans="1:48" ht="166.2" customHeight="1" thickBot="1" x14ac:dyDescent="0.45">
      <c r="A37" s="302"/>
      <c r="B37" s="1457" t="s">
        <v>408</v>
      </c>
      <c r="C37" s="1458" t="s">
        <v>409</v>
      </c>
      <c r="D37" s="490" t="s">
        <v>357</v>
      </c>
      <c r="E37" s="310">
        <v>0.2</v>
      </c>
      <c r="F37" s="311">
        <v>55</v>
      </c>
      <c r="G37" s="330">
        <v>12</v>
      </c>
      <c r="H37" s="809">
        <v>15</v>
      </c>
      <c r="I37" s="331">
        <v>14</v>
      </c>
      <c r="J37" s="320">
        <f>+G37/F37</f>
        <v>0.21818181818181817</v>
      </c>
      <c r="K37" s="320">
        <f t="shared" si="10"/>
        <v>0.27272727272727271</v>
      </c>
      <c r="L37" s="320">
        <f t="shared" si="14"/>
        <v>0.25454545454545452</v>
      </c>
      <c r="M37" s="321">
        <f>+(G37/F37)*E37</f>
        <v>4.363636363636364E-2</v>
      </c>
      <c r="N37" s="321">
        <f t="shared" si="15"/>
        <v>5.4545454545454543E-2</v>
      </c>
      <c r="O37" s="321"/>
      <c r="P37" s="316">
        <v>0</v>
      </c>
      <c r="Q37" s="580">
        <v>0</v>
      </c>
      <c r="R37" s="317">
        <v>0</v>
      </c>
      <c r="S37" s="317">
        <v>13</v>
      </c>
      <c r="T37" s="317">
        <v>0</v>
      </c>
      <c r="U37" s="317">
        <v>0</v>
      </c>
      <c r="V37" s="646">
        <f t="shared" si="29"/>
        <v>13</v>
      </c>
      <c r="W37" s="646">
        <f t="shared" si="30"/>
        <v>13</v>
      </c>
      <c r="X37" s="330">
        <v>0</v>
      </c>
      <c r="Y37" s="330"/>
      <c r="Z37" s="330"/>
      <c r="AA37" s="330"/>
      <c r="AB37" s="330">
        <f t="shared" si="7"/>
        <v>0</v>
      </c>
      <c r="AC37" s="318">
        <f>+(P37/G37)</f>
        <v>0</v>
      </c>
      <c r="AD37" s="319">
        <f>+V37/H37</f>
        <v>0.8666666666666667</v>
      </c>
      <c r="AE37" s="319">
        <f t="shared" si="8"/>
        <v>0</v>
      </c>
      <c r="AF37" s="319">
        <f>+AC37*E37</f>
        <v>0</v>
      </c>
      <c r="AG37" s="319">
        <f>+AD37*E37</f>
        <v>0.17333333333333334</v>
      </c>
      <c r="AH37" s="319">
        <f t="shared" si="13"/>
        <v>0</v>
      </c>
      <c r="AI37" s="319">
        <f>+P37/F37</f>
        <v>0</v>
      </c>
      <c r="AJ37" s="319">
        <v>0.23636363636363636</v>
      </c>
      <c r="AK37" s="319">
        <f t="shared" si="9"/>
        <v>0.23636363636363636</v>
      </c>
      <c r="AL37" s="319">
        <f>+AI37*E37</f>
        <v>0</v>
      </c>
      <c r="AM37" s="319">
        <f>+AJ37*E37</f>
        <v>4.7272727272727272E-2</v>
      </c>
      <c r="AN37" s="319">
        <f t="shared" si="11"/>
        <v>4.7272727272727272E-2</v>
      </c>
      <c r="AO37" s="577" t="s">
        <v>1850</v>
      </c>
      <c r="AP37" s="579" t="s">
        <v>1901</v>
      </c>
      <c r="AQ37" s="579" t="s">
        <v>2264</v>
      </c>
      <c r="AR37" s="897" t="s">
        <v>2289</v>
      </c>
      <c r="AS37" s="897" t="s">
        <v>2402</v>
      </c>
      <c r="AT37" s="578" t="s">
        <v>1865</v>
      </c>
      <c r="AU37" s="603" t="s">
        <v>2493</v>
      </c>
      <c r="AV37" s="603" t="s">
        <v>1893</v>
      </c>
    </row>
    <row r="38" spans="1:48" ht="122.4" customHeight="1" thickBot="1" x14ac:dyDescent="0.45">
      <c r="A38" s="302"/>
      <c r="B38" s="1457" t="s">
        <v>410</v>
      </c>
      <c r="C38" s="1458" t="s">
        <v>411</v>
      </c>
      <c r="D38" s="490" t="s">
        <v>357</v>
      </c>
      <c r="E38" s="310">
        <v>0.2</v>
      </c>
      <c r="F38" s="311">
        <v>600</v>
      </c>
      <c r="G38" s="330">
        <v>150</v>
      </c>
      <c r="H38" s="809">
        <v>150</v>
      </c>
      <c r="I38" s="331">
        <v>150</v>
      </c>
      <c r="J38" s="320">
        <f>+G38/F38</f>
        <v>0.25</v>
      </c>
      <c r="K38" s="320">
        <f t="shared" si="10"/>
        <v>0.25</v>
      </c>
      <c r="L38" s="320">
        <f t="shared" si="14"/>
        <v>0.25</v>
      </c>
      <c r="M38" s="321">
        <f>+(G38/F38)*E38</f>
        <v>0.05</v>
      </c>
      <c r="N38" s="321">
        <f t="shared" si="15"/>
        <v>0.05</v>
      </c>
      <c r="O38" s="321"/>
      <c r="P38" s="316">
        <v>6</v>
      </c>
      <c r="Q38" s="580">
        <v>0</v>
      </c>
      <c r="R38" s="317">
        <v>0</v>
      </c>
      <c r="S38" s="317">
        <v>179</v>
      </c>
      <c r="T38" s="317">
        <v>0</v>
      </c>
      <c r="U38" s="317">
        <v>194</v>
      </c>
      <c r="V38" s="646">
        <f>+T38+U38</f>
        <v>194</v>
      </c>
      <c r="W38" s="646">
        <f t="shared" si="30"/>
        <v>200</v>
      </c>
      <c r="X38" s="1090">
        <v>0</v>
      </c>
      <c r="Y38" s="1090"/>
      <c r="Z38" s="1090"/>
      <c r="AA38" s="1090"/>
      <c r="AB38" s="1090">
        <f t="shared" si="7"/>
        <v>0</v>
      </c>
      <c r="AC38" s="318">
        <f>+(P38/G38)</f>
        <v>0.04</v>
      </c>
      <c r="AD38" s="319">
        <v>1</v>
      </c>
      <c r="AE38" s="319">
        <f t="shared" si="8"/>
        <v>0</v>
      </c>
      <c r="AF38" s="319">
        <f>+AC38*E38</f>
        <v>8.0000000000000002E-3</v>
      </c>
      <c r="AG38" s="319">
        <f>+AD38*E38</f>
        <v>0.2</v>
      </c>
      <c r="AH38" s="319">
        <f t="shared" si="13"/>
        <v>0</v>
      </c>
      <c r="AI38" s="337">
        <f>+P38/F38</f>
        <v>0.01</v>
      </c>
      <c r="AJ38" s="319">
        <v>0.33333333333333331</v>
      </c>
      <c r="AK38" s="319">
        <f t="shared" si="9"/>
        <v>0.33333333333333331</v>
      </c>
      <c r="AL38" s="319">
        <f>+AI38*E38</f>
        <v>2E-3</v>
      </c>
      <c r="AM38" s="319">
        <f>+AJ38*E38</f>
        <v>6.6666666666666666E-2</v>
      </c>
      <c r="AN38" s="319">
        <f t="shared" si="11"/>
        <v>6.6666666666666666E-2</v>
      </c>
      <c r="AO38" s="577" t="s">
        <v>1850</v>
      </c>
      <c r="AP38" s="579" t="s">
        <v>1901</v>
      </c>
      <c r="AQ38" s="579" t="s">
        <v>2264</v>
      </c>
      <c r="AR38" s="897" t="s">
        <v>2289</v>
      </c>
      <c r="AS38" s="897" t="s">
        <v>2402</v>
      </c>
      <c r="AT38" s="897" t="s">
        <v>2436</v>
      </c>
      <c r="AU38" s="603" t="s">
        <v>2493</v>
      </c>
      <c r="AV38" s="603" t="s">
        <v>1893</v>
      </c>
    </row>
    <row r="39" spans="1:48" ht="122.4" customHeight="1" thickBot="1" x14ac:dyDescent="0.55000000000000004">
      <c r="A39" s="302"/>
      <c r="B39" s="1546" t="s">
        <v>1646</v>
      </c>
      <c r="C39" s="1547"/>
      <c r="D39" s="619"/>
      <c r="E39" s="307">
        <v>0.05</v>
      </c>
      <c r="F39" s="325"/>
      <c r="G39" s="326"/>
      <c r="H39" s="1077"/>
      <c r="I39" s="308"/>
      <c r="J39" s="327">
        <f>+AVERAGE(J40:J42)</f>
        <v>0.40860215053763443</v>
      </c>
      <c r="K39" s="327">
        <f>+AVERAGE(K40:K42)</f>
        <v>0.19892473118279572</v>
      </c>
      <c r="L39" s="327">
        <f>+AVERAGE(L40:L42)</f>
        <v>0.25</v>
      </c>
      <c r="M39" s="328">
        <f>+M40+M41+M42</f>
        <v>0.34516129032258069</v>
      </c>
      <c r="N39" s="328">
        <f>+N40+N41+N42</f>
        <v>0.21935483870967742</v>
      </c>
      <c r="O39" s="328"/>
      <c r="P39" s="316"/>
      <c r="Q39" s="329"/>
      <c r="R39" s="329"/>
      <c r="S39" s="329"/>
      <c r="T39" s="329"/>
      <c r="U39" s="964"/>
      <c r="V39" s="329"/>
      <c r="W39" s="329"/>
      <c r="X39" s="1087"/>
      <c r="Y39" s="1087"/>
      <c r="Z39" s="1087"/>
      <c r="AA39" s="1087"/>
      <c r="AB39" s="1087"/>
      <c r="AC39" s="521">
        <f>+AVERAGE(AC40:AC42)</f>
        <v>0.53833285971393385</v>
      </c>
      <c r="AD39" s="521">
        <f>+AVERAGE(AD40:AD42)</f>
        <v>0.84513213981244684</v>
      </c>
      <c r="AE39" s="521">
        <f>+AVERAGE(AE40:AE42)</f>
        <v>0.1111111111111111</v>
      </c>
      <c r="AF39" s="348">
        <f>+(AF40+AF41+AF42)*E39</f>
        <v>2.2708297811878372E-2</v>
      </c>
      <c r="AG39" s="348">
        <f>+(AG40+AG41+AG42)*E39</f>
        <v>3.8384910485933503E-2</v>
      </c>
      <c r="AH39" s="348">
        <f>+(AH40+AH41+AH42)*E39</f>
        <v>3.3333333333333335E-3</v>
      </c>
      <c r="AI39" s="309">
        <f>+AVERAGE(AI40:AI42)</f>
        <v>0.24342431409216325</v>
      </c>
      <c r="AJ39" s="309">
        <v>0.7199403239556692</v>
      </c>
      <c r="AK39" s="309">
        <f>+AVERAGE(AK40:AK42)</f>
        <v>0.7199403239556692</v>
      </c>
      <c r="AL39" s="309">
        <f>+(AL40+AL41+AL42)*E39</f>
        <v>9.3589740945466543E-3</v>
      </c>
      <c r="AM39" s="309">
        <f>+(AM40+AM41+AM42)</f>
        <v>0.57991048593350381</v>
      </c>
      <c r="AN39" s="309">
        <f>+(AN40+AN41+AN42)</f>
        <v>0.57991048593350381</v>
      </c>
      <c r="AO39" s="685"/>
      <c r="AP39" s="308"/>
      <c r="AQ39" s="308"/>
      <c r="AR39" s="308"/>
      <c r="AS39" s="308"/>
      <c r="AT39" s="898"/>
      <c r="AU39" s="895"/>
      <c r="AV39" s="898"/>
    </row>
    <row r="40" spans="1:48" ht="122.4" customHeight="1" thickBot="1" x14ac:dyDescent="0.45">
      <c r="A40" s="302"/>
      <c r="B40" s="1450" t="s">
        <v>412</v>
      </c>
      <c r="C40" s="1430" t="s">
        <v>413</v>
      </c>
      <c r="D40" s="350" t="s">
        <v>357</v>
      </c>
      <c r="E40" s="310">
        <v>0.3</v>
      </c>
      <c r="F40" s="311">
        <v>600</v>
      </c>
      <c r="G40" s="330">
        <v>150</v>
      </c>
      <c r="H40" s="809">
        <v>150</v>
      </c>
      <c r="I40" s="331">
        <v>150</v>
      </c>
      <c r="J40" s="320">
        <f>+G40/F40</f>
        <v>0.25</v>
      </c>
      <c r="K40" s="320">
        <f t="shared" si="10"/>
        <v>0.25</v>
      </c>
      <c r="L40" s="320"/>
      <c r="M40" s="321">
        <f>+(G40/F40)*E40</f>
        <v>7.4999999999999997E-2</v>
      </c>
      <c r="N40" s="321">
        <f t="shared" si="15"/>
        <v>7.4999999999999997E-2</v>
      </c>
      <c r="O40" s="321"/>
      <c r="P40" s="316">
        <v>200</v>
      </c>
      <c r="Q40" s="580">
        <v>0</v>
      </c>
      <c r="R40" s="317">
        <v>509</v>
      </c>
      <c r="S40" s="317">
        <v>96</v>
      </c>
      <c r="T40" s="317">
        <v>0</v>
      </c>
      <c r="U40" s="317">
        <v>0</v>
      </c>
      <c r="V40" s="646">
        <f>+Q40+R40+S40+T40+U40</f>
        <v>605</v>
      </c>
      <c r="W40" s="646">
        <f>+V40+P40+AB40</f>
        <v>805</v>
      </c>
      <c r="X40" s="1185"/>
      <c r="Y40" s="330"/>
      <c r="Z40" s="330"/>
      <c r="AA40" s="330"/>
      <c r="AB40" s="330">
        <f t="shared" si="7"/>
        <v>0</v>
      </c>
      <c r="AC40" s="318">
        <v>1</v>
      </c>
      <c r="AD40" s="319">
        <v>1</v>
      </c>
      <c r="AE40" s="319">
        <f t="shared" si="8"/>
        <v>0</v>
      </c>
      <c r="AF40" s="319">
        <f>+AC40*E40</f>
        <v>0.3</v>
      </c>
      <c r="AG40" s="319">
        <f>+AD40*E40</f>
        <v>0.3</v>
      </c>
      <c r="AH40" s="319">
        <f t="shared" si="13"/>
        <v>0</v>
      </c>
      <c r="AI40" s="319">
        <f>+P40/F40</f>
        <v>0.33333333333333331</v>
      </c>
      <c r="AJ40" s="319">
        <v>1</v>
      </c>
      <c r="AK40" s="319">
        <v>1</v>
      </c>
      <c r="AL40" s="319">
        <f>+AI40*E40</f>
        <v>9.9999999999999992E-2</v>
      </c>
      <c r="AM40" s="319">
        <f>+AJ40*E40</f>
        <v>0.3</v>
      </c>
      <c r="AN40" s="319">
        <f>+AK40*E40</f>
        <v>0.3</v>
      </c>
      <c r="AO40" s="577" t="s">
        <v>1850</v>
      </c>
      <c r="AP40" s="579" t="s">
        <v>1901</v>
      </c>
      <c r="AQ40" s="308"/>
      <c r="AR40" s="579" t="s">
        <v>2300</v>
      </c>
      <c r="AS40" s="897" t="s">
        <v>2402</v>
      </c>
      <c r="AT40" s="897" t="s">
        <v>2436</v>
      </c>
      <c r="AU40" s="603" t="s">
        <v>2493</v>
      </c>
      <c r="AV40" s="603" t="s">
        <v>1893</v>
      </c>
    </row>
    <row r="41" spans="1:48" ht="122.4" customHeight="1" thickBot="1" x14ac:dyDescent="0.45">
      <c r="A41" s="302"/>
      <c r="B41" s="1450" t="s">
        <v>414</v>
      </c>
      <c r="C41" s="1430" t="s">
        <v>415</v>
      </c>
      <c r="D41" s="350" t="s">
        <v>357</v>
      </c>
      <c r="E41" s="310">
        <v>0.5</v>
      </c>
      <c r="F41" s="311">
        <v>78200</v>
      </c>
      <c r="G41" s="330">
        <v>19550</v>
      </c>
      <c r="H41" s="809">
        <v>19550</v>
      </c>
      <c r="I41" s="331">
        <v>19550</v>
      </c>
      <c r="J41" s="320">
        <f>+G41/F41</f>
        <v>0.25</v>
      </c>
      <c r="K41" s="320">
        <f t="shared" si="10"/>
        <v>0.25</v>
      </c>
      <c r="L41" s="320">
        <f t="shared" si="14"/>
        <v>0.25</v>
      </c>
      <c r="M41" s="321">
        <f>+(G41/F41)*E41</f>
        <v>0.125</v>
      </c>
      <c r="N41" s="321">
        <f t="shared" si="15"/>
        <v>0.125</v>
      </c>
      <c r="O41" s="321"/>
      <c r="P41" s="316">
        <v>2031</v>
      </c>
      <c r="Q41" s="580">
        <v>0</v>
      </c>
      <c r="R41" s="317">
        <v>7931</v>
      </c>
      <c r="S41" s="317">
        <v>2536</v>
      </c>
      <c r="T41" s="317">
        <v>0</v>
      </c>
      <c r="U41" s="317">
        <v>0</v>
      </c>
      <c r="V41" s="646">
        <f>+Q41+R41+S41+T41+U41</f>
        <v>10467</v>
      </c>
      <c r="W41" s="646">
        <f t="shared" ref="W41" si="31">+V41+P41+AB41</f>
        <v>12498</v>
      </c>
      <c r="X41" s="1185"/>
      <c r="Y41" s="330"/>
      <c r="Z41" s="330"/>
      <c r="AA41" s="330"/>
      <c r="AB41" s="330">
        <f t="shared" si="7"/>
        <v>0</v>
      </c>
      <c r="AC41" s="318">
        <f>+(P41/G41)</f>
        <v>0.10388746803069053</v>
      </c>
      <c r="AD41" s="319">
        <f>+V41/H41</f>
        <v>0.53539641943734018</v>
      </c>
      <c r="AE41" s="319">
        <f t="shared" si="8"/>
        <v>0</v>
      </c>
      <c r="AF41" s="319">
        <f>+AC41*E41</f>
        <v>5.1943734015345265E-2</v>
      </c>
      <c r="AG41" s="319">
        <f>+AD41*E41</f>
        <v>0.26769820971867009</v>
      </c>
      <c r="AH41" s="319">
        <f t="shared" si="13"/>
        <v>0</v>
      </c>
      <c r="AI41" s="319">
        <f>+P41/F41</f>
        <v>2.5971867007672633E-2</v>
      </c>
      <c r="AJ41" s="319">
        <v>0.15982097186700767</v>
      </c>
      <c r="AK41" s="319">
        <f t="shared" si="9"/>
        <v>0.15982097186700767</v>
      </c>
      <c r="AL41" s="319">
        <f>+AI41*E41</f>
        <v>1.2985933503836316E-2</v>
      </c>
      <c r="AM41" s="319">
        <f>+AJ41*E41</f>
        <v>7.9910485933503833E-2</v>
      </c>
      <c r="AN41" s="319">
        <f t="shared" si="11"/>
        <v>7.9910485933503833E-2</v>
      </c>
      <c r="AO41" s="577" t="s">
        <v>1850</v>
      </c>
      <c r="AP41" s="579" t="s">
        <v>1901</v>
      </c>
      <c r="AQ41" s="308"/>
      <c r="AR41" s="897" t="s">
        <v>2289</v>
      </c>
      <c r="AS41" s="897" t="s">
        <v>2402</v>
      </c>
      <c r="AT41" s="897" t="s">
        <v>2436</v>
      </c>
      <c r="AU41" s="603" t="s">
        <v>2493</v>
      </c>
      <c r="AV41" s="603" t="s">
        <v>1893</v>
      </c>
    </row>
    <row r="42" spans="1:48" ht="122.4" customHeight="1" thickBot="1" x14ac:dyDescent="0.45">
      <c r="A42" s="302"/>
      <c r="B42" s="1450" t="s">
        <v>416</v>
      </c>
      <c r="C42" s="1430" t="s">
        <v>417</v>
      </c>
      <c r="D42" s="350" t="s">
        <v>357</v>
      </c>
      <c r="E42" s="310">
        <v>0.2</v>
      </c>
      <c r="F42" s="311">
        <v>62</v>
      </c>
      <c r="G42" s="330">
        <v>45</v>
      </c>
      <c r="H42" s="809">
        <v>6</v>
      </c>
      <c r="I42" s="331">
        <v>6</v>
      </c>
      <c r="J42" s="320">
        <f>+G42/F42</f>
        <v>0.72580645161290325</v>
      </c>
      <c r="K42" s="320">
        <f t="shared" si="10"/>
        <v>9.6774193548387094E-2</v>
      </c>
      <c r="L42" s="320"/>
      <c r="M42" s="321">
        <f>+(G42/F42)*E42</f>
        <v>0.14516129032258066</v>
      </c>
      <c r="N42" s="321">
        <f t="shared" si="15"/>
        <v>1.935483870967742E-2</v>
      </c>
      <c r="O42" s="321"/>
      <c r="P42" s="316">
        <v>23</v>
      </c>
      <c r="Q42" s="580">
        <v>59</v>
      </c>
      <c r="R42" s="317">
        <v>5</v>
      </c>
      <c r="S42" s="317">
        <v>27</v>
      </c>
      <c r="T42" s="317">
        <v>73</v>
      </c>
      <c r="U42" s="317">
        <v>0</v>
      </c>
      <c r="V42" s="646">
        <f t="shared" ref="V42" si="32">+Q42+R42+S42+T42+U42</f>
        <v>164</v>
      </c>
      <c r="W42" s="646">
        <f>+V42+P42+AB42</f>
        <v>189</v>
      </c>
      <c r="X42" s="1185">
        <v>2</v>
      </c>
      <c r="Y42" s="330"/>
      <c r="Z42" s="330"/>
      <c r="AA42" s="330"/>
      <c r="AB42" s="330">
        <f t="shared" si="7"/>
        <v>2</v>
      </c>
      <c r="AC42" s="318">
        <f>+(P42/G42)</f>
        <v>0.51111111111111107</v>
      </c>
      <c r="AD42" s="319">
        <v>1</v>
      </c>
      <c r="AE42" s="319">
        <f t="shared" si="8"/>
        <v>0.33333333333333331</v>
      </c>
      <c r="AF42" s="319">
        <f>+AC42*E42</f>
        <v>0.10222222222222221</v>
      </c>
      <c r="AG42" s="319">
        <f>+AD42*E42</f>
        <v>0.2</v>
      </c>
      <c r="AH42" s="319">
        <f t="shared" si="13"/>
        <v>6.6666666666666666E-2</v>
      </c>
      <c r="AI42" s="319">
        <f>+P42/F42</f>
        <v>0.37096774193548387</v>
      </c>
      <c r="AJ42" s="319">
        <v>1</v>
      </c>
      <c r="AK42" s="319">
        <v>1</v>
      </c>
      <c r="AL42" s="319">
        <f>+AI42*E42</f>
        <v>7.4193548387096783E-2</v>
      </c>
      <c r="AM42" s="319">
        <f>+AJ42*E42</f>
        <v>0.2</v>
      </c>
      <c r="AN42" s="319">
        <f t="shared" si="11"/>
        <v>0.2</v>
      </c>
      <c r="AO42" s="577" t="s">
        <v>1850</v>
      </c>
      <c r="AP42" s="579" t="s">
        <v>1907</v>
      </c>
      <c r="AQ42" s="579" t="s">
        <v>1591</v>
      </c>
      <c r="AR42" s="579" t="s">
        <v>2300</v>
      </c>
      <c r="AS42" s="897" t="s">
        <v>2402</v>
      </c>
      <c r="AT42" s="897" t="s">
        <v>2436</v>
      </c>
      <c r="AU42" s="603" t="s">
        <v>2493</v>
      </c>
      <c r="AV42" s="603" t="s">
        <v>1893</v>
      </c>
    </row>
    <row r="43" spans="1:48" ht="122.4" customHeight="1" thickBot="1" x14ac:dyDescent="0.55000000000000004">
      <c r="A43" s="302"/>
      <c r="B43" s="1548" t="s">
        <v>1647</v>
      </c>
      <c r="C43" s="1549"/>
      <c r="D43" s="350"/>
      <c r="E43" s="338">
        <v>0.02</v>
      </c>
      <c r="F43" s="311"/>
      <c r="G43" s="326"/>
      <c r="H43" s="1077"/>
      <c r="I43" s="308"/>
      <c r="J43" s="327">
        <f>+AVERAGE(J44:J48)</f>
        <v>0.40173750334135255</v>
      </c>
      <c r="K43" s="327">
        <f>+AVERAGE(K44:K48)</f>
        <v>0.22403635391606525</v>
      </c>
      <c r="L43" s="327">
        <f>+AVERAGE(L44:L48)</f>
        <v>0.21467187917669073</v>
      </c>
      <c r="M43" s="328">
        <f>+M44+M45+M46+M47+M48</f>
        <v>0.32804397219994652</v>
      </c>
      <c r="N43" s="328">
        <f>+N44+N45+N46+N47+N48</f>
        <v>0.24091753541833738</v>
      </c>
      <c r="O43" s="328"/>
      <c r="P43" s="316"/>
      <c r="Q43" s="329"/>
      <c r="R43" s="329"/>
      <c r="S43" s="329"/>
      <c r="T43" s="329"/>
      <c r="U43" s="964"/>
      <c r="V43" s="329"/>
      <c r="W43" s="329"/>
      <c r="X43" s="1087"/>
      <c r="Y43" s="1087"/>
      <c r="Z43" s="1087"/>
      <c r="AA43" s="1087"/>
      <c r="AB43" s="1087"/>
      <c r="AC43" s="521">
        <f>+AVERAGE(AC44:AC48)</f>
        <v>0.45333333333333331</v>
      </c>
      <c r="AD43" s="521">
        <f>+AVERAGE(AD44:AD48)</f>
        <v>0.67272727272727273</v>
      </c>
      <c r="AE43" s="521">
        <f>+AVERAGE(AE44:AE48)</f>
        <v>0.47272727272727266</v>
      </c>
      <c r="AF43" s="348">
        <f>+(AF44+AF45+AF46+AF47+AF48)*E43</f>
        <v>7.5333333333333329E-3</v>
      </c>
      <c r="AG43" s="348">
        <f>+(AG44+AG45+AG46+AG47+AG48)*E43</f>
        <v>1.290909090909091E-2</v>
      </c>
      <c r="AH43" s="348">
        <f>+(AH44+AH45+AH46+AH47+AH48)*E43</f>
        <v>1.1863636363636363E-2</v>
      </c>
      <c r="AI43" s="309">
        <f>+AVERAGE(AI44:AI48)</f>
        <v>0.17229885057471264</v>
      </c>
      <c r="AJ43" s="309">
        <v>0.51906442127773322</v>
      </c>
      <c r="AK43" s="309">
        <f>+AVERAGE(AK44:AK48)</f>
        <v>0.58843090082865535</v>
      </c>
      <c r="AL43" s="309">
        <f>+(AL44+AL45+AL46+AL47+AL48)*E43</f>
        <v>2.7574712643678163E-3</v>
      </c>
      <c r="AM43" s="309">
        <f>+(AM44+AM45+AM46+AM47+AM48)</f>
        <v>0.44778401496925957</v>
      </c>
      <c r="AN43" s="309">
        <f>+(AN44+AN45+AN46+AN47+AN48)</f>
        <v>0.56065490510558669</v>
      </c>
      <c r="AO43" s="685"/>
      <c r="AP43" s="308"/>
      <c r="AQ43" s="308"/>
      <c r="AR43" s="308"/>
      <c r="AS43" s="308"/>
      <c r="AT43" s="898"/>
      <c r="AU43" s="895"/>
      <c r="AV43" s="898"/>
    </row>
    <row r="44" spans="1:48" ht="122.4" customHeight="1" thickBot="1" x14ac:dyDescent="0.45">
      <c r="A44" s="302"/>
      <c r="B44" s="1452" t="s">
        <v>418</v>
      </c>
      <c r="C44" s="1427" t="s">
        <v>419</v>
      </c>
      <c r="D44" s="350" t="s">
        <v>357</v>
      </c>
      <c r="E44" s="310">
        <v>0.25</v>
      </c>
      <c r="F44" s="311">
        <v>87</v>
      </c>
      <c r="G44" s="330">
        <v>22</v>
      </c>
      <c r="H44" s="809">
        <v>23</v>
      </c>
      <c r="I44" s="331">
        <v>22</v>
      </c>
      <c r="J44" s="320">
        <f>+G44/F44</f>
        <v>0.25287356321839083</v>
      </c>
      <c r="K44" s="320">
        <f t="shared" si="10"/>
        <v>0.26436781609195403</v>
      </c>
      <c r="L44" s="320">
        <f>+I44/F44</f>
        <v>0.25287356321839083</v>
      </c>
      <c r="M44" s="321">
        <f>+(G44/F44)*E44</f>
        <v>6.3218390804597707E-2</v>
      </c>
      <c r="N44" s="321">
        <f t="shared" si="15"/>
        <v>6.6091954022988508E-2</v>
      </c>
      <c r="O44" s="321"/>
      <c r="P44" s="316">
        <v>30</v>
      </c>
      <c r="Q44" s="576">
        <v>16</v>
      </c>
      <c r="R44" s="580">
        <v>12</v>
      </c>
      <c r="S44" s="317">
        <v>0</v>
      </c>
      <c r="T44" s="317">
        <v>6</v>
      </c>
      <c r="U44" s="317">
        <v>0</v>
      </c>
      <c r="V44" s="646">
        <f>+Q44+R44+S44+T44+U44</f>
        <v>34</v>
      </c>
      <c r="W44" s="646">
        <f>+V44+P44+AB44</f>
        <v>79</v>
      </c>
      <c r="X44" s="1185">
        <v>15</v>
      </c>
      <c r="Y44" s="330"/>
      <c r="Z44" s="330"/>
      <c r="AA44" s="330"/>
      <c r="AB44" s="330">
        <f t="shared" si="7"/>
        <v>15</v>
      </c>
      <c r="AC44" s="318">
        <v>1</v>
      </c>
      <c r="AD44" s="319">
        <v>1</v>
      </c>
      <c r="AE44" s="319">
        <f>+AB44/I44</f>
        <v>0.68181818181818177</v>
      </c>
      <c r="AF44" s="319">
        <f>+AC44*E44</f>
        <v>0.25</v>
      </c>
      <c r="AG44" s="319">
        <f>+AD44*E44</f>
        <v>0.25</v>
      </c>
      <c r="AH44" s="319">
        <f t="shared" si="13"/>
        <v>0.17045454545454544</v>
      </c>
      <c r="AI44" s="319">
        <f>+P44/F44</f>
        <v>0.34482758620689657</v>
      </c>
      <c r="AJ44" s="319">
        <v>0.73563218390804597</v>
      </c>
      <c r="AK44" s="319">
        <f t="shared" si="9"/>
        <v>0.90804597701149425</v>
      </c>
      <c r="AL44" s="319">
        <f>+AI44*E44</f>
        <v>8.6206896551724144E-2</v>
      </c>
      <c r="AM44" s="319">
        <f>+AJ44*E44</f>
        <v>0.18390804597701149</v>
      </c>
      <c r="AN44" s="319">
        <f t="shared" si="11"/>
        <v>0.22701149425287356</v>
      </c>
      <c r="AO44" s="577" t="s">
        <v>1850</v>
      </c>
      <c r="AP44" s="579" t="s">
        <v>1901</v>
      </c>
      <c r="AQ44" s="579" t="s">
        <v>2264</v>
      </c>
      <c r="AR44" s="579" t="s">
        <v>2300</v>
      </c>
      <c r="AS44" s="897" t="s">
        <v>2402</v>
      </c>
      <c r="AT44" s="897" t="s">
        <v>2436</v>
      </c>
      <c r="AU44" s="603" t="s">
        <v>2493</v>
      </c>
      <c r="AV44" s="603" t="s">
        <v>1893</v>
      </c>
    </row>
    <row r="45" spans="1:48" ht="122.4" customHeight="1" thickBot="1" x14ac:dyDescent="0.45">
      <c r="A45" s="302"/>
      <c r="B45" s="1452" t="s">
        <v>420</v>
      </c>
      <c r="C45" s="1427" t="s">
        <v>421</v>
      </c>
      <c r="D45" s="350" t="s">
        <v>357</v>
      </c>
      <c r="E45" s="310">
        <v>0.4</v>
      </c>
      <c r="F45" s="311">
        <v>86</v>
      </c>
      <c r="G45" s="330">
        <v>22</v>
      </c>
      <c r="H45" s="809">
        <v>22</v>
      </c>
      <c r="I45" s="331">
        <v>22</v>
      </c>
      <c r="J45" s="320">
        <f>+G45/F45</f>
        <v>0.2558139534883721</v>
      </c>
      <c r="K45" s="320">
        <f t="shared" si="10"/>
        <v>0.2558139534883721</v>
      </c>
      <c r="L45" s="320">
        <f t="shared" si="14"/>
        <v>0.2558139534883721</v>
      </c>
      <c r="M45" s="321">
        <f>+(G45/F45)*E45</f>
        <v>0.10232558139534885</v>
      </c>
      <c r="N45" s="321">
        <f t="shared" si="15"/>
        <v>0.10232558139534885</v>
      </c>
      <c r="O45" s="321"/>
      <c r="P45" s="316">
        <v>0</v>
      </c>
      <c r="Q45" s="580">
        <v>0</v>
      </c>
      <c r="R45" s="580">
        <v>0</v>
      </c>
      <c r="S45" s="317">
        <v>1</v>
      </c>
      <c r="T45" s="317">
        <v>7</v>
      </c>
      <c r="U45" s="317">
        <v>0</v>
      </c>
      <c r="V45" s="646">
        <f t="shared" ref="V45:V48" si="33">+Q45+R45+S45+T45+U45</f>
        <v>8</v>
      </c>
      <c r="W45" s="646">
        <f t="shared" ref="W45:W48" si="34">+V45+P45+AB45</f>
        <v>23</v>
      </c>
      <c r="X45" s="1185">
        <v>15</v>
      </c>
      <c r="Y45" s="330"/>
      <c r="Z45" s="330"/>
      <c r="AA45" s="330"/>
      <c r="AB45" s="330">
        <f t="shared" si="7"/>
        <v>15</v>
      </c>
      <c r="AC45" s="318">
        <f>+(P45/G45)</f>
        <v>0</v>
      </c>
      <c r="AD45" s="319">
        <f>+V45/H45</f>
        <v>0.36363636363636365</v>
      </c>
      <c r="AE45" s="319">
        <f t="shared" si="8"/>
        <v>0.68181818181818177</v>
      </c>
      <c r="AF45" s="319">
        <f>+AC45*E45</f>
        <v>0</v>
      </c>
      <c r="AG45" s="319">
        <f>+AD45*E45</f>
        <v>0.14545454545454548</v>
      </c>
      <c r="AH45" s="319">
        <f t="shared" si="13"/>
        <v>0.27272727272727271</v>
      </c>
      <c r="AI45" s="319">
        <f>+P45/F45</f>
        <v>0</v>
      </c>
      <c r="AJ45" s="319">
        <v>9.3023255813953487E-2</v>
      </c>
      <c r="AK45" s="319">
        <f t="shared" si="9"/>
        <v>0.26744186046511625</v>
      </c>
      <c r="AL45" s="319">
        <f>+AI45*E45</f>
        <v>0</v>
      </c>
      <c r="AM45" s="319">
        <f>+AJ45*E45</f>
        <v>3.7209302325581395E-2</v>
      </c>
      <c r="AN45" s="319">
        <f t="shared" si="11"/>
        <v>0.10697674418604651</v>
      </c>
      <c r="AO45" s="577" t="s">
        <v>1850</v>
      </c>
      <c r="AP45" s="579" t="s">
        <v>1901</v>
      </c>
      <c r="AQ45" s="579" t="s">
        <v>2264</v>
      </c>
      <c r="AR45" s="897" t="s">
        <v>2289</v>
      </c>
      <c r="AS45" s="897" t="s">
        <v>2402</v>
      </c>
      <c r="AT45" s="897" t="s">
        <v>2436</v>
      </c>
      <c r="AU45" s="603" t="s">
        <v>2493</v>
      </c>
      <c r="AV45" s="603" t="s">
        <v>1893</v>
      </c>
    </row>
    <row r="46" spans="1:48" ht="122.4" customHeight="1" thickBot="1" x14ac:dyDescent="0.45">
      <c r="A46" s="302"/>
      <c r="B46" s="1452" t="s">
        <v>422</v>
      </c>
      <c r="C46" s="1427" t="s">
        <v>423</v>
      </c>
      <c r="D46" s="350" t="s">
        <v>357</v>
      </c>
      <c r="E46" s="310">
        <v>0.15</v>
      </c>
      <c r="F46" s="311">
        <v>1</v>
      </c>
      <c r="G46" s="330">
        <v>0.25</v>
      </c>
      <c r="H46" s="809">
        <v>0.25</v>
      </c>
      <c r="I46" s="331">
        <v>0.25</v>
      </c>
      <c r="J46" s="320">
        <f>+G46/F46</f>
        <v>0.25</v>
      </c>
      <c r="K46" s="320">
        <f t="shared" si="10"/>
        <v>0.25</v>
      </c>
      <c r="L46" s="320"/>
      <c r="M46" s="321">
        <f>+(G46/F46)*E46</f>
        <v>3.7499999999999999E-2</v>
      </c>
      <c r="N46" s="321">
        <f t="shared" si="15"/>
        <v>3.7499999999999999E-2</v>
      </c>
      <c r="O46" s="321"/>
      <c r="P46" s="316">
        <v>0</v>
      </c>
      <c r="Q46" s="323">
        <v>0.25</v>
      </c>
      <c r="R46" s="317">
        <v>0.75</v>
      </c>
      <c r="S46" s="317">
        <v>0</v>
      </c>
      <c r="T46" s="317">
        <v>0</v>
      </c>
      <c r="U46" s="317">
        <v>0</v>
      </c>
      <c r="V46" s="646">
        <f t="shared" si="33"/>
        <v>1</v>
      </c>
      <c r="W46" s="646">
        <v>1</v>
      </c>
      <c r="X46" s="1185">
        <v>1</v>
      </c>
      <c r="Y46" s="330"/>
      <c r="Z46" s="330"/>
      <c r="AA46" s="330"/>
      <c r="AB46" s="330">
        <f t="shared" si="7"/>
        <v>1</v>
      </c>
      <c r="AC46" s="318">
        <f>+(P46/G46)</f>
        <v>0</v>
      </c>
      <c r="AD46" s="319">
        <v>1</v>
      </c>
      <c r="AE46" s="319">
        <v>1</v>
      </c>
      <c r="AF46" s="319">
        <f>+AC46*E46</f>
        <v>0</v>
      </c>
      <c r="AG46" s="319">
        <f>+AD46*E46</f>
        <v>0.15</v>
      </c>
      <c r="AH46" s="319">
        <f t="shared" si="13"/>
        <v>0.15</v>
      </c>
      <c r="AI46" s="319">
        <f>+P46/F46</f>
        <v>0</v>
      </c>
      <c r="AJ46" s="319">
        <v>1</v>
      </c>
      <c r="AK46" s="319">
        <f t="shared" si="9"/>
        <v>1</v>
      </c>
      <c r="AL46" s="319">
        <f>+AI46*E46</f>
        <v>0</v>
      </c>
      <c r="AM46" s="319">
        <f>+AJ46*E46</f>
        <v>0.15</v>
      </c>
      <c r="AN46" s="319">
        <f t="shared" si="11"/>
        <v>0.15</v>
      </c>
      <c r="AO46" s="577" t="s">
        <v>1850</v>
      </c>
      <c r="AP46" s="579" t="s">
        <v>1901</v>
      </c>
      <c r="AQ46" s="579" t="s">
        <v>2264</v>
      </c>
      <c r="AR46" s="579" t="s">
        <v>2300</v>
      </c>
      <c r="AS46" s="897" t="s">
        <v>2402</v>
      </c>
      <c r="AT46" s="578" t="s">
        <v>1865</v>
      </c>
      <c r="AU46" s="603" t="s">
        <v>2493</v>
      </c>
      <c r="AV46" s="603" t="s">
        <v>1893</v>
      </c>
    </row>
    <row r="47" spans="1:48" ht="122.4" customHeight="1" thickBot="1" x14ac:dyDescent="0.45">
      <c r="A47" s="302"/>
      <c r="B47" s="1452" t="s">
        <v>424</v>
      </c>
      <c r="C47" s="1427" t="s">
        <v>425</v>
      </c>
      <c r="D47" s="350" t="s">
        <v>357</v>
      </c>
      <c r="E47" s="310">
        <v>0.1</v>
      </c>
      <c r="F47" s="311">
        <v>4</v>
      </c>
      <c r="G47" s="330">
        <v>1</v>
      </c>
      <c r="H47" s="809">
        <v>1</v>
      </c>
      <c r="I47" s="331">
        <v>1</v>
      </c>
      <c r="J47" s="320">
        <f>+G47/F47</f>
        <v>0.25</v>
      </c>
      <c r="K47" s="320">
        <f t="shared" si="10"/>
        <v>0.25</v>
      </c>
      <c r="L47" s="320">
        <f t="shared" si="14"/>
        <v>0.25</v>
      </c>
      <c r="M47" s="321">
        <f>+(G47/F47)*E47</f>
        <v>2.5000000000000001E-2</v>
      </c>
      <c r="N47" s="321">
        <f t="shared" si="15"/>
        <v>2.5000000000000001E-2</v>
      </c>
      <c r="O47" s="321"/>
      <c r="P47" s="316">
        <v>1</v>
      </c>
      <c r="Q47" s="580">
        <v>0</v>
      </c>
      <c r="R47" s="580">
        <v>0</v>
      </c>
      <c r="S47" s="317">
        <v>0</v>
      </c>
      <c r="T47" s="317">
        <v>1</v>
      </c>
      <c r="U47" s="317">
        <v>0</v>
      </c>
      <c r="V47" s="646">
        <f t="shared" si="33"/>
        <v>1</v>
      </c>
      <c r="W47" s="646">
        <f t="shared" si="34"/>
        <v>2</v>
      </c>
      <c r="X47" s="1185">
        <v>0</v>
      </c>
      <c r="Y47" s="330"/>
      <c r="Z47" s="330"/>
      <c r="AA47" s="330"/>
      <c r="AB47" s="330">
        <f t="shared" si="7"/>
        <v>0</v>
      </c>
      <c r="AC47" s="318">
        <f>+(P47/G47)</f>
        <v>1</v>
      </c>
      <c r="AD47" s="319">
        <f>+V47/H47</f>
        <v>1</v>
      </c>
      <c r="AE47" s="319">
        <f t="shared" si="8"/>
        <v>0</v>
      </c>
      <c r="AF47" s="319">
        <f>+AC47*E47</f>
        <v>0.1</v>
      </c>
      <c r="AG47" s="319">
        <f>+AD47*E47</f>
        <v>0.1</v>
      </c>
      <c r="AH47" s="319">
        <f t="shared" si="13"/>
        <v>0</v>
      </c>
      <c r="AI47" s="319">
        <f>+P47/F47</f>
        <v>0.25</v>
      </c>
      <c r="AJ47" s="319">
        <v>0.5</v>
      </c>
      <c r="AK47" s="319">
        <f t="shared" si="9"/>
        <v>0.5</v>
      </c>
      <c r="AL47" s="319">
        <f>+AI47*E47</f>
        <v>2.5000000000000001E-2</v>
      </c>
      <c r="AM47" s="319">
        <f>+AJ47*E47</f>
        <v>0.05</v>
      </c>
      <c r="AN47" s="319">
        <f t="shared" si="11"/>
        <v>0.05</v>
      </c>
      <c r="AO47" s="577" t="s">
        <v>1850</v>
      </c>
      <c r="AP47" s="579" t="s">
        <v>1901</v>
      </c>
      <c r="AQ47" s="579" t="s">
        <v>2264</v>
      </c>
      <c r="AR47" s="897" t="s">
        <v>2289</v>
      </c>
      <c r="AS47" s="897" t="s">
        <v>2402</v>
      </c>
      <c r="AT47" s="897" t="s">
        <v>2436</v>
      </c>
      <c r="AU47" s="603" t="s">
        <v>2493</v>
      </c>
      <c r="AV47" s="603" t="s">
        <v>1893</v>
      </c>
    </row>
    <row r="48" spans="1:48" ht="122.4" customHeight="1" thickBot="1" x14ac:dyDescent="0.45">
      <c r="A48" s="302"/>
      <c r="B48" s="1452" t="s">
        <v>426</v>
      </c>
      <c r="C48" s="1427" t="s">
        <v>427</v>
      </c>
      <c r="D48" s="350" t="s">
        <v>357</v>
      </c>
      <c r="E48" s="310">
        <v>0.1</v>
      </c>
      <c r="F48" s="311">
        <v>30</v>
      </c>
      <c r="G48" s="330">
        <v>30</v>
      </c>
      <c r="H48" s="809">
        <v>3</v>
      </c>
      <c r="I48" s="331">
        <v>3</v>
      </c>
      <c r="J48" s="320">
        <f>+G48/F48</f>
        <v>1</v>
      </c>
      <c r="K48" s="320">
        <f t="shared" si="10"/>
        <v>0.1</v>
      </c>
      <c r="L48" s="320">
        <f t="shared" si="14"/>
        <v>0.1</v>
      </c>
      <c r="M48" s="321">
        <f>+(G48/F48)*E48</f>
        <v>0.1</v>
      </c>
      <c r="N48" s="321">
        <f t="shared" si="15"/>
        <v>1.0000000000000002E-2</v>
      </c>
      <c r="O48" s="321"/>
      <c r="P48" s="316">
        <v>8</v>
      </c>
      <c r="Q48" s="580">
        <v>0</v>
      </c>
      <c r="R48" s="580">
        <v>0</v>
      </c>
      <c r="S48" s="317">
        <v>0</v>
      </c>
      <c r="T48" s="317">
        <v>0</v>
      </c>
      <c r="U48" s="317">
        <v>0</v>
      </c>
      <c r="V48" s="646">
        <f t="shared" si="33"/>
        <v>0</v>
      </c>
      <c r="W48" s="646">
        <f t="shared" si="34"/>
        <v>8</v>
      </c>
      <c r="X48" s="1185">
        <v>0</v>
      </c>
      <c r="Y48" s="330"/>
      <c r="Z48" s="330"/>
      <c r="AA48" s="330"/>
      <c r="AB48" s="330">
        <f t="shared" si="7"/>
        <v>0</v>
      </c>
      <c r="AC48" s="318">
        <f>+(P48/G48)</f>
        <v>0.26666666666666666</v>
      </c>
      <c r="AD48" s="319">
        <f>+V48/H48</f>
        <v>0</v>
      </c>
      <c r="AE48" s="319">
        <f t="shared" si="8"/>
        <v>0</v>
      </c>
      <c r="AF48" s="319">
        <f>+AC48*E48</f>
        <v>2.6666666666666668E-2</v>
      </c>
      <c r="AG48" s="319">
        <f>+AD48*E48</f>
        <v>0</v>
      </c>
      <c r="AH48" s="319">
        <f t="shared" si="13"/>
        <v>0</v>
      </c>
      <c r="AI48" s="319">
        <f>+P48/F48</f>
        <v>0.26666666666666666</v>
      </c>
      <c r="AJ48" s="319">
        <v>0.26666666666666666</v>
      </c>
      <c r="AK48" s="319">
        <f t="shared" si="9"/>
        <v>0.26666666666666666</v>
      </c>
      <c r="AL48" s="319">
        <f>+AI48*E48</f>
        <v>2.6666666666666668E-2</v>
      </c>
      <c r="AM48" s="319">
        <f>+AJ48*E48</f>
        <v>2.6666666666666668E-2</v>
      </c>
      <c r="AN48" s="319">
        <f t="shared" si="11"/>
        <v>2.6666666666666668E-2</v>
      </c>
      <c r="AO48" s="577" t="s">
        <v>1850</v>
      </c>
      <c r="AP48" s="578" t="s">
        <v>1910</v>
      </c>
      <c r="AQ48" s="579" t="s">
        <v>2264</v>
      </c>
      <c r="AR48" s="897" t="s">
        <v>2289</v>
      </c>
      <c r="AS48" s="897" t="s">
        <v>2402</v>
      </c>
      <c r="AT48" s="897" t="s">
        <v>2436</v>
      </c>
      <c r="AU48" s="603" t="s">
        <v>2493</v>
      </c>
      <c r="AV48" s="603" t="s">
        <v>1893</v>
      </c>
    </row>
    <row r="49" spans="1:48" ht="122.4" customHeight="1" thickBot="1" x14ac:dyDescent="0.55000000000000004">
      <c r="A49" s="302"/>
      <c r="B49" s="1548" t="s">
        <v>1648</v>
      </c>
      <c r="C49" s="1549"/>
      <c r="D49" s="350"/>
      <c r="E49" s="307">
        <v>0.02</v>
      </c>
      <c r="F49" s="325"/>
      <c r="G49" s="326"/>
      <c r="H49" s="1077"/>
      <c r="I49" s="308"/>
      <c r="J49" s="327"/>
      <c r="K49" s="327">
        <f>+AVERAGE(K50:K51)</f>
        <v>6.6666666666666666E-2</v>
      </c>
      <c r="L49" s="327">
        <f>+AVERAGE(L50:L51)</f>
        <v>0.33333333333333331</v>
      </c>
      <c r="M49" s="328"/>
      <c r="N49" s="328">
        <f>+N50+N51</f>
        <v>6.6666666666666666E-2</v>
      </c>
      <c r="O49" s="328"/>
      <c r="P49" s="316"/>
      <c r="Q49" s="581"/>
      <c r="R49" s="329"/>
      <c r="S49" s="329"/>
      <c r="T49" s="329"/>
      <c r="U49" s="964"/>
      <c r="V49" s="329"/>
      <c r="W49" s="329"/>
      <c r="X49" s="1087"/>
      <c r="Y49" s="1087"/>
      <c r="Z49" s="1087"/>
      <c r="AA49" s="1087"/>
      <c r="AB49" s="1087"/>
      <c r="AC49" s="521"/>
      <c r="AD49" s="348">
        <f>+AVERAGE(AD50:AD51)</f>
        <v>1</v>
      </c>
      <c r="AE49" s="348">
        <f>+AVERAGE(AE50:AE51)</f>
        <v>0</v>
      </c>
      <c r="AF49" s="348"/>
      <c r="AG49" s="348">
        <f>+(AG50+AG51)*E49</f>
        <v>0.02</v>
      </c>
      <c r="AH49" s="348">
        <f>+(AH50+AH51)*E49</f>
        <v>0</v>
      </c>
      <c r="AI49" s="309"/>
      <c r="AJ49" s="309">
        <v>0.33333333333333331</v>
      </c>
      <c r="AK49" s="309">
        <f>+AVERAGE(AK50:AK51)</f>
        <v>0.33333333333333331</v>
      </c>
      <c r="AL49" s="309">
        <f>+(AL50+AL51)*E49</f>
        <v>0</v>
      </c>
      <c r="AM49" s="309">
        <f>+(AM50+AM51)</f>
        <v>0.33333333333333331</v>
      </c>
      <c r="AN49" s="309">
        <f>+(AN50+AN51)</f>
        <v>0.33333333333333331</v>
      </c>
      <c r="AO49" s="685"/>
      <c r="AP49" s="308"/>
      <c r="AQ49" s="308"/>
      <c r="AR49" s="308"/>
      <c r="AS49" s="308"/>
      <c r="AT49" s="898"/>
      <c r="AU49" s="895"/>
      <c r="AV49" s="898"/>
    </row>
    <row r="50" spans="1:48" ht="122.4" customHeight="1" thickBot="1" x14ac:dyDescent="0.45">
      <c r="A50" s="302"/>
      <c r="B50" s="1452" t="s">
        <v>428</v>
      </c>
      <c r="C50" s="1427" t="s">
        <v>429</v>
      </c>
      <c r="D50" s="350" t="s">
        <v>357</v>
      </c>
      <c r="E50" s="310">
        <v>0.5</v>
      </c>
      <c r="F50" s="311">
        <v>15</v>
      </c>
      <c r="G50" s="330"/>
      <c r="H50" s="809">
        <v>1</v>
      </c>
      <c r="I50" s="331">
        <v>5</v>
      </c>
      <c r="J50" s="320"/>
      <c r="K50" s="320">
        <f>+H50/F50</f>
        <v>6.6666666666666666E-2</v>
      </c>
      <c r="L50" s="320">
        <f>+I50/F50</f>
        <v>0.33333333333333331</v>
      </c>
      <c r="M50" s="321"/>
      <c r="N50" s="321">
        <f>+(H50/F50)*E50</f>
        <v>3.3333333333333333E-2</v>
      </c>
      <c r="O50" s="321"/>
      <c r="P50" s="316"/>
      <c r="Q50" s="580">
        <v>0</v>
      </c>
      <c r="R50" s="317">
        <v>0</v>
      </c>
      <c r="S50" s="317">
        <v>5</v>
      </c>
      <c r="T50" s="317">
        <v>0</v>
      </c>
      <c r="U50" s="317">
        <v>0</v>
      </c>
      <c r="V50" s="646">
        <f>+Q50+R50+S50+T50+U50</f>
        <v>5</v>
      </c>
      <c r="W50" s="646">
        <f>+V50+P50+AB50</f>
        <v>5</v>
      </c>
      <c r="X50" s="1185">
        <v>0</v>
      </c>
      <c r="Y50" s="330"/>
      <c r="Z50" s="330"/>
      <c r="AA50" s="330"/>
      <c r="AB50" s="330">
        <f t="shared" si="7"/>
        <v>0</v>
      </c>
      <c r="AC50" s="318"/>
      <c r="AD50" s="319">
        <v>1</v>
      </c>
      <c r="AE50" s="319">
        <f t="shared" si="8"/>
        <v>0</v>
      </c>
      <c r="AF50" s="319"/>
      <c r="AG50" s="319">
        <f>+AD50*E50</f>
        <v>0.5</v>
      </c>
      <c r="AH50" s="319">
        <f t="shared" si="13"/>
        <v>0</v>
      </c>
      <c r="AI50" s="319"/>
      <c r="AJ50" s="319">
        <v>0.33333333333333331</v>
      </c>
      <c r="AK50" s="319">
        <f t="shared" si="9"/>
        <v>0.33333333333333331</v>
      </c>
      <c r="AL50" s="319">
        <f>+AI50*E50</f>
        <v>0</v>
      </c>
      <c r="AM50" s="319">
        <f>+AJ50*E50</f>
        <v>0.16666666666666666</v>
      </c>
      <c r="AN50" s="319">
        <f t="shared" si="11"/>
        <v>0.16666666666666666</v>
      </c>
      <c r="AO50" s="577" t="s">
        <v>1850</v>
      </c>
      <c r="AP50" s="579" t="s">
        <v>1901</v>
      </c>
      <c r="AQ50" s="579" t="s">
        <v>2264</v>
      </c>
      <c r="AR50" s="897" t="s">
        <v>2289</v>
      </c>
      <c r="AS50" s="897" t="s">
        <v>2402</v>
      </c>
      <c r="AT50" s="897" t="s">
        <v>2436</v>
      </c>
      <c r="AU50" s="603" t="s">
        <v>2493</v>
      </c>
      <c r="AV50" s="603" t="s">
        <v>1893</v>
      </c>
    </row>
    <row r="51" spans="1:48" ht="122.4" customHeight="1" thickBot="1" x14ac:dyDescent="0.45">
      <c r="A51" s="302"/>
      <c r="B51" s="1452" t="s">
        <v>430</v>
      </c>
      <c r="C51" s="1427" t="s">
        <v>431</v>
      </c>
      <c r="D51" s="350" t="s">
        <v>357</v>
      </c>
      <c r="E51" s="310">
        <v>0.5</v>
      </c>
      <c r="F51" s="311">
        <v>15</v>
      </c>
      <c r="G51" s="330"/>
      <c r="H51" s="809">
        <v>1</v>
      </c>
      <c r="I51" s="331">
        <v>5</v>
      </c>
      <c r="J51" s="320"/>
      <c r="K51" s="320">
        <f t="shared" ref="K51:K90" si="35">+H51/F51</f>
        <v>6.6666666666666666E-2</v>
      </c>
      <c r="L51" s="320">
        <f t="shared" si="14"/>
        <v>0.33333333333333331</v>
      </c>
      <c r="M51" s="321"/>
      <c r="N51" s="321">
        <f t="shared" ref="N51:N90" si="36">+(H51/F51)*E51</f>
        <v>3.3333333333333333E-2</v>
      </c>
      <c r="O51" s="321"/>
      <c r="P51" s="316"/>
      <c r="Q51" s="580">
        <v>0</v>
      </c>
      <c r="R51" s="317">
        <v>0</v>
      </c>
      <c r="S51" s="317">
        <v>5</v>
      </c>
      <c r="T51" s="317">
        <v>0</v>
      </c>
      <c r="U51" s="317">
        <v>0</v>
      </c>
      <c r="V51" s="646">
        <f>+Q51+R51+S51+T51+U51</f>
        <v>5</v>
      </c>
      <c r="W51" s="646">
        <f>+V51+P51+AB51</f>
        <v>5</v>
      </c>
      <c r="X51" s="1185">
        <v>0</v>
      </c>
      <c r="Y51" s="330"/>
      <c r="Z51" s="330"/>
      <c r="AA51" s="330"/>
      <c r="AB51" s="330">
        <f t="shared" si="7"/>
        <v>0</v>
      </c>
      <c r="AC51" s="318"/>
      <c r="AD51" s="319">
        <v>1</v>
      </c>
      <c r="AE51" s="319">
        <f t="shared" si="8"/>
        <v>0</v>
      </c>
      <c r="AF51" s="319"/>
      <c r="AG51" s="319">
        <f>+AD51*E51</f>
        <v>0.5</v>
      </c>
      <c r="AH51" s="319">
        <f t="shared" si="13"/>
        <v>0</v>
      </c>
      <c r="AI51" s="319"/>
      <c r="AJ51" s="319">
        <v>0.33333333333333331</v>
      </c>
      <c r="AK51" s="319">
        <f t="shared" si="9"/>
        <v>0.33333333333333331</v>
      </c>
      <c r="AL51" s="319">
        <f>+AI51*E51</f>
        <v>0</v>
      </c>
      <c r="AM51" s="319">
        <f>+AJ51*E51</f>
        <v>0.16666666666666666</v>
      </c>
      <c r="AN51" s="319">
        <f t="shared" si="11"/>
        <v>0.16666666666666666</v>
      </c>
      <c r="AO51" s="577" t="s">
        <v>1850</v>
      </c>
      <c r="AP51" s="579" t="s">
        <v>1901</v>
      </c>
      <c r="AQ51" s="579" t="s">
        <v>2264</v>
      </c>
      <c r="AR51" s="897" t="s">
        <v>2289</v>
      </c>
      <c r="AS51" s="897" t="s">
        <v>2402</v>
      </c>
      <c r="AT51" s="897" t="s">
        <v>2436</v>
      </c>
      <c r="AU51" s="603" t="s">
        <v>2493</v>
      </c>
      <c r="AV51" s="603" t="s">
        <v>1893</v>
      </c>
    </row>
    <row r="52" spans="1:48" ht="122.4" customHeight="1" thickBot="1" x14ac:dyDescent="0.55000000000000004">
      <c r="A52" s="302"/>
      <c r="B52" s="1548" t="s">
        <v>1649</v>
      </c>
      <c r="C52" s="1549"/>
      <c r="D52" s="350"/>
      <c r="E52" s="307">
        <v>0.02</v>
      </c>
      <c r="F52" s="325"/>
      <c r="G52" s="326"/>
      <c r="H52" s="1077"/>
      <c r="I52" s="308"/>
      <c r="J52" s="327">
        <f>+AVERAGE(J53:J55)</f>
        <v>0.20288161993769471</v>
      </c>
      <c r="K52" s="327">
        <f>+AVERAGE(K53:K55)</f>
        <v>0.21845794392523366</v>
      </c>
      <c r="L52" s="327">
        <f>+AVERAGE(L53:L55)</f>
        <v>0.25</v>
      </c>
      <c r="M52" s="328">
        <f>+M53+M54+M55</f>
        <v>0.18177570093457943</v>
      </c>
      <c r="N52" s="328">
        <f>+N53+N54+N55</f>
        <v>0.19813084112149532</v>
      </c>
      <c r="O52" s="328"/>
      <c r="P52" s="316"/>
      <c r="Q52" s="581"/>
      <c r="R52" s="329"/>
      <c r="S52" s="329"/>
      <c r="T52" s="329"/>
      <c r="U52" s="964"/>
      <c r="V52" s="329"/>
      <c r="W52" s="329"/>
      <c r="X52" s="1087"/>
      <c r="Y52" s="1087"/>
      <c r="Z52" s="1087"/>
      <c r="AA52" s="1087"/>
      <c r="AB52" s="1087"/>
      <c r="AC52" s="521">
        <f>+AVERAGE(AC53:AC55)</f>
        <v>1</v>
      </c>
      <c r="AD52" s="717">
        <f>+AVERAGE(AD53:AD55)</f>
        <v>0.98888888888888893</v>
      </c>
      <c r="AE52" s="717">
        <f>+AVERAGE(AE53:AE55)</f>
        <v>0.15866666666666665</v>
      </c>
      <c r="AF52" s="348">
        <f>+(AF53+AF54+AF55)*E52</f>
        <v>0.02</v>
      </c>
      <c r="AG52" s="348">
        <f>+(AG53+AG54+AG55)*E52</f>
        <v>1.9766666666666668E-2</v>
      </c>
      <c r="AH52" s="348">
        <f>+(AH53+AH54+AH55)*E52</f>
        <v>4.7599999999999995E-3</v>
      </c>
      <c r="AI52" s="309">
        <f>+AVERAGE(AI53:AI55)</f>
        <v>0.38465732087227411</v>
      </c>
      <c r="AJ52" s="309">
        <v>0.77749999999999997</v>
      </c>
      <c r="AK52" s="309">
        <f>+AVERAGE(AK53:AK55)</f>
        <v>0.81716666666666671</v>
      </c>
      <c r="AL52" s="309">
        <f>+(AL53+AL54+AL55)*E52</f>
        <v>7.6028037383177559E-3</v>
      </c>
      <c r="AM52" s="309">
        <f>+(AM53+AM54+AM55)</f>
        <v>0.84124999999999994</v>
      </c>
      <c r="AN52" s="309">
        <f>+(AN53+AN54+AN55)</f>
        <v>0.90074999999999994</v>
      </c>
      <c r="AO52" s="685"/>
      <c r="AP52" s="308"/>
      <c r="AQ52" s="308"/>
      <c r="AR52" s="308"/>
      <c r="AS52" s="308"/>
      <c r="AT52" s="898"/>
      <c r="AU52" s="895"/>
      <c r="AV52" s="898"/>
    </row>
    <row r="53" spans="1:48" ht="122.4" customHeight="1" thickBot="1" x14ac:dyDescent="0.45">
      <c r="A53" s="302"/>
      <c r="B53" s="1450" t="s">
        <v>432</v>
      </c>
      <c r="C53" s="1450" t="s">
        <v>433</v>
      </c>
      <c r="D53" s="350" t="s">
        <v>357</v>
      </c>
      <c r="E53" s="310">
        <v>0.5</v>
      </c>
      <c r="F53" s="311">
        <v>2000</v>
      </c>
      <c r="G53" s="330">
        <v>250</v>
      </c>
      <c r="H53" s="809">
        <v>250</v>
      </c>
      <c r="I53" s="331">
        <v>500</v>
      </c>
      <c r="J53" s="320">
        <f>+G53/F53</f>
        <v>0.125</v>
      </c>
      <c r="K53" s="320">
        <f t="shared" si="35"/>
        <v>0.125</v>
      </c>
      <c r="L53" s="320">
        <f t="shared" si="14"/>
        <v>0.25</v>
      </c>
      <c r="M53" s="321">
        <f>+(G53/F53)*E53</f>
        <v>6.25E-2</v>
      </c>
      <c r="N53" s="321">
        <f t="shared" si="36"/>
        <v>6.25E-2</v>
      </c>
      <c r="O53" s="321"/>
      <c r="P53" s="316">
        <v>350</v>
      </c>
      <c r="Q53" s="580">
        <v>0</v>
      </c>
      <c r="R53" s="317">
        <v>723</v>
      </c>
      <c r="S53" s="317">
        <v>274</v>
      </c>
      <c r="T53" s="317">
        <v>318</v>
      </c>
      <c r="U53" s="317">
        <v>0</v>
      </c>
      <c r="V53" s="646">
        <f>+Q53+R53+S53+T53+U53</f>
        <v>1315</v>
      </c>
      <c r="W53" s="646">
        <f>+V53+P53+AB53</f>
        <v>1903</v>
      </c>
      <c r="X53" s="1185">
        <v>238</v>
      </c>
      <c r="Y53" s="330"/>
      <c r="Z53" s="330"/>
      <c r="AA53" s="330"/>
      <c r="AB53" s="330">
        <f t="shared" si="7"/>
        <v>238</v>
      </c>
      <c r="AC53" s="318">
        <v>1</v>
      </c>
      <c r="AD53" s="319">
        <v>1</v>
      </c>
      <c r="AE53" s="319">
        <f t="shared" si="8"/>
        <v>0.47599999999999998</v>
      </c>
      <c r="AF53" s="319">
        <f>+AC53*E53</f>
        <v>0.5</v>
      </c>
      <c r="AG53" s="319">
        <f>+AD53*E53</f>
        <v>0.5</v>
      </c>
      <c r="AH53" s="319">
        <f t="shared" si="13"/>
        <v>0.23799999999999999</v>
      </c>
      <c r="AI53" s="319">
        <f>+P53/F53</f>
        <v>0.17499999999999999</v>
      </c>
      <c r="AJ53" s="319">
        <v>0.83250000000000002</v>
      </c>
      <c r="AK53" s="319">
        <f t="shared" si="9"/>
        <v>0.95150000000000001</v>
      </c>
      <c r="AL53" s="319">
        <f>+AI53*E53</f>
        <v>8.7499999999999994E-2</v>
      </c>
      <c r="AM53" s="319">
        <f>+AJ53*E53</f>
        <v>0.41625000000000001</v>
      </c>
      <c r="AN53" s="319">
        <f t="shared" si="11"/>
        <v>0.47575000000000001</v>
      </c>
      <c r="AO53" s="577" t="s">
        <v>1850</v>
      </c>
      <c r="AP53" s="579" t="s">
        <v>1901</v>
      </c>
      <c r="AQ53" s="579" t="s">
        <v>2264</v>
      </c>
      <c r="AR53" s="897" t="s">
        <v>2289</v>
      </c>
      <c r="AS53" s="897" t="s">
        <v>2402</v>
      </c>
      <c r="AT53" s="897" t="s">
        <v>2436</v>
      </c>
      <c r="AU53" s="603" t="s">
        <v>2493</v>
      </c>
      <c r="AV53" s="603" t="s">
        <v>1893</v>
      </c>
    </row>
    <row r="54" spans="1:48" ht="122.4" customHeight="1" thickBot="1" x14ac:dyDescent="0.45">
      <c r="A54" s="302"/>
      <c r="B54" s="1450" t="s">
        <v>434</v>
      </c>
      <c r="C54" s="1430" t="s">
        <v>435</v>
      </c>
      <c r="D54" s="350" t="s">
        <v>357</v>
      </c>
      <c r="E54" s="310">
        <v>0.35</v>
      </c>
      <c r="F54" s="311">
        <v>107</v>
      </c>
      <c r="G54" s="330">
        <v>25</v>
      </c>
      <c r="H54" s="809">
        <v>30</v>
      </c>
      <c r="I54" s="331">
        <v>27</v>
      </c>
      <c r="J54" s="320">
        <f>+G54/F54</f>
        <v>0.23364485981308411</v>
      </c>
      <c r="K54" s="320">
        <f t="shared" si="35"/>
        <v>0.28037383177570091</v>
      </c>
      <c r="L54" s="320"/>
      <c r="M54" s="321">
        <f>+(G54/F54)*E54</f>
        <v>8.1775700934579434E-2</v>
      </c>
      <c r="N54" s="321">
        <f t="shared" si="36"/>
        <v>9.813084112149531E-2</v>
      </c>
      <c r="O54" s="321"/>
      <c r="P54" s="316">
        <v>78</v>
      </c>
      <c r="Q54" s="580">
        <v>0</v>
      </c>
      <c r="R54" s="317">
        <v>15</v>
      </c>
      <c r="S54" s="317">
        <v>10</v>
      </c>
      <c r="T54" s="317">
        <v>0</v>
      </c>
      <c r="U54" s="317">
        <v>4</v>
      </c>
      <c r="V54" s="646">
        <f t="shared" ref="V54:V55" si="37">+Q54+R54+S54+T54+U54</f>
        <v>29</v>
      </c>
      <c r="W54" s="646">
        <f t="shared" ref="W54" si="38">+V54+P54+AB54</f>
        <v>107</v>
      </c>
      <c r="X54" s="1185">
        <v>0</v>
      </c>
      <c r="Y54" s="330"/>
      <c r="Z54" s="330"/>
      <c r="AA54" s="330"/>
      <c r="AB54" s="330">
        <f t="shared" si="7"/>
        <v>0</v>
      </c>
      <c r="AC54" s="318">
        <v>1</v>
      </c>
      <c r="AD54" s="319">
        <f>+V54/H54</f>
        <v>0.96666666666666667</v>
      </c>
      <c r="AE54" s="319">
        <f>+AB54/I54</f>
        <v>0</v>
      </c>
      <c r="AF54" s="319">
        <f>+AC54*E54</f>
        <v>0.35</v>
      </c>
      <c r="AG54" s="319">
        <f>+AD54*E54</f>
        <v>0.33833333333333332</v>
      </c>
      <c r="AH54" s="319">
        <f t="shared" si="13"/>
        <v>0</v>
      </c>
      <c r="AI54" s="319">
        <f>+P54/F54</f>
        <v>0.7289719626168224</v>
      </c>
      <c r="AJ54" s="319">
        <v>1</v>
      </c>
      <c r="AK54" s="319">
        <f t="shared" si="9"/>
        <v>1</v>
      </c>
      <c r="AL54" s="319">
        <f>+AI54*E54</f>
        <v>0.2551401869158878</v>
      </c>
      <c r="AM54" s="319">
        <f>+AJ54*E54</f>
        <v>0.35</v>
      </c>
      <c r="AN54" s="319">
        <f t="shared" si="11"/>
        <v>0.35</v>
      </c>
      <c r="AO54" s="577" t="s">
        <v>1850</v>
      </c>
      <c r="AP54" s="579" t="s">
        <v>1901</v>
      </c>
      <c r="AQ54" s="579" t="s">
        <v>2264</v>
      </c>
      <c r="AR54" s="897" t="s">
        <v>2289</v>
      </c>
      <c r="AS54" s="897" t="s">
        <v>2402</v>
      </c>
      <c r="AT54" s="897" t="s">
        <v>2436</v>
      </c>
      <c r="AU54" s="603" t="s">
        <v>2493</v>
      </c>
      <c r="AV54" s="603" t="s">
        <v>1893</v>
      </c>
    </row>
    <row r="55" spans="1:48" ht="122.4" customHeight="1" thickBot="1" x14ac:dyDescent="0.45">
      <c r="A55" s="302"/>
      <c r="B55" s="1450" t="s">
        <v>436</v>
      </c>
      <c r="C55" s="1430" t="s">
        <v>437</v>
      </c>
      <c r="D55" s="350" t="s">
        <v>357</v>
      </c>
      <c r="E55" s="310">
        <v>0.15</v>
      </c>
      <c r="F55" s="311">
        <v>4</v>
      </c>
      <c r="G55" s="330">
        <v>1</v>
      </c>
      <c r="H55" s="809">
        <v>1</v>
      </c>
      <c r="I55" s="331">
        <v>1</v>
      </c>
      <c r="J55" s="320">
        <f>+G55/F55</f>
        <v>0.25</v>
      </c>
      <c r="K55" s="320">
        <f t="shared" si="35"/>
        <v>0.25</v>
      </c>
      <c r="L55" s="320">
        <f t="shared" si="14"/>
        <v>0.25</v>
      </c>
      <c r="M55" s="321">
        <f>+(G55/F55)*E55</f>
        <v>3.7499999999999999E-2</v>
      </c>
      <c r="N55" s="321">
        <f t="shared" si="36"/>
        <v>3.7499999999999999E-2</v>
      </c>
      <c r="O55" s="321"/>
      <c r="P55" s="316">
        <v>1</v>
      </c>
      <c r="Q55" s="580">
        <v>0</v>
      </c>
      <c r="R55" s="317">
        <v>0</v>
      </c>
      <c r="S55" s="317">
        <v>0</v>
      </c>
      <c r="T55" s="317">
        <v>1</v>
      </c>
      <c r="U55" s="317">
        <v>0</v>
      </c>
      <c r="V55" s="646">
        <f t="shared" si="37"/>
        <v>1</v>
      </c>
      <c r="W55" s="646">
        <f>+V55+P55+AB55</f>
        <v>2</v>
      </c>
      <c r="X55" s="1185">
        <v>0</v>
      </c>
      <c r="Y55" s="330"/>
      <c r="Z55" s="330"/>
      <c r="AA55" s="330"/>
      <c r="AB55" s="330">
        <f t="shared" si="7"/>
        <v>0</v>
      </c>
      <c r="AC55" s="318">
        <f>+(P55/G55)</f>
        <v>1</v>
      </c>
      <c r="AD55" s="319">
        <f>+V55/H55</f>
        <v>1</v>
      </c>
      <c r="AE55" s="319">
        <f t="shared" si="8"/>
        <v>0</v>
      </c>
      <c r="AF55" s="319">
        <f>+AC55*E55</f>
        <v>0.15</v>
      </c>
      <c r="AG55" s="319">
        <f>+AD55*E55</f>
        <v>0.15</v>
      </c>
      <c r="AH55" s="319">
        <f t="shared" si="13"/>
        <v>0</v>
      </c>
      <c r="AI55" s="319">
        <f>+P55/F55</f>
        <v>0.25</v>
      </c>
      <c r="AJ55" s="319">
        <v>0.5</v>
      </c>
      <c r="AK55" s="319">
        <f t="shared" si="9"/>
        <v>0.5</v>
      </c>
      <c r="AL55" s="319">
        <f>+AI55*E55</f>
        <v>3.7499999999999999E-2</v>
      </c>
      <c r="AM55" s="319">
        <f>+AJ55*E55</f>
        <v>7.4999999999999997E-2</v>
      </c>
      <c r="AN55" s="319">
        <f t="shared" si="11"/>
        <v>7.4999999999999997E-2</v>
      </c>
      <c r="AO55" s="577" t="s">
        <v>1850</v>
      </c>
      <c r="AP55" s="579" t="s">
        <v>1901</v>
      </c>
      <c r="AQ55" s="579" t="s">
        <v>2264</v>
      </c>
      <c r="AR55" s="897" t="s">
        <v>2289</v>
      </c>
      <c r="AS55" s="897" t="s">
        <v>2402</v>
      </c>
      <c r="AT55" s="897" t="s">
        <v>2436</v>
      </c>
      <c r="AU55" s="603" t="s">
        <v>2493</v>
      </c>
      <c r="AV55" s="603" t="s">
        <v>1893</v>
      </c>
    </row>
    <row r="56" spans="1:48" ht="122.4" customHeight="1" thickBot="1" x14ac:dyDescent="0.55000000000000004">
      <c r="A56" s="302"/>
      <c r="B56" s="1548" t="s">
        <v>1650</v>
      </c>
      <c r="C56" s="1549"/>
      <c r="D56" s="350"/>
      <c r="E56" s="307">
        <v>0.02</v>
      </c>
      <c r="F56" s="325"/>
      <c r="G56" s="326"/>
      <c r="H56" s="1077"/>
      <c r="I56" s="308"/>
      <c r="J56" s="327">
        <f>+AVERAGE(J57:J59)</f>
        <v>0.19781931464174454</v>
      </c>
      <c r="K56" s="327">
        <f>+AVERAGE(K57:K59)</f>
        <v>0.12694704049844238</v>
      </c>
      <c r="L56" s="327">
        <f>+AVERAGE(L57:L59)</f>
        <v>0.3259345794392523</v>
      </c>
      <c r="M56" s="328">
        <f>+M57+M58+M59</f>
        <v>0.17172897196261683</v>
      </c>
      <c r="N56" s="328">
        <f>+N57+N58+N59</f>
        <v>0.16542056074766354</v>
      </c>
      <c r="O56" s="328"/>
      <c r="P56" s="316"/>
      <c r="Q56" s="329"/>
      <c r="R56" s="329"/>
      <c r="S56" s="329"/>
      <c r="T56" s="329"/>
      <c r="U56" s="964"/>
      <c r="V56" s="329"/>
      <c r="W56" s="329"/>
      <c r="X56" s="1087"/>
      <c r="Y56" s="1087"/>
      <c r="Z56" s="1087"/>
      <c r="AA56" s="1087"/>
      <c r="AB56" s="1087"/>
      <c r="AC56" s="521">
        <f>+AVERAGE(AC57:AC59)</f>
        <v>0.66666666666666663</v>
      </c>
      <c r="AD56" s="521">
        <f>+AVERAGE(AD57:AD59)</f>
        <v>1</v>
      </c>
      <c r="AE56" s="521">
        <f>+AVERAGE(AE57:AE59)</f>
        <v>0.61627906976744184</v>
      </c>
      <c r="AF56" s="348">
        <f>+(AF57+AF58+AF59)*E56</f>
        <v>1.8000000000000002E-2</v>
      </c>
      <c r="AG56" s="348">
        <f>+(AG57+AG58+AG59)*E56</f>
        <v>1.8000000000000002E-2</v>
      </c>
      <c r="AH56" s="348">
        <f>+(AH57+AH58+AH59)*E56</f>
        <v>1.0325581395348837E-2</v>
      </c>
      <c r="AI56" s="309">
        <f>+AVERAGE(AI57:AI59)</f>
        <v>0.11448598130841121</v>
      </c>
      <c r="AJ56" s="309">
        <v>0.37258566978193147</v>
      </c>
      <c r="AK56" s="309">
        <f>+AVERAGE(AK57:AK59)</f>
        <v>0.35591900311526481</v>
      </c>
      <c r="AL56" s="309">
        <f>+(AL57+AL58+AL59)*E56</f>
        <v>2.9345794392523369E-3</v>
      </c>
      <c r="AM56" s="309">
        <f>+(AM57+AM58+AM59)</f>
        <v>0.47887850467289728</v>
      </c>
      <c r="AN56" s="309">
        <f>+(AN57+AN58+AN59)</f>
        <v>0.45887850467289726</v>
      </c>
      <c r="AO56" s="685"/>
      <c r="AP56" s="308"/>
      <c r="AQ56" s="308"/>
      <c r="AR56" s="308"/>
      <c r="AS56" s="308"/>
      <c r="AT56" s="898"/>
      <c r="AU56" s="895"/>
      <c r="AV56" s="898"/>
    </row>
    <row r="57" spans="1:48" ht="122.4" customHeight="1" thickBot="1" x14ac:dyDescent="0.45">
      <c r="A57" s="302"/>
      <c r="B57" s="1450" t="s">
        <v>438</v>
      </c>
      <c r="C57" s="1430" t="s">
        <v>439</v>
      </c>
      <c r="D57" s="350" t="s">
        <v>357</v>
      </c>
      <c r="E57" s="310">
        <v>0.5</v>
      </c>
      <c r="F57" s="311">
        <v>107</v>
      </c>
      <c r="G57" s="330">
        <v>10</v>
      </c>
      <c r="H57" s="809">
        <v>14</v>
      </c>
      <c r="I57" s="331">
        <v>43</v>
      </c>
      <c r="J57" s="320">
        <f>+G57/F57</f>
        <v>9.3457943925233641E-2</v>
      </c>
      <c r="K57" s="320">
        <f t="shared" si="35"/>
        <v>0.13084112149532709</v>
      </c>
      <c r="L57" s="320">
        <f t="shared" si="14"/>
        <v>0.40186915887850466</v>
      </c>
      <c r="M57" s="321">
        <f>+(G57/F57)*E57</f>
        <v>4.6728971962616821E-2</v>
      </c>
      <c r="N57" s="321">
        <f t="shared" si="36"/>
        <v>6.5420560747663545E-2</v>
      </c>
      <c r="O57" s="321"/>
      <c r="P57" s="316">
        <v>10</v>
      </c>
      <c r="Q57" s="323">
        <v>4</v>
      </c>
      <c r="R57" s="317">
        <v>10</v>
      </c>
      <c r="S57" s="317">
        <v>10</v>
      </c>
      <c r="T57" s="317">
        <v>0</v>
      </c>
      <c r="U57" s="317">
        <v>0</v>
      </c>
      <c r="V57" s="646">
        <v>14</v>
      </c>
      <c r="W57" s="646">
        <f>+V57+P57+AB57</f>
        <v>34</v>
      </c>
      <c r="X57" s="1185">
        <v>10</v>
      </c>
      <c r="Y57" s="330"/>
      <c r="Z57" s="330"/>
      <c r="AA57" s="330"/>
      <c r="AB57" s="330">
        <f t="shared" si="7"/>
        <v>10</v>
      </c>
      <c r="AC57" s="318">
        <f>+(P57/G57)</f>
        <v>1</v>
      </c>
      <c r="AD57" s="319">
        <v>1</v>
      </c>
      <c r="AE57" s="319">
        <f t="shared" si="8"/>
        <v>0.23255813953488372</v>
      </c>
      <c r="AF57" s="319">
        <f>+AC57*E57</f>
        <v>0.5</v>
      </c>
      <c r="AG57" s="319">
        <f>+AD57*E57</f>
        <v>0.5</v>
      </c>
      <c r="AH57" s="319">
        <f t="shared" si="13"/>
        <v>0.11627906976744186</v>
      </c>
      <c r="AI57" s="319">
        <f>+P57/F57</f>
        <v>9.3457943925233641E-2</v>
      </c>
      <c r="AJ57" s="319">
        <v>0.31775700934579437</v>
      </c>
      <c r="AK57" s="319">
        <f t="shared" si="9"/>
        <v>0.31775700934579437</v>
      </c>
      <c r="AL57" s="319">
        <f>+AI57*E57</f>
        <v>4.6728971962616821E-2</v>
      </c>
      <c r="AM57" s="319">
        <f>+AJ57*E57</f>
        <v>0.15887850467289719</v>
      </c>
      <c r="AN57" s="319">
        <f t="shared" si="11"/>
        <v>0.15887850467289719</v>
      </c>
      <c r="AO57" s="577" t="s">
        <v>1850</v>
      </c>
      <c r="AP57" s="579" t="s">
        <v>1901</v>
      </c>
      <c r="AQ57" s="579" t="s">
        <v>2264</v>
      </c>
      <c r="AR57" s="897" t="s">
        <v>2289</v>
      </c>
      <c r="AS57" s="897" t="s">
        <v>2402</v>
      </c>
      <c r="AT57" s="897" t="s">
        <v>2436</v>
      </c>
      <c r="AU57" s="603" t="s">
        <v>2493</v>
      </c>
      <c r="AV57" s="603" t="s">
        <v>1893</v>
      </c>
    </row>
    <row r="58" spans="1:48" ht="122.4" customHeight="1" thickBot="1" x14ac:dyDescent="0.45">
      <c r="A58" s="302"/>
      <c r="B58" s="1450" t="s">
        <v>440</v>
      </c>
      <c r="C58" s="1430" t="s">
        <v>441</v>
      </c>
      <c r="D58" s="350" t="s">
        <v>357</v>
      </c>
      <c r="E58" s="310">
        <v>0.1</v>
      </c>
      <c r="F58" s="311">
        <v>1</v>
      </c>
      <c r="G58" s="330">
        <v>0.25</v>
      </c>
      <c r="H58" s="809">
        <v>0</v>
      </c>
      <c r="I58" s="331"/>
      <c r="J58" s="320">
        <f>+G58/F58</f>
        <v>0.25</v>
      </c>
      <c r="K58" s="320">
        <f t="shared" si="35"/>
        <v>0</v>
      </c>
      <c r="L58" s="320"/>
      <c r="M58" s="321">
        <f>+(G58/F58)*E58</f>
        <v>2.5000000000000001E-2</v>
      </c>
      <c r="N58" s="321">
        <f t="shared" si="36"/>
        <v>0</v>
      </c>
      <c r="O58" s="321"/>
      <c r="P58" s="316">
        <v>0</v>
      </c>
      <c r="Q58" s="323"/>
      <c r="R58" s="317"/>
      <c r="S58" s="317"/>
      <c r="T58" s="317"/>
      <c r="U58" s="317"/>
      <c r="V58" s="646">
        <f t="shared" ref="V58" si="39">+Q58+R58+S58+T58+U58</f>
        <v>0</v>
      </c>
      <c r="W58" s="646">
        <f t="shared" ref="W58:W59" si="40">+V58+P58+AB58</f>
        <v>0</v>
      </c>
      <c r="X58" s="1185">
        <v>0</v>
      </c>
      <c r="Y58" s="330"/>
      <c r="Z58" s="330"/>
      <c r="AA58" s="330"/>
      <c r="AB58" s="330">
        <f t="shared" si="7"/>
        <v>0</v>
      </c>
      <c r="AC58" s="318">
        <f>+(P58/G58)</f>
        <v>0</v>
      </c>
      <c r="AD58" s="319"/>
      <c r="AE58" s="319"/>
      <c r="AF58" s="319">
        <f>+AC58*E58</f>
        <v>0</v>
      </c>
      <c r="AG58" s="319">
        <f>+AD58*E58</f>
        <v>0</v>
      </c>
      <c r="AH58" s="319">
        <f t="shared" si="13"/>
        <v>0</v>
      </c>
      <c r="AI58" s="319">
        <f>+P58/F58</f>
        <v>0</v>
      </c>
      <c r="AJ58" s="319">
        <v>0</v>
      </c>
      <c r="AK58" s="319">
        <f t="shared" si="9"/>
        <v>0</v>
      </c>
      <c r="AL58" s="319">
        <f>+AI58*E58</f>
        <v>0</v>
      </c>
      <c r="AM58" s="319">
        <f>+AJ58*E58</f>
        <v>0</v>
      </c>
      <c r="AN58" s="319">
        <f t="shared" si="11"/>
        <v>0</v>
      </c>
      <c r="AO58" s="577" t="s">
        <v>1850</v>
      </c>
      <c r="AP58" s="578" t="s">
        <v>1911</v>
      </c>
      <c r="AQ58" s="579" t="s">
        <v>2264</v>
      </c>
      <c r="AR58" s="897" t="s">
        <v>2289</v>
      </c>
      <c r="AS58" s="897" t="s">
        <v>2402</v>
      </c>
      <c r="AT58" s="897" t="s">
        <v>2436</v>
      </c>
      <c r="AU58" s="603" t="s">
        <v>2493</v>
      </c>
      <c r="AV58" s="603" t="s">
        <v>1893</v>
      </c>
    </row>
    <row r="59" spans="1:48" ht="122.4" customHeight="1" thickBot="1" x14ac:dyDescent="0.45">
      <c r="A59" s="302"/>
      <c r="B59" s="1452" t="s">
        <v>442</v>
      </c>
      <c r="C59" s="1427" t="s">
        <v>443</v>
      </c>
      <c r="D59" s="350" t="s">
        <v>357</v>
      </c>
      <c r="E59" s="310">
        <v>0.4</v>
      </c>
      <c r="F59" s="311">
        <v>40</v>
      </c>
      <c r="G59" s="330">
        <v>10</v>
      </c>
      <c r="H59" s="809">
        <v>10</v>
      </c>
      <c r="I59" s="331">
        <v>10</v>
      </c>
      <c r="J59" s="320">
        <f>+G59/F59</f>
        <v>0.25</v>
      </c>
      <c r="K59" s="320">
        <f t="shared" si="35"/>
        <v>0.25</v>
      </c>
      <c r="L59" s="320">
        <f t="shared" si="14"/>
        <v>0.25</v>
      </c>
      <c r="M59" s="321">
        <f>+(G59/F59)*E59</f>
        <v>0.1</v>
      </c>
      <c r="N59" s="321">
        <f t="shared" si="36"/>
        <v>0.1</v>
      </c>
      <c r="O59" s="321"/>
      <c r="P59" s="316">
        <v>10</v>
      </c>
      <c r="Q59" s="323">
        <v>3</v>
      </c>
      <c r="R59" s="317">
        <v>9</v>
      </c>
      <c r="S59" s="317">
        <v>10</v>
      </c>
      <c r="T59" s="317"/>
      <c r="U59" s="317">
        <v>0</v>
      </c>
      <c r="V59" s="646">
        <v>10</v>
      </c>
      <c r="W59" s="646">
        <f t="shared" si="40"/>
        <v>30</v>
      </c>
      <c r="X59" s="1185">
        <v>10</v>
      </c>
      <c r="Y59" s="330"/>
      <c r="Z59" s="330"/>
      <c r="AA59" s="330"/>
      <c r="AB59" s="330">
        <f t="shared" si="7"/>
        <v>10</v>
      </c>
      <c r="AC59" s="318">
        <f>+(P59/G59)</f>
        <v>1</v>
      </c>
      <c r="AD59" s="319">
        <v>1</v>
      </c>
      <c r="AE59" s="319">
        <f t="shared" si="8"/>
        <v>1</v>
      </c>
      <c r="AF59" s="319">
        <f>+AC59*E59</f>
        <v>0.4</v>
      </c>
      <c r="AG59" s="319">
        <f>+AD59*E59</f>
        <v>0.4</v>
      </c>
      <c r="AH59" s="319">
        <f t="shared" si="13"/>
        <v>0.4</v>
      </c>
      <c r="AI59" s="319">
        <f>+P59/F59</f>
        <v>0.25</v>
      </c>
      <c r="AJ59" s="319">
        <v>0.8</v>
      </c>
      <c r="AK59" s="319">
        <f t="shared" si="9"/>
        <v>0.75</v>
      </c>
      <c r="AL59" s="319">
        <f>+AI59*E59</f>
        <v>0.1</v>
      </c>
      <c r="AM59" s="319">
        <f>+AJ59*E59</f>
        <v>0.32000000000000006</v>
      </c>
      <c r="AN59" s="319">
        <f t="shared" si="11"/>
        <v>0.30000000000000004</v>
      </c>
      <c r="AO59" s="577" t="s">
        <v>1850</v>
      </c>
      <c r="AP59" s="579" t="s">
        <v>1901</v>
      </c>
      <c r="AQ59" s="579" t="s">
        <v>2264</v>
      </c>
      <c r="AR59" s="897" t="s">
        <v>2289</v>
      </c>
      <c r="AS59" s="897" t="s">
        <v>2402</v>
      </c>
      <c r="AT59" s="897" t="s">
        <v>2436</v>
      </c>
      <c r="AU59" s="603" t="s">
        <v>2493</v>
      </c>
      <c r="AV59" s="603" t="s">
        <v>1893</v>
      </c>
    </row>
    <row r="60" spans="1:48" ht="122.4" customHeight="1" thickBot="1" x14ac:dyDescent="0.55000000000000004">
      <c r="A60" s="302"/>
      <c r="B60" s="1548" t="s">
        <v>1651</v>
      </c>
      <c r="C60" s="1549"/>
      <c r="D60" s="350"/>
      <c r="E60" s="307">
        <v>0.1</v>
      </c>
      <c r="F60" s="311"/>
      <c r="G60" s="326"/>
      <c r="H60" s="1077"/>
      <c r="I60" s="308"/>
      <c r="J60" s="327">
        <f>+AVERAGE(J61:J67)</f>
        <v>0.21443137254901962</v>
      </c>
      <c r="K60" s="327">
        <f>+AVERAGE(K61:K67)</f>
        <v>0.2941830065359477</v>
      </c>
      <c r="L60" s="327">
        <f>+AVERAGE(L61:L67)</f>
        <v>0.32348459383753497</v>
      </c>
      <c r="M60" s="328">
        <f>+M61+M62+M63+M64+M65+M66+M67</f>
        <v>0.15490686274509805</v>
      </c>
      <c r="N60" s="328">
        <f>+N61+N62+N63+N64+N65+N66+N67</f>
        <v>0.28919771241830067</v>
      </c>
      <c r="O60" s="328"/>
      <c r="P60" s="316"/>
      <c r="Q60" s="329"/>
      <c r="R60" s="329"/>
      <c r="S60" s="329"/>
      <c r="T60" s="329"/>
      <c r="U60" s="964"/>
      <c r="V60" s="329"/>
      <c r="W60" s="329"/>
      <c r="X60" s="1087"/>
      <c r="Y60" s="1087"/>
      <c r="Z60" s="1087"/>
      <c r="AA60" s="1087"/>
      <c r="AB60" s="1087"/>
      <c r="AC60" s="521">
        <f>+AVERAGE(AC61:AC67)</f>
        <v>0.91082380952380948</v>
      </c>
      <c r="AD60" s="521">
        <f>+AVERAGE(AD61:AD67)</f>
        <v>0.51087674487674484</v>
      </c>
      <c r="AE60" s="521">
        <f>+AVERAGE(AE61:AE67)</f>
        <v>8.6831070702038451E-2</v>
      </c>
      <c r="AF60" s="348">
        <f>+(AF61+AF62+AF63+AF64+AF65+AF66+AF67)*E60</f>
        <v>7.9564761904761902E-2</v>
      </c>
      <c r="AG60" s="348">
        <f>+(AG61+AG62+AG63+AG64+AG65+AG66+AG67)*E60</f>
        <v>5.2353596673596674E-2</v>
      </c>
      <c r="AH60" s="348">
        <f>+(AH61+AH62+AH63+AH64+AH65+AH66+AH67)*E60</f>
        <v>1.6542429526300497E-2</v>
      </c>
      <c r="AI60" s="309">
        <f>+AVERAGE(AI61:AI67)</f>
        <v>0.19200359477124182</v>
      </c>
      <c r="AJ60" s="309">
        <v>0.31358053221288518</v>
      </c>
      <c r="AK60" s="309">
        <f>+AVERAGE(AK61:AK67)</f>
        <v>0.34188258636788049</v>
      </c>
      <c r="AL60" s="309">
        <f>+(AL61+AL62+AL63+AL64+AL65+AL66+AL67)*E60</f>
        <v>1.4392630718954247E-2</v>
      </c>
      <c r="AM60" s="309">
        <f>+(AM61+AM62+AM63+AM64+AM65+AM66+AM67)</f>
        <v>0.30288872549019608</v>
      </c>
      <c r="AN60" s="309">
        <f>+(AN61+AN62+AN63+AN64+AN65+AN66+AN67)</f>
        <v>0.36099477124183005</v>
      </c>
      <c r="AO60" s="685"/>
      <c r="AP60" s="308"/>
      <c r="AQ60" s="308"/>
      <c r="AR60" s="308"/>
      <c r="AS60" s="308"/>
      <c r="AT60" s="898"/>
      <c r="AU60" s="895"/>
      <c r="AV60" s="898"/>
    </row>
    <row r="61" spans="1:48" ht="122.4" customHeight="1" thickBot="1" x14ac:dyDescent="0.45">
      <c r="A61" s="302"/>
      <c r="B61" s="1450" t="s">
        <v>444</v>
      </c>
      <c r="C61" s="1430" t="s">
        <v>445</v>
      </c>
      <c r="D61" s="350" t="s">
        <v>357</v>
      </c>
      <c r="E61" s="310">
        <v>0.4</v>
      </c>
      <c r="F61" s="311">
        <v>9000</v>
      </c>
      <c r="G61" s="330">
        <v>1200</v>
      </c>
      <c r="H61" s="809">
        <v>2600</v>
      </c>
      <c r="I61" s="331">
        <v>3441</v>
      </c>
      <c r="J61" s="320">
        <f>+G61/F61</f>
        <v>0.13333333333333333</v>
      </c>
      <c r="K61" s="320">
        <f t="shared" si="35"/>
        <v>0.28888888888888886</v>
      </c>
      <c r="L61" s="320">
        <f t="shared" si="14"/>
        <v>0.38233333333333336</v>
      </c>
      <c r="M61" s="321">
        <f>+(G61/F61)*E61</f>
        <v>5.3333333333333337E-2</v>
      </c>
      <c r="N61" s="321">
        <f t="shared" si="36"/>
        <v>0.11555555555555555</v>
      </c>
      <c r="O61" s="321"/>
      <c r="P61" s="316">
        <v>1123</v>
      </c>
      <c r="Q61" s="580">
        <v>0</v>
      </c>
      <c r="R61" s="580">
        <v>468</v>
      </c>
      <c r="S61" s="317">
        <v>353</v>
      </c>
      <c r="T61" s="317">
        <v>0</v>
      </c>
      <c r="U61" s="317">
        <v>605</v>
      </c>
      <c r="V61" s="646">
        <f>+Q61+R61+S61+T61+U61</f>
        <v>1426</v>
      </c>
      <c r="W61" s="646">
        <f>+V61+P61+AB61+10</f>
        <v>3581</v>
      </c>
      <c r="X61" s="1185">
        <v>1022</v>
      </c>
      <c r="Y61" s="330"/>
      <c r="Z61" s="330"/>
      <c r="AA61" s="330"/>
      <c r="AB61" s="330">
        <f t="shared" si="7"/>
        <v>1022</v>
      </c>
      <c r="AC61" s="318">
        <f>+(P61/G61)</f>
        <v>0.93583333333333329</v>
      </c>
      <c r="AD61" s="319">
        <f>+V61/H61</f>
        <v>0.54846153846153844</v>
      </c>
      <c r="AE61" s="319">
        <f t="shared" si="8"/>
        <v>0.29700668410345832</v>
      </c>
      <c r="AF61" s="319">
        <f>+AC61*E61</f>
        <v>0.37433333333333335</v>
      </c>
      <c r="AG61" s="319">
        <f t="shared" ref="AG61:AG67" si="41">+AD61*E61</f>
        <v>0.2193846153846154</v>
      </c>
      <c r="AH61" s="319">
        <f t="shared" si="13"/>
        <v>0.11880267364138333</v>
      </c>
      <c r="AI61" s="319">
        <f>+P61/F61</f>
        <v>0.12477777777777778</v>
      </c>
      <c r="AJ61" s="319">
        <v>0.28433333333333333</v>
      </c>
      <c r="AK61" s="319">
        <f t="shared" si="9"/>
        <v>0.3978888888888889</v>
      </c>
      <c r="AL61" s="319">
        <f>+AI61*E61</f>
        <v>4.9911111111111114E-2</v>
      </c>
      <c r="AM61" s="319">
        <f t="shared" ref="AM61:AM67" si="42">+AJ61*E61</f>
        <v>0.11373333333333334</v>
      </c>
      <c r="AN61" s="319">
        <f t="shared" si="11"/>
        <v>0.15915555555555558</v>
      </c>
      <c r="AO61" s="577" t="s">
        <v>1850</v>
      </c>
      <c r="AP61" s="579" t="s">
        <v>1901</v>
      </c>
      <c r="AQ61" s="579" t="s">
        <v>2264</v>
      </c>
      <c r="AR61" s="897" t="s">
        <v>2289</v>
      </c>
      <c r="AS61" s="897" t="s">
        <v>2402</v>
      </c>
      <c r="AT61" s="897" t="s">
        <v>2436</v>
      </c>
      <c r="AU61" s="603" t="s">
        <v>2493</v>
      </c>
      <c r="AV61" s="603" t="s">
        <v>1893</v>
      </c>
    </row>
    <row r="62" spans="1:48" ht="172.2" customHeight="1" thickBot="1" x14ac:dyDescent="0.45">
      <c r="A62" s="302"/>
      <c r="B62" s="1450" t="s">
        <v>446</v>
      </c>
      <c r="C62" s="1430" t="s">
        <v>447</v>
      </c>
      <c r="D62" s="350" t="s">
        <v>357</v>
      </c>
      <c r="E62" s="310">
        <v>0.15</v>
      </c>
      <c r="F62" s="311">
        <v>544</v>
      </c>
      <c r="G62" s="330">
        <v>100</v>
      </c>
      <c r="H62" s="809">
        <v>148</v>
      </c>
      <c r="I62" s="331">
        <v>148</v>
      </c>
      <c r="J62" s="320">
        <f>+G62/F62</f>
        <v>0.18382352941176472</v>
      </c>
      <c r="K62" s="320">
        <f t="shared" si="35"/>
        <v>0.27205882352941174</v>
      </c>
      <c r="L62" s="320">
        <f t="shared" si="14"/>
        <v>0.27205882352941174</v>
      </c>
      <c r="M62" s="321">
        <f>+(G62/F62)*E62</f>
        <v>2.7573529411764709E-2</v>
      </c>
      <c r="N62" s="321">
        <f t="shared" si="36"/>
        <v>4.0808823529411759E-2</v>
      </c>
      <c r="O62" s="321"/>
      <c r="P62" s="316">
        <v>100</v>
      </c>
      <c r="Q62" s="580">
        <v>0</v>
      </c>
      <c r="R62" s="580">
        <v>0</v>
      </c>
      <c r="S62" s="317">
        <v>100</v>
      </c>
      <c r="T62" s="317">
        <v>0</v>
      </c>
      <c r="U62" s="317">
        <v>0</v>
      </c>
      <c r="V62" s="646">
        <f t="shared" ref="V62:V67" si="43">+Q62+R62+S62+T62+U62</f>
        <v>100</v>
      </c>
      <c r="W62" s="646">
        <f t="shared" ref="W62:W67" si="44">+V62+P62+AB62</f>
        <v>246</v>
      </c>
      <c r="X62" s="1185">
        <v>46</v>
      </c>
      <c r="Y62" s="330"/>
      <c r="Z62" s="330"/>
      <c r="AA62" s="330"/>
      <c r="AB62" s="330">
        <f t="shared" si="7"/>
        <v>46</v>
      </c>
      <c r="AC62" s="318">
        <f>+(P62/G62)</f>
        <v>1</v>
      </c>
      <c r="AD62" s="319">
        <f>+V62/H62</f>
        <v>0.67567567567567566</v>
      </c>
      <c r="AE62" s="319">
        <f t="shared" si="8"/>
        <v>0.3108108108108108</v>
      </c>
      <c r="AF62" s="319">
        <f>+AC62*E62</f>
        <v>0.15</v>
      </c>
      <c r="AG62" s="319">
        <f t="shared" si="41"/>
        <v>0.10135135135135134</v>
      </c>
      <c r="AH62" s="319">
        <f t="shared" si="13"/>
        <v>4.6621621621621617E-2</v>
      </c>
      <c r="AI62" s="319">
        <f>+P62/F62</f>
        <v>0.18382352941176472</v>
      </c>
      <c r="AJ62" s="319">
        <v>0.36764705882352944</v>
      </c>
      <c r="AK62" s="319">
        <f t="shared" si="9"/>
        <v>0.45220588235294118</v>
      </c>
      <c r="AL62" s="319">
        <f>+AI62*E62</f>
        <v>2.7573529411764709E-2</v>
      </c>
      <c r="AM62" s="319">
        <f t="shared" si="42"/>
        <v>5.5147058823529417E-2</v>
      </c>
      <c r="AN62" s="319">
        <f t="shared" si="11"/>
        <v>6.7830882352941171E-2</v>
      </c>
      <c r="AO62" s="577" t="s">
        <v>1850</v>
      </c>
      <c r="AP62" s="579" t="s">
        <v>1901</v>
      </c>
      <c r="AQ62" s="579" t="s">
        <v>2264</v>
      </c>
      <c r="AR62" s="897" t="s">
        <v>2289</v>
      </c>
      <c r="AS62" s="897" t="s">
        <v>2402</v>
      </c>
      <c r="AT62" s="897" t="s">
        <v>2436</v>
      </c>
      <c r="AU62" s="603" t="s">
        <v>2493</v>
      </c>
      <c r="AV62" s="603" t="s">
        <v>1893</v>
      </c>
    </row>
    <row r="63" spans="1:48" ht="122.4" customHeight="1" thickBot="1" x14ac:dyDescent="0.45">
      <c r="A63" s="302"/>
      <c r="B63" s="1450" t="s">
        <v>448</v>
      </c>
      <c r="C63" s="1430" t="s">
        <v>449</v>
      </c>
      <c r="D63" s="350" t="s">
        <v>357</v>
      </c>
      <c r="E63" s="310">
        <v>0.1</v>
      </c>
      <c r="F63" s="311">
        <v>12000</v>
      </c>
      <c r="G63" s="330">
        <v>2700</v>
      </c>
      <c r="H63" s="809">
        <v>3100</v>
      </c>
      <c r="I63" s="331">
        <v>3000</v>
      </c>
      <c r="J63" s="320">
        <f>+G63/F63</f>
        <v>0.22500000000000001</v>
      </c>
      <c r="K63" s="320">
        <f t="shared" si="35"/>
        <v>0.25833333333333336</v>
      </c>
      <c r="L63" s="320">
        <f t="shared" si="14"/>
        <v>0.25</v>
      </c>
      <c r="M63" s="321">
        <f>+(G63/F63)*E63</f>
        <v>2.2500000000000003E-2</v>
      </c>
      <c r="N63" s="321">
        <f t="shared" si="36"/>
        <v>2.5833333333333337E-2</v>
      </c>
      <c r="O63" s="321"/>
      <c r="P63" s="316">
        <v>2705</v>
      </c>
      <c r="Q63" s="580">
        <v>0</v>
      </c>
      <c r="R63" s="580">
        <v>0</v>
      </c>
      <c r="S63" s="317">
        <v>0</v>
      </c>
      <c r="T63" s="317">
        <v>0</v>
      </c>
      <c r="U63" s="317">
        <v>3404</v>
      </c>
      <c r="V63" s="646">
        <f t="shared" si="43"/>
        <v>3404</v>
      </c>
      <c r="W63" s="646">
        <f t="shared" si="44"/>
        <v>6109</v>
      </c>
      <c r="X63" s="1185">
        <v>0</v>
      </c>
      <c r="Y63" s="330"/>
      <c r="Z63" s="330"/>
      <c r="AA63" s="330"/>
      <c r="AB63" s="330">
        <f t="shared" si="7"/>
        <v>0</v>
      </c>
      <c r="AC63" s="318">
        <v>1</v>
      </c>
      <c r="AD63" s="319">
        <v>1</v>
      </c>
      <c r="AE63" s="319">
        <f t="shared" si="8"/>
        <v>0</v>
      </c>
      <c r="AF63" s="319">
        <f>+AC63*E63</f>
        <v>0.1</v>
      </c>
      <c r="AG63" s="319">
        <f t="shared" si="41"/>
        <v>0.1</v>
      </c>
      <c r="AH63" s="319">
        <f t="shared" si="13"/>
        <v>0</v>
      </c>
      <c r="AI63" s="319">
        <f>+P63/F63</f>
        <v>0.22541666666666665</v>
      </c>
      <c r="AJ63" s="319">
        <v>0.50908333333333333</v>
      </c>
      <c r="AK63" s="319">
        <f t="shared" si="9"/>
        <v>0.50908333333333333</v>
      </c>
      <c r="AL63" s="319">
        <f>+AI63*E63</f>
        <v>2.2541666666666668E-2</v>
      </c>
      <c r="AM63" s="319">
        <f t="shared" si="42"/>
        <v>5.0908333333333333E-2</v>
      </c>
      <c r="AN63" s="319">
        <f t="shared" si="11"/>
        <v>5.0908333333333333E-2</v>
      </c>
      <c r="AO63" s="577" t="s">
        <v>1850</v>
      </c>
      <c r="AP63" s="578" t="s">
        <v>1912</v>
      </c>
      <c r="AQ63" s="579" t="s">
        <v>2264</v>
      </c>
      <c r="AR63" s="897" t="s">
        <v>2289</v>
      </c>
      <c r="AS63" s="897" t="s">
        <v>2402</v>
      </c>
      <c r="AT63" s="897" t="s">
        <v>2436</v>
      </c>
      <c r="AU63" s="603" t="s">
        <v>2493</v>
      </c>
      <c r="AV63" s="603" t="s">
        <v>1893</v>
      </c>
    </row>
    <row r="64" spans="1:48" ht="122.4" customHeight="1" thickBot="1" x14ac:dyDescent="0.45">
      <c r="A64" s="302"/>
      <c r="B64" s="1450" t="s">
        <v>450</v>
      </c>
      <c r="C64" s="1430" t="s">
        <v>451</v>
      </c>
      <c r="D64" s="350" t="s">
        <v>357</v>
      </c>
      <c r="E64" s="310">
        <v>0.05</v>
      </c>
      <c r="F64" s="311">
        <v>25</v>
      </c>
      <c r="G64" s="330">
        <v>7</v>
      </c>
      <c r="H64" s="809">
        <v>6</v>
      </c>
      <c r="I64" s="331">
        <v>4</v>
      </c>
      <c r="J64" s="320">
        <f>+G64/F64</f>
        <v>0.28000000000000003</v>
      </c>
      <c r="K64" s="320">
        <f t="shared" si="35"/>
        <v>0.24</v>
      </c>
      <c r="L64" s="320">
        <f t="shared" si="14"/>
        <v>0.16</v>
      </c>
      <c r="M64" s="321">
        <f>+(G64/F64)*E64</f>
        <v>1.4000000000000002E-2</v>
      </c>
      <c r="N64" s="321">
        <f t="shared" si="36"/>
        <v>1.2E-2</v>
      </c>
      <c r="O64" s="321"/>
      <c r="P64" s="316">
        <v>5</v>
      </c>
      <c r="Q64" s="580">
        <v>6</v>
      </c>
      <c r="R64" s="580">
        <v>0</v>
      </c>
      <c r="S64" s="317">
        <v>6</v>
      </c>
      <c r="T64" s="317">
        <v>0</v>
      </c>
      <c r="U64" s="317">
        <v>1</v>
      </c>
      <c r="V64" s="646">
        <f t="shared" si="43"/>
        <v>13</v>
      </c>
      <c r="W64" s="646">
        <f t="shared" si="44"/>
        <v>18</v>
      </c>
      <c r="X64" s="1185">
        <v>0</v>
      </c>
      <c r="Y64" s="330"/>
      <c r="Z64" s="330"/>
      <c r="AA64" s="330"/>
      <c r="AB64" s="330">
        <f t="shared" si="7"/>
        <v>0</v>
      </c>
      <c r="AC64" s="318">
        <f>+(P64/G64)</f>
        <v>0.7142857142857143</v>
      </c>
      <c r="AD64" s="319">
        <v>1</v>
      </c>
      <c r="AE64" s="319">
        <f t="shared" si="8"/>
        <v>0</v>
      </c>
      <c r="AF64" s="319">
        <f>+AC64*E64</f>
        <v>3.5714285714285719E-2</v>
      </c>
      <c r="AG64" s="319">
        <f t="shared" si="41"/>
        <v>0.05</v>
      </c>
      <c r="AH64" s="319">
        <f t="shared" si="13"/>
        <v>0</v>
      </c>
      <c r="AI64" s="319">
        <f>+P64/F64</f>
        <v>0.2</v>
      </c>
      <c r="AJ64" s="319">
        <v>0.72</v>
      </c>
      <c r="AK64" s="319">
        <f t="shared" si="9"/>
        <v>0.72</v>
      </c>
      <c r="AL64" s="319">
        <f>+AI64*E64</f>
        <v>1.0000000000000002E-2</v>
      </c>
      <c r="AM64" s="319">
        <f t="shared" si="42"/>
        <v>3.5999999999999997E-2</v>
      </c>
      <c r="AN64" s="319">
        <f t="shared" si="11"/>
        <v>3.5999999999999997E-2</v>
      </c>
      <c r="AO64" s="577" t="s">
        <v>1850</v>
      </c>
      <c r="AP64" s="579" t="s">
        <v>1901</v>
      </c>
      <c r="AQ64" s="579" t="s">
        <v>2264</v>
      </c>
      <c r="AR64" s="897" t="s">
        <v>2289</v>
      </c>
      <c r="AS64" s="897" t="s">
        <v>2402</v>
      </c>
      <c r="AT64" s="897" t="s">
        <v>2436</v>
      </c>
      <c r="AU64" s="603" t="s">
        <v>2493</v>
      </c>
      <c r="AV64" s="603" t="s">
        <v>1893</v>
      </c>
    </row>
    <row r="65" spans="1:48" ht="122.4" customHeight="1" thickBot="1" x14ac:dyDescent="0.45">
      <c r="A65" s="302"/>
      <c r="B65" s="1450" t="s">
        <v>452</v>
      </c>
      <c r="C65" s="1430" t="s">
        <v>453</v>
      </c>
      <c r="D65" s="350" t="s">
        <v>357</v>
      </c>
      <c r="E65" s="310">
        <v>0.1</v>
      </c>
      <c r="F65" s="311">
        <v>5</v>
      </c>
      <c r="G65" s="330">
        <v>0</v>
      </c>
      <c r="H65" s="809">
        <v>2</v>
      </c>
      <c r="I65" s="331">
        <v>3</v>
      </c>
      <c r="J65" s="320"/>
      <c r="K65" s="320">
        <f t="shared" si="35"/>
        <v>0.4</v>
      </c>
      <c r="L65" s="320">
        <f t="shared" si="14"/>
        <v>0.6</v>
      </c>
      <c r="M65" s="321"/>
      <c r="N65" s="321">
        <f t="shared" si="36"/>
        <v>4.0000000000000008E-2</v>
      </c>
      <c r="O65" s="321"/>
      <c r="P65" s="316"/>
      <c r="Q65" s="580">
        <v>0</v>
      </c>
      <c r="R65" s="580">
        <v>0</v>
      </c>
      <c r="S65" s="317">
        <v>0</v>
      </c>
      <c r="T65" s="317">
        <v>0</v>
      </c>
      <c r="U65" s="317">
        <v>0</v>
      </c>
      <c r="V65" s="646">
        <f t="shared" si="43"/>
        <v>0</v>
      </c>
      <c r="W65" s="646">
        <f t="shared" si="44"/>
        <v>0</v>
      </c>
      <c r="X65" s="1185">
        <v>0</v>
      </c>
      <c r="Y65" s="330"/>
      <c r="Z65" s="330"/>
      <c r="AA65" s="330"/>
      <c r="AB65" s="330">
        <f t="shared" si="7"/>
        <v>0</v>
      </c>
      <c r="AC65" s="318"/>
      <c r="AD65" s="319">
        <f>+V65/H65</f>
        <v>0</v>
      </c>
      <c r="AE65" s="319">
        <f t="shared" si="8"/>
        <v>0</v>
      </c>
      <c r="AF65" s="319"/>
      <c r="AG65" s="319">
        <f t="shared" si="41"/>
        <v>0</v>
      </c>
      <c r="AH65" s="319">
        <f t="shared" si="13"/>
        <v>0</v>
      </c>
      <c r="AI65" s="319"/>
      <c r="AJ65" s="319">
        <v>0</v>
      </c>
      <c r="AK65" s="319">
        <f t="shared" si="9"/>
        <v>0</v>
      </c>
      <c r="AL65" s="319"/>
      <c r="AM65" s="319">
        <f t="shared" si="42"/>
        <v>0</v>
      </c>
      <c r="AN65" s="319">
        <f t="shared" si="11"/>
        <v>0</v>
      </c>
      <c r="AO65" s="577" t="s">
        <v>1850</v>
      </c>
      <c r="AP65" s="644" t="s">
        <v>1919</v>
      </c>
      <c r="AQ65" s="579" t="s">
        <v>2264</v>
      </c>
      <c r="AR65" s="897" t="s">
        <v>2289</v>
      </c>
      <c r="AS65" s="897" t="s">
        <v>2402</v>
      </c>
      <c r="AT65" s="897" t="s">
        <v>2436</v>
      </c>
      <c r="AU65" s="603" t="s">
        <v>2493</v>
      </c>
      <c r="AV65" s="603" t="s">
        <v>1893</v>
      </c>
    </row>
    <row r="66" spans="1:48" ht="122.4" customHeight="1" thickBot="1" x14ac:dyDescent="0.45">
      <c r="A66" s="302"/>
      <c r="B66" s="1450" t="s">
        <v>454</v>
      </c>
      <c r="C66" s="1430" t="s">
        <v>455</v>
      </c>
      <c r="D66" s="350" t="s">
        <v>357</v>
      </c>
      <c r="E66" s="310">
        <v>0.15</v>
      </c>
      <c r="F66" s="311">
        <v>500</v>
      </c>
      <c r="G66" s="330">
        <v>125</v>
      </c>
      <c r="H66" s="809">
        <v>125</v>
      </c>
      <c r="I66" s="331">
        <v>125</v>
      </c>
      <c r="J66" s="320">
        <f>+G66/F66</f>
        <v>0.25</v>
      </c>
      <c r="K66" s="320">
        <f t="shared" si="35"/>
        <v>0.25</v>
      </c>
      <c r="L66" s="320">
        <f t="shared" si="14"/>
        <v>0.25</v>
      </c>
      <c r="M66" s="321">
        <f>+(G66/F66)*E66</f>
        <v>3.7499999999999999E-2</v>
      </c>
      <c r="N66" s="321">
        <f t="shared" si="36"/>
        <v>3.7499999999999999E-2</v>
      </c>
      <c r="O66" s="321"/>
      <c r="P66" s="316">
        <v>113</v>
      </c>
      <c r="Q66" s="580">
        <v>0</v>
      </c>
      <c r="R66" s="580">
        <v>44</v>
      </c>
      <c r="S66" s="317">
        <v>0</v>
      </c>
      <c r="T66" s="317">
        <v>0</v>
      </c>
      <c r="U66" s="317">
        <v>0</v>
      </c>
      <c r="V66" s="646">
        <f t="shared" si="43"/>
        <v>44</v>
      </c>
      <c r="W66" s="646">
        <f t="shared" si="44"/>
        <v>157</v>
      </c>
      <c r="X66" s="1185">
        <v>0</v>
      </c>
      <c r="Y66" s="330"/>
      <c r="Z66" s="330"/>
      <c r="AA66" s="330"/>
      <c r="AB66" s="330">
        <f t="shared" si="7"/>
        <v>0</v>
      </c>
      <c r="AC66" s="318">
        <f>+(P66/G66)</f>
        <v>0.90400000000000003</v>
      </c>
      <c r="AD66" s="319">
        <f>+V66/H66</f>
        <v>0.35199999999999998</v>
      </c>
      <c r="AE66" s="319">
        <f t="shared" si="8"/>
        <v>0</v>
      </c>
      <c r="AF66" s="319">
        <f>+AC66*E66</f>
        <v>0.1356</v>
      </c>
      <c r="AG66" s="319">
        <f t="shared" si="41"/>
        <v>5.2799999999999993E-2</v>
      </c>
      <c r="AH66" s="319">
        <f t="shared" si="13"/>
        <v>0</v>
      </c>
      <c r="AI66" s="319">
        <f>+P66/F66</f>
        <v>0.22600000000000001</v>
      </c>
      <c r="AJ66" s="319">
        <v>0.314</v>
      </c>
      <c r="AK66" s="319">
        <f t="shared" si="9"/>
        <v>0.314</v>
      </c>
      <c r="AL66" s="319">
        <f>+AI66*E66</f>
        <v>3.39E-2</v>
      </c>
      <c r="AM66" s="319">
        <f t="shared" si="42"/>
        <v>4.7099999999999996E-2</v>
      </c>
      <c r="AN66" s="319">
        <f t="shared" si="11"/>
        <v>4.7099999999999996E-2</v>
      </c>
      <c r="AO66" s="577" t="s">
        <v>1850</v>
      </c>
      <c r="AP66" s="579" t="s">
        <v>1901</v>
      </c>
      <c r="AQ66" s="579" t="s">
        <v>2264</v>
      </c>
      <c r="AR66" s="897" t="s">
        <v>2289</v>
      </c>
      <c r="AS66" s="897" t="s">
        <v>2402</v>
      </c>
      <c r="AT66" s="897" t="s">
        <v>2436</v>
      </c>
      <c r="AU66" s="603" t="s">
        <v>2493</v>
      </c>
      <c r="AV66" s="603" t="s">
        <v>1893</v>
      </c>
    </row>
    <row r="67" spans="1:48" ht="122.4" customHeight="1" thickBot="1" x14ac:dyDescent="0.45">
      <c r="A67" s="302"/>
      <c r="B67" s="1450" t="s">
        <v>456</v>
      </c>
      <c r="C67" s="1430" t="s">
        <v>457</v>
      </c>
      <c r="D67" s="613" t="s">
        <v>357</v>
      </c>
      <c r="E67" s="310">
        <v>0.05</v>
      </c>
      <c r="F67" s="311">
        <v>200</v>
      </c>
      <c r="G67" s="330"/>
      <c r="H67" s="809">
        <v>70</v>
      </c>
      <c r="I67" s="331">
        <v>70</v>
      </c>
      <c r="J67" s="320"/>
      <c r="K67" s="320">
        <f t="shared" si="35"/>
        <v>0.35</v>
      </c>
      <c r="L67" s="320">
        <f t="shared" si="14"/>
        <v>0.35</v>
      </c>
      <c r="M67" s="321"/>
      <c r="N67" s="321">
        <f t="shared" si="36"/>
        <v>1.7499999999999998E-2</v>
      </c>
      <c r="O67" s="321"/>
      <c r="P67" s="316"/>
      <c r="Q67" s="580">
        <v>0</v>
      </c>
      <c r="R67" s="580">
        <v>0</v>
      </c>
      <c r="S67" s="317">
        <v>0</v>
      </c>
      <c r="T67" s="317">
        <v>0</v>
      </c>
      <c r="U67" s="317">
        <v>0</v>
      </c>
      <c r="V67" s="646">
        <f t="shared" si="43"/>
        <v>0</v>
      </c>
      <c r="W67" s="646">
        <f t="shared" si="44"/>
        <v>0</v>
      </c>
      <c r="X67" s="1185">
        <v>0</v>
      </c>
      <c r="Y67" s="330"/>
      <c r="Z67" s="330"/>
      <c r="AA67" s="330"/>
      <c r="AB67" s="330">
        <f t="shared" si="7"/>
        <v>0</v>
      </c>
      <c r="AC67" s="318"/>
      <c r="AD67" s="319">
        <f>+V67/H67</f>
        <v>0</v>
      </c>
      <c r="AE67" s="319">
        <f t="shared" si="8"/>
        <v>0</v>
      </c>
      <c r="AF67" s="319"/>
      <c r="AG67" s="319">
        <f t="shared" si="41"/>
        <v>0</v>
      </c>
      <c r="AH67" s="319">
        <f t="shared" si="13"/>
        <v>0</v>
      </c>
      <c r="AI67" s="319"/>
      <c r="AJ67" s="319">
        <v>0</v>
      </c>
      <c r="AK67" s="319">
        <f t="shared" si="9"/>
        <v>0</v>
      </c>
      <c r="AL67" s="319"/>
      <c r="AM67" s="319">
        <f t="shared" si="42"/>
        <v>0</v>
      </c>
      <c r="AN67" s="319">
        <f t="shared" si="11"/>
        <v>0</v>
      </c>
      <c r="AO67" s="577" t="s">
        <v>1850</v>
      </c>
      <c r="AP67" s="644" t="s">
        <v>1919</v>
      </c>
      <c r="AQ67" s="579" t="s">
        <v>2264</v>
      </c>
      <c r="AR67" s="897" t="s">
        <v>2289</v>
      </c>
      <c r="AS67" s="897" t="s">
        <v>2402</v>
      </c>
      <c r="AT67" s="897" t="s">
        <v>2436</v>
      </c>
      <c r="AU67" s="603" t="s">
        <v>2493</v>
      </c>
      <c r="AV67" s="603" t="s">
        <v>1893</v>
      </c>
    </row>
    <row r="68" spans="1:48" ht="122.4" customHeight="1" thickBot="1" x14ac:dyDescent="0.55000000000000004">
      <c r="A68" s="302"/>
      <c r="B68" s="1548" t="s">
        <v>458</v>
      </c>
      <c r="C68" s="1549"/>
      <c r="D68" s="620"/>
      <c r="E68" s="307">
        <v>0.02</v>
      </c>
      <c r="F68" s="325"/>
      <c r="G68" s="326"/>
      <c r="H68" s="1077"/>
      <c r="I68" s="308"/>
      <c r="J68" s="327">
        <f>+AVERAGE(J69:J72)</f>
        <v>0.20065789473684209</v>
      </c>
      <c r="K68" s="327">
        <f>+AVERAGE(K69:K72)</f>
        <v>0.29276315789473684</v>
      </c>
      <c r="L68" s="327">
        <f>+AVERAGE(L69:L72)</f>
        <v>0.31776315789473686</v>
      </c>
      <c r="M68" s="328">
        <f>+M69+M70+M71+M72</f>
        <v>0.24013157894736842</v>
      </c>
      <c r="N68" s="328">
        <f>+N69+N70+N71+N72</f>
        <v>0.25855263157894737</v>
      </c>
      <c r="O68" s="328"/>
      <c r="P68" s="316"/>
      <c r="Q68" s="329"/>
      <c r="R68" s="329"/>
      <c r="S68" s="329"/>
      <c r="T68" s="329"/>
      <c r="U68" s="964"/>
      <c r="V68" s="329"/>
      <c r="W68" s="329"/>
      <c r="X68" s="1087"/>
      <c r="Y68" s="1087"/>
      <c r="Z68" s="1087"/>
      <c r="AA68" s="1087"/>
      <c r="AB68" s="1087"/>
      <c r="AC68" s="521">
        <f>+AVERAGE(AC69:AC72)</f>
        <v>0.72750000000000004</v>
      </c>
      <c r="AD68" s="521">
        <f>+AVERAGE(AD69:AD72)</f>
        <v>0.79437499999999994</v>
      </c>
      <c r="AE68" s="521">
        <f>+AVERAGE(AE69:AE72)</f>
        <v>6.8312500000000012E-2</v>
      </c>
      <c r="AF68" s="348">
        <f>+(AF69+AF70+AF71+AF72)*E68</f>
        <v>1.5910000000000001E-2</v>
      </c>
      <c r="AG68" s="348">
        <f>+(AG69+AG70+AG71+AG72)*E68</f>
        <v>1.7777499999999998E-2</v>
      </c>
      <c r="AH68" s="348">
        <f>+(AH69+AH70+AH71+AH72)*E68</f>
        <v>2.8652499999999997E-3</v>
      </c>
      <c r="AI68" s="309">
        <f>+AVERAGE(AI69:AI72)</f>
        <v>0.1369736842105263</v>
      </c>
      <c r="AJ68" s="582">
        <v>0.43584210526315786</v>
      </c>
      <c r="AK68" s="582">
        <f>+AVERAGE(AK69:AK72)</f>
        <v>0.45382894736842105</v>
      </c>
      <c r="AL68" s="309">
        <f>+(AL69+AL70+AL71+AL72)*E68</f>
        <v>3.7978947368421051E-3</v>
      </c>
      <c r="AM68" s="309">
        <f>+(AM69+AM70+AM71+AM72)</f>
        <v>0.46981842105263161</v>
      </c>
      <c r="AN68" s="309">
        <f>+(AN69+AN70+AN71+AN72)</f>
        <v>0.50581578947368422</v>
      </c>
      <c r="AO68" s="685"/>
      <c r="AP68" s="308"/>
      <c r="AQ68" s="308"/>
      <c r="AR68" s="308"/>
      <c r="AS68" s="308"/>
      <c r="AT68" s="898"/>
      <c r="AU68" s="895"/>
      <c r="AV68" s="898"/>
    </row>
    <row r="69" spans="1:48" ht="122.4" customHeight="1" thickBot="1" x14ac:dyDescent="0.45">
      <c r="A69" s="302"/>
      <c r="B69" s="1452" t="s">
        <v>459</v>
      </c>
      <c r="C69" s="1427" t="s">
        <v>460</v>
      </c>
      <c r="D69" s="614" t="s">
        <v>357</v>
      </c>
      <c r="E69" s="310">
        <v>0.05</v>
      </c>
      <c r="F69" s="311">
        <v>19</v>
      </c>
      <c r="G69" s="330">
        <v>1</v>
      </c>
      <c r="H69" s="809">
        <v>8</v>
      </c>
      <c r="I69" s="331">
        <v>8</v>
      </c>
      <c r="J69" s="320">
        <f>+G69/F69</f>
        <v>5.2631578947368418E-2</v>
      </c>
      <c r="K69" s="320">
        <f t="shared" si="35"/>
        <v>0.42105263157894735</v>
      </c>
      <c r="L69" s="320">
        <f t="shared" si="14"/>
        <v>0.42105263157894735</v>
      </c>
      <c r="M69" s="321">
        <f>+(G69/F69)*E69</f>
        <v>2.631578947368421E-3</v>
      </c>
      <c r="N69" s="321">
        <f t="shared" si="36"/>
        <v>2.1052631578947368E-2</v>
      </c>
      <c r="O69" s="321"/>
      <c r="P69" s="316">
        <v>0.91</v>
      </c>
      <c r="Q69" s="323">
        <v>1.6</v>
      </c>
      <c r="R69" s="317">
        <v>2.48</v>
      </c>
      <c r="S69" s="317">
        <v>0.14000000000000001</v>
      </c>
      <c r="T69" s="961">
        <v>0</v>
      </c>
      <c r="U69" s="317">
        <v>2.8</v>
      </c>
      <c r="V69" s="322">
        <f>+Q69+R69+S69+T69+U69</f>
        <v>7.02</v>
      </c>
      <c r="W69" s="322">
        <f>+V69+P69+AB69</f>
        <v>8.1</v>
      </c>
      <c r="X69" s="1185">
        <v>0.17</v>
      </c>
      <c r="Y69" s="330"/>
      <c r="Z69" s="330"/>
      <c r="AA69" s="330"/>
      <c r="AB69" s="1462">
        <f t="shared" si="7"/>
        <v>0.17</v>
      </c>
      <c r="AC69" s="318">
        <f>+(P69/G69)</f>
        <v>0.91</v>
      </c>
      <c r="AD69" s="319">
        <f>+V69/H69</f>
        <v>0.87749999999999995</v>
      </c>
      <c r="AE69" s="319">
        <f t="shared" si="8"/>
        <v>2.1250000000000002E-2</v>
      </c>
      <c r="AF69" s="319">
        <f>+AC69*E69</f>
        <v>4.5500000000000006E-2</v>
      </c>
      <c r="AG69" s="319">
        <f>+AD69*E69</f>
        <v>4.3874999999999997E-2</v>
      </c>
      <c r="AH69" s="319">
        <f t="shared" si="13"/>
        <v>1.0625000000000001E-3</v>
      </c>
      <c r="AI69" s="319">
        <f>+P69/F69</f>
        <v>4.7894736842105268E-2</v>
      </c>
      <c r="AJ69" s="319">
        <v>0.41736842105263156</v>
      </c>
      <c r="AK69" s="319">
        <f t="shared" si="9"/>
        <v>0.4263157894736842</v>
      </c>
      <c r="AL69" s="319">
        <f>+AI69*E69</f>
        <v>2.3947368421052637E-3</v>
      </c>
      <c r="AM69" s="319">
        <f>+AJ69*E69</f>
        <v>2.0868421052631578E-2</v>
      </c>
      <c r="AN69" s="319">
        <f>+AK69*E69</f>
        <v>2.1315789473684212E-2</v>
      </c>
      <c r="AO69" s="577" t="s">
        <v>1850</v>
      </c>
      <c r="AP69" s="579" t="s">
        <v>1901</v>
      </c>
      <c r="AQ69" s="579" t="s">
        <v>2264</v>
      </c>
      <c r="AR69" s="897" t="s">
        <v>2289</v>
      </c>
      <c r="AS69" s="897" t="s">
        <v>2402</v>
      </c>
      <c r="AT69" s="578" t="s">
        <v>1865</v>
      </c>
      <c r="AU69" s="603" t="s">
        <v>2493</v>
      </c>
      <c r="AV69" s="603" t="s">
        <v>1893</v>
      </c>
    </row>
    <row r="70" spans="1:48" ht="122.4" customHeight="1" thickBot="1" x14ac:dyDescent="0.45">
      <c r="A70" s="302"/>
      <c r="B70" s="1452" t="s">
        <v>461</v>
      </c>
      <c r="C70" s="1427" t="s">
        <v>462</v>
      </c>
      <c r="D70" s="490" t="s">
        <v>357</v>
      </c>
      <c r="E70" s="310">
        <v>0.2</v>
      </c>
      <c r="F70" s="311">
        <v>1</v>
      </c>
      <c r="G70" s="330">
        <v>0.25</v>
      </c>
      <c r="H70" s="809">
        <v>0.25</v>
      </c>
      <c r="I70" s="331">
        <v>0.35</v>
      </c>
      <c r="J70" s="320">
        <f>+G70/F70</f>
        <v>0.25</v>
      </c>
      <c r="K70" s="320">
        <f t="shared" si="35"/>
        <v>0.25</v>
      </c>
      <c r="L70" s="320">
        <f t="shared" si="14"/>
        <v>0.35</v>
      </c>
      <c r="M70" s="321">
        <f>+(G70/F70)*E70</f>
        <v>0.05</v>
      </c>
      <c r="N70" s="321">
        <f t="shared" si="36"/>
        <v>0.05</v>
      </c>
      <c r="O70" s="321"/>
      <c r="P70" s="316">
        <v>0</v>
      </c>
      <c r="Q70" s="778">
        <v>1E-3</v>
      </c>
      <c r="R70" s="317">
        <v>0.2</v>
      </c>
      <c r="S70" s="317">
        <v>0.2</v>
      </c>
      <c r="T70" s="961">
        <v>0.1</v>
      </c>
      <c r="U70" s="317"/>
      <c r="V70" s="322">
        <f>+Q70+R70+S70+T70+U70</f>
        <v>0.501</v>
      </c>
      <c r="W70" s="322">
        <f t="shared" ref="W70:W72" si="45">+V70+P70+AB70</f>
        <v>0.501</v>
      </c>
      <c r="X70" s="1185">
        <v>0</v>
      </c>
      <c r="Y70" s="330"/>
      <c r="Z70" s="330"/>
      <c r="AA70" s="330"/>
      <c r="AB70" s="1462">
        <f t="shared" si="7"/>
        <v>0</v>
      </c>
      <c r="AC70" s="318">
        <f>+(P70/G70)</f>
        <v>0</v>
      </c>
      <c r="AD70" s="319">
        <v>1</v>
      </c>
      <c r="AE70" s="319">
        <f t="shared" si="8"/>
        <v>0</v>
      </c>
      <c r="AF70" s="319">
        <f>+AC70*E70</f>
        <v>0</v>
      </c>
      <c r="AG70" s="319">
        <f>+AD70*E70</f>
        <v>0.2</v>
      </c>
      <c r="AH70" s="319">
        <f t="shared" si="13"/>
        <v>0</v>
      </c>
      <c r="AI70" s="319">
        <f>+P70/F70</f>
        <v>0</v>
      </c>
      <c r="AJ70" s="319">
        <v>0.501</v>
      </c>
      <c r="AK70" s="319">
        <f t="shared" si="9"/>
        <v>0.501</v>
      </c>
      <c r="AL70" s="319">
        <f>+AI70*E70</f>
        <v>0</v>
      </c>
      <c r="AM70" s="319">
        <f>+AJ70*E70</f>
        <v>0.10020000000000001</v>
      </c>
      <c r="AN70" s="319">
        <f t="shared" si="11"/>
        <v>0.10020000000000001</v>
      </c>
      <c r="AO70" s="577" t="s">
        <v>1850</v>
      </c>
      <c r="AP70" s="579" t="s">
        <v>1901</v>
      </c>
      <c r="AQ70" s="579" t="s">
        <v>2264</v>
      </c>
      <c r="AR70" s="897" t="s">
        <v>2289</v>
      </c>
      <c r="AS70" s="897" t="s">
        <v>2404</v>
      </c>
      <c r="AT70" s="578" t="s">
        <v>1865</v>
      </c>
      <c r="AU70" s="603" t="s">
        <v>2493</v>
      </c>
      <c r="AV70" s="603" t="s">
        <v>1893</v>
      </c>
    </row>
    <row r="71" spans="1:48" ht="122.4" customHeight="1" thickBot="1" x14ac:dyDescent="0.45">
      <c r="A71" s="302"/>
      <c r="B71" s="1452" t="s">
        <v>463</v>
      </c>
      <c r="C71" s="1427" t="s">
        <v>464</v>
      </c>
      <c r="D71" s="617" t="s">
        <v>357</v>
      </c>
      <c r="E71" s="310">
        <v>0.6</v>
      </c>
      <c r="F71" s="311">
        <v>1</v>
      </c>
      <c r="G71" s="330">
        <v>0.25</v>
      </c>
      <c r="H71" s="809">
        <v>0.25</v>
      </c>
      <c r="I71" s="331">
        <v>0.25</v>
      </c>
      <c r="J71" s="320">
        <f>+G71/F71</f>
        <v>0.25</v>
      </c>
      <c r="K71" s="320">
        <f t="shared" si="35"/>
        <v>0.25</v>
      </c>
      <c r="L71" s="320">
        <f t="shared" si="14"/>
        <v>0.25</v>
      </c>
      <c r="M71" s="321">
        <f>+(G71/F71)*E71</f>
        <v>0.15</v>
      </c>
      <c r="N71" s="321">
        <f t="shared" si="36"/>
        <v>0.15</v>
      </c>
      <c r="O71" s="321"/>
      <c r="P71" s="322">
        <v>0.25</v>
      </c>
      <c r="Q71" s="778">
        <v>1.2800000000000001E-2</v>
      </c>
      <c r="R71" s="317">
        <v>8.1000000000000003E-2</v>
      </c>
      <c r="S71" s="317">
        <v>9.1499999999999998E-2</v>
      </c>
      <c r="T71" s="961">
        <v>6.4699999999999994E-2</v>
      </c>
      <c r="U71" s="317"/>
      <c r="V71" s="322">
        <f t="shared" ref="V71:V72" si="46">+Q71+R71+S71+T71+U71</f>
        <v>0.25</v>
      </c>
      <c r="W71" s="315">
        <f t="shared" si="45"/>
        <v>0.55800000000000005</v>
      </c>
      <c r="X71" s="1195">
        <v>5.8000000000000003E-2</v>
      </c>
      <c r="Y71" s="1088"/>
      <c r="Z71" s="1088"/>
      <c r="AA71" s="1088"/>
      <c r="AB71" s="1462">
        <f t="shared" ref="AB71:AB90" si="47">+X71+Y71+Z71+AA71</f>
        <v>5.8000000000000003E-2</v>
      </c>
      <c r="AC71" s="318">
        <v>1</v>
      </c>
      <c r="AD71" s="319">
        <f>+V71/H71</f>
        <v>1</v>
      </c>
      <c r="AE71" s="319">
        <f t="shared" ref="AE71:AE90" si="48">+AB71/I71</f>
        <v>0.23200000000000001</v>
      </c>
      <c r="AF71" s="319">
        <f>+AC71*E71</f>
        <v>0.6</v>
      </c>
      <c r="AG71" s="319">
        <f>+AD71*E71</f>
        <v>0.6</v>
      </c>
      <c r="AH71" s="319">
        <f t="shared" si="13"/>
        <v>0.13919999999999999</v>
      </c>
      <c r="AI71" s="319">
        <f>+P71/F71</f>
        <v>0.25</v>
      </c>
      <c r="AJ71" s="319">
        <v>0.5</v>
      </c>
      <c r="AK71" s="319">
        <f t="shared" ref="AK71:AK90" si="49">+W71/F71</f>
        <v>0.55800000000000005</v>
      </c>
      <c r="AL71" s="319">
        <f>+AI71*E71</f>
        <v>0.15</v>
      </c>
      <c r="AM71" s="319">
        <f>+AJ71*E71</f>
        <v>0.3</v>
      </c>
      <c r="AN71" s="319">
        <f t="shared" ref="AN71:AN90" si="50">+AK71*E71</f>
        <v>0.33480000000000004</v>
      </c>
      <c r="AO71" s="577" t="s">
        <v>1850</v>
      </c>
      <c r="AP71" s="579" t="s">
        <v>1901</v>
      </c>
      <c r="AQ71" s="579" t="s">
        <v>2264</v>
      </c>
      <c r="AR71" s="897" t="s">
        <v>2289</v>
      </c>
      <c r="AS71" s="897" t="s">
        <v>2402</v>
      </c>
      <c r="AT71" s="578" t="s">
        <v>1865</v>
      </c>
      <c r="AU71" s="603" t="s">
        <v>2493</v>
      </c>
      <c r="AV71" s="603" t="s">
        <v>1893</v>
      </c>
    </row>
    <row r="72" spans="1:48" ht="122.4" customHeight="1" thickBot="1" x14ac:dyDescent="0.45">
      <c r="A72" s="302"/>
      <c r="B72" s="1452" t="s">
        <v>465</v>
      </c>
      <c r="C72" s="1427" t="s">
        <v>466</v>
      </c>
      <c r="D72" s="490" t="s">
        <v>357</v>
      </c>
      <c r="E72" s="310">
        <v>0.15</v>
      </c>
      <c r="F72" s="311">
        <v>1</v>
      </c>
      <c r="G72" s="330">
        <v>0.25</v>
      </c>
      <c r="H72" s="809">
        <v>0.25</v>
      </c>
      <c r="I72" s="331">
        <v>0.25</v>
      </c>
      <c r="J72" s="320">
        <f>+G72/F72</f>
        <v>0.25</v>
      </c>
      <c r="K72" s="320">
        <f t="shared" si="35"/>
        <v>0.25</v>
      </c>
      <c r="L72" s="320">
        <f t="shared" si="14"/>
        <v>0.25</v>
      </c>
      <c r="M72" s="321">
        <f>+(G72/F72)*E72</f>
        <v>3.7499999999999999E-2</v>
      </c>
      <c r="N72" s="321">
        <f t="shared" si="36"/>
        <v>3.7499999999999999E-2</v>
      </c>
      <c r="O72" s="321"/>
      <c r="P72" s="316">
        <v>0.25</v>
      </c>
      <c r="Q72" s="1001">
        <v>2.5000000000000001E-2</v>
      </c>
      <c r="R72" s="1001">
        <v>3.7499999999999999E-2</v>
      </c>
      <c r="S72" s="1001">
        <v>1.2500000000000001E-2</v>
      </c>
      <c r="T72" s="961">
        <v>0</v>
      </c>
      <c r="U72" s="961">
        <v>0</v>
      </c>
      <c r="V72" s="322">
        <f t="shared" si="46"/>
        <v>7.4999999999999997E-2</v>
      </c>
      <c r="W72" s="315">
        <f t="shared" si="45"/>
        <v>0.33</v>
      </c>
      <c r="X72" s="1185">
        <v>5.0000000000000001E-3</v>
      </c>
      <c r="Y72" s="330"/>
      <c r="Z72" s="330"/>
      <c r="AA72" s="330"/>
      <c r="AB72" s="1462">
        <f t="shared" si="47"/>
        <v>5.0000000000000001E-3</v>
      </c>
      <c r="AC72" s="318">
        <f>+(P72/G72)</f>
        <v>1</v>
      </c>
      <c r="AD72" s="319">
        <f>+V72/H72</f>
        <v>0.3</v>
      </c>
      <c r="AE72" s="319">
        <f t="shared" si="48"/>
        <v>0.02</v>
      </c>
      <c r="AF72" s="319">
        <f>+AC72*E72</f>
        <v>0.15</v>
      </c>
      <c r="AG72" s="319">
        <f>+AD72*E72</f>
        <v>4.4999999999999998E-2</v>
      </c>
      <c r="AH72" s="319">
        <f t="shared" si="13"/>
        <v>3.0000000000000001E-3</v>
      </c>
      <c r="AI72" s="319">
        <f>+P72/F72</f>
        <v>0.25</v>
      </c>
      <c r="AJ72" s="319">
        <v>0.32500000000000001</v>
      </c>
      <c r="AK72" s="319">
        <f t="shared" si="49"/>
        <v>0.33</v>
      </c>
      <c r="AL72" s="319">
        <f>+AI72*E72</f>
        <v>3.7499999999999999E-2</v>
      </c>
      <c r="AM72" s="319">
        <f>+AJ72*E72</f>
        <v>4.8750000000000002E-2</v>
      </c>
      <c r="AN72" s="319">
        <f t="shared" si="50"/>
        <v>4.9500000000000002E-2</v>
      </c>
      <c r="AO72" s="577" t="s">
        <v>1850</v>
      </c>
      <c r="AP72" s="579" t="s">
        <v>1901</v>
      </c>
      <c r="AQ72" s="579" t="s">
        <v>2264</v>
      </c>
      <c r="AR72" s="897" t="s">
        <v>2289</v>
      </c>
      <c r="AS72" s="897" t="s">
        <v>2402</v>
      </c>
      <c r="AT72" s="578" t="s">
        <v>1865</v>
      </c>
      <c r="AU72" s="603" t="s">
        <v>2493</v>
      </c>
      <c r="AV72" s="603" t="s">
        <v>1893</v>
      </c>
    </row>
    <row r="73" spans="1:48" ht="122.4" customHeight="1" thickBot="1" x14ac:dyDescent="0.55000000000000004">
      <c r="A73" s="302"/>
      <c r="B73" s="1548" t="s">
        <v>1652</v>
      </c>
      <c r="C73" s="1550"/>
      <c r="D73" s="621"/>
      <c r="E73" s="307">
        <v>0.02</v>
      </c>
      <c r="F73" s="311"/>
      <c r="G73" s="326"/>
      <c r="H73" s="1077"/>
      <c r="I73" s="308"/>
      <c r="J73" s="327">
        <f>+AVERAGE(J74:J76)</f>
        <v>0.26633986928104575</v>
      </c>
      <c r="K73" s="327">
        <f>+AVERAGE(K74:K76)</f>
        <v>0.51470588235294124</v>
      </c>
      <c r="L73" s="327">
        <f>+AVERAGE(L74:L76)</f>
        <v>0.57598039215686281</v>
      </c>
      <c r="M73" s="328">
        <f>+M74+M75+M76</f>
        <v>0.26470588235294118</v>
      </c>
      <c r="N73" s="328">
        <f>+N74+N75+N76</f>
        <v>0.4882352941176471</v>
      </c>
      <c r="O73" s="328"/>
      <c r="P73" s="316"/>
      <c r="Q73" s="329"/>
      <c r="R73" s="329"/>
      <c r="S73" s="329"/>
      <c r="T73" s="329"/>
      <c r="U73" s="964"/>
      <c r="V73" s="329"/>
      <c r="W73" s="329"/>
      <c r="X73" s="1087"/>
      <c r="Y73" s="1087"/>
      <c r="Z73" s="1087"/>
      <c r="AA73" s="1087"/>
      <c r="AB73" s="1087"/>
      <c r="AC73" s="521">
        <f>+AVERAGE(AC74:AC76)</f>
        <v>0.33333333333333331</v>
      </c>
      <c r="AD73" s="521">
        <f>+AVERAGE(AD74:AD76)</f>
        <v>0.89111111111111108</v>
      </c>
      <c r="AE73" s="521">
        <f>+AVERAGE(AE74:AE76)</f>
        <v>0.33333333333333331</v>
      </c>
      <c r="AF73" s="348">
        <f>+(AF74+AF75+AF76)*E73</f>
        <v>6.0000000000000001E-3</v>
      </c>
      <c r="AG73" s="348">
        <f>+(AG74+AG75+AG76)*E73</f>
        <v>1.8039999999999997E-2</v>
      </c>
      <c r="AH73" s="348">
        <f>+(AH74+AH75+AH76)*E73</f>
        <v>6.0000000000000001E-3</v>
      </c>
      <c r="AI73" s="309">
        <f>+AVERAGE(AI74:AI76)</f>
        <v>0.10888888888888888</v>
      </c>
      <c r="AJ73" s="309">
        <v>0.51470588235294124</v>
      </c>
      <c r="AK73" s="309">
        <f>+AVERAGE(AK74:AK76)</f>
        <v>0.51470588235294124</v>
      </c>
      <c r="AL73" s="309">
        <f>+(AL74+AL75+AL76)*E73</f>
        <v>1.9599999999999999E-3</v>
      </c>
      <c r="AM73" s="309">
        <f>+(AM74+AM75+AM76)</f>
        <v>0.4882352941176471</v>
      </c>
      <c r="AN73" s="309">
        <f>+(AN74+AN75+AN76)</f>
        <v>0.4882352941176471</v>
      </c>
      <c r="AO73" s="685"/>
      <c r="AP73" s="308"/>
      <c r="AQ73" s="308"/>
      <c r="AR73" s="308"/>
      <c r="AS73" s="308"/>
      <c r="AT73" s="898"/>
      <c r="AU73" s="895"/>
      <c r="AV73" s="898"/>
    </row>
    <row r="74" spans="1:48" ht="122.4" customHeight="1" thickBot="1" x14ac:dyDescent="0.45">
      <c r="A74" s="302"/>
      <c r="B74" s="1450" t="s">
        <v>467</v>
      </c>
      <c r="C74" s="1463" t="s">
        <v>468</v>
      </c>
      <c r="D74" s="622" t="s">
        <v>357</v>
      </c>
      <c r="E74" s="310">
        <v>0.3</v>
      </c>
      <c r="F74" s="311">
        <v>150</v>
      </c>
      <c r="G74" s="330">
        <v>40</v>
      </c>
      <c r="H74" s="809">
        <v>150</v>
      </c>
      <c r="I74" s="331">
        <v>150</v>
      </c>
      <c r="J74" s="320">
        <f>+G74/F74</f>
        <v>0.26666666666666666</v>
      </c>
      <c r="K74" s="320">
        <f t="shared" si="35"/>
        <v>1</v>
      </c>
      <c r="L74" s="320">
        <f t="shared" si="14"/>
        <v>1</v>
      </c>
      <c r="M74" s="321">
        <f>+(G74/F74)*E74</f>
        <v>0.08</v>
      </c>
      <c r="N74" s="321">
        <f t="shared" si="36"/>
        <v>0.3</v>
      </c>
      <c r="O74" s="321"/>
      <c r="P74" s="335">
        <v>49</v>
      </c>
      <c r="Q74" s="323">
        <v>50</v>
      </c>
      <c r="R74" s="317">
        <v>16</v>
      </c>
      <c r="S74" s="317">
        <v>35</v>
      </c>
      <c r="T74" s="317">
        <v>0</v>
      </c>
      <c r="U74" s="317"/>
      <c r="V74" s="962">
        <f>+Q74+R74+S74+T74+U74</f>
        <v>101</v>
      </c>
      <c r="W74" s="962">
        <f>+V74+P74+AB74</f>
        <v>300</v>
      </c>
      <c r="X74" s="1185">
        <v>150</v>
      </c>
      <c r="Y74" s="1089"/>
      <c r="Z74" s="1089"/>
      <c r="AA74" s="1089"/>
      <c r="AB74" s="1089">
        <f t="shared" si="47"/>
        <v>150</v>
      </c>
      <c r="AC74" s="318">
        <v>1</v>
      </c>
      <c r="AD74" s="319">
        <f>+V74/H74</f>
        <v>0.67333333333333334</v>
      </c>
      <c r="AE74" s="319">
        <f t="shared" si="48"/>
        <v>1</v>
      </c>
      <c r="AF74" s="319">
        <f>+AC74*E74</f>
        <v>0.3</v>
      </c>
      <c r="AG74" s="319">
        <f>+AD74*E74</f>
        <v>0.20199999999999999</v>
      </c>
      <c r="AH74" s="319">
        <f t="shared" si="13"/>
        <v>0.3</v>
      </c>
      <c r="AI74" s="319">
        <f>+P74/F74</f>
        <v>0.32666666666666666</v>
      </c>
      <c r="AJ74" s="319">
        <v>1</v>
      </c>
      <c r="AK74" s="319">
        <v>1</v>
      </c>
      <c r="AL74" s="319">
        <f>+AI74*E74</f>
        <v>9.799999999999999E-2</v>
      </c>
      <c r="AM74" s="319">
        <f>+AJ74*E74</f>
        <v>0.3</v>
      </c>
      <c r="AN74" s="319">
        <f t="shared" si="50"/>
        <v>0.3</v>
      </c>
      <c r="AO74" s="577" t="s">
        <v>1850</v>
      </c>
      <c r="AP74" s="579" t="s">
        <v>1901</v>
      </c>
      <c r="AQ74" s="579" t="s">
        <v>2264</v>
      </c>
      <c r="AR74" s="897" t="s">
        <v>2289</v>
      </c>
      <c r="AS74" s="897" t="s">
        <v>2402</v>
      </c>
      <c r="AT74" s="897" t="s">
        <v>2436</v>
      </c>
      <c r="AU74" s="603" t="s">
        <v>2493</v>
      </c>
      <c r="AV74" s="603" t="s">
        <v>1893</v>
      </c>
    </row>
    <row r="75" spans="1:48" ht="122.4" customHeight="1" thickBot="1" x14ac:dyDescent="0.45">
      <c r="A75" s="302"/>
      <c r="B75" s="1450" t="s">
        <v>469</v>
      </c>
      <c r="C75" s="1463" t="s">
        <v>470</v>
      </c>
      <c r="D75" s="622" t="s">
        <v>357</v>
      </c>
      <c r="E75" s="310">
        <v>0.4</v>
      </c>
      <c r="F75" s="311">
        <v>8</v>
      </c>
      <c r="G75" s="330">
        <v>2</v>
      </c>
      <c r="H75" s="809">
        <v>2</v>
      </c>
      <c r="I75" s="331">
        <v>3</v>
      </c>
      <c r="J75" s="320">
        <f>+G75/F75</f>
        <v>0.25</v>
      </c>
      <c r="K75" s="320">
        <f t="shared" si="35"/>
        <v>0.25</v>
      </c>
      <c r="L75" s="320">
        <f t="shared" si="14"/>
        <v>0.375</v>
      </c>
      <c r="M75" s="321">
        <f>+(G75/F75)*E75</f>
        <v>0.1</v>
      </c>
      <c r="N75" s="321">
        <f t="shared" si="36"/>
        <v>0.1</v>
      </c>
      <c r="O75" s="321"/>
      <c r="P75" s="316">
        <v>0</v>
      </c>
      <c r="Q75" s="323">
        <v>0</v>
      </c>
      <c r="R75" s="317">
        <v>0</v>
      </c>
      <c r="S75" s="317">
        <v>0</v>
      </c>
      <c r="T75" s="317">
        <v>2</v>
      </c>
      <c r="U75" s="317"/>
      <c r="V75" s="962">
        <f t="shared" ref="V75:V76" si="51">+Q75+R75+S75+T75+U75</f>
        <v>2</v>
      </c>
      <c r="W75" s="962">
        <f t="shared" ref="W75:W76" si="52">+V75+P75+AB75</f>
        <v>2</v>
      </c>
      <c r="X75" s="1185">
        <v>0</v>
      </c>
      <c r="Y75" s="330"/>
      <c r="Z75" s="330"/>
      <c r="AA75" s="330"/>
      <c r="AB75" s="330">
        <f t="shared" si="47"/>
        <v>0</v>
      </c>
      <c r="AC75" s="318">
        <f>+(P75/G75)</f>
        <v>0</v>
      </c>
      <c r="AD75" s="319">
        <f>+V75/H75</f>
        <v>1</v>
      </c>
      <c r="AE75" s="319">
        <f t="shared" si="48"/>
        <v>0</v>
      </c>
      <c r="AF75" s="319">
        <f>+AC75*E75</f>
        <v>0</v>
      </c>
      <c r="AG75" s="319">
        <f>+AD75*E75</f>
        <v>0.4</v>
      </c>
      <c r="AH75" s="319">
        <f t="shared" si="13"/>
        <v>0</v>
      </c>
      <c r="AI75" s="319">
        <f>+P75/F75</f>
        <v>0</v>
      </c>
      <c r="AJ75" s="319">
        <v>0.25</v>
      </c>
      <c r="AK75" s="319">
        <f t="shared" si="49"/>
        <v>0.25</v>
      </c>
      <c r="AL75" s="319">
        <f>+AI75*E75</f>
        <v>0</v>
      </c>
      <c r="AM75" s="319">
        <f>+AJ75*E75</f>
        <v>0.1</v>
      </c>
      <c r="AN75" s="319">
        <f t="shared" si="50"/>
        <v>0.1</v>
      </c>
      <c r="AO75" s="577" t="s">
        <v>1850</v>
      </c>
      <c r="AP75" s="579" t="s">
        <v>1901</v>
      </c>
      <c r="AQ75" s="579" t="s">
        <v>2264</v>
      </c>
      <c r="AR75" s="897" t="s">
        <v>2289</v>
      </c>
      <c r="AS75" s="897" t="s">
        <v>2402</v>
      </c>
      <c r="AT75" s="897" t="s">
        <v>2436</v>
      </c>
      <c r="AU75" s="603" t="s">
        <v>2493</v>
      </c>
      <c r="AV75" s="603" t="s">
        <v>1893</v>
      </c>
    </row>
    <row r="76" spans="1:48" ht="122.4" customHeight="1" thickBot="1" x14ac:dyDescent="0.45">
      <c r="A76" s="302"/>
      <c r="B76" s="1450" t="s">
        <v>471</v>
      </c>
      <c r="C76" s="1463" t="s">
        <v>472</v>
      </c>
      <c r="D76" s="622" t="s">
        <v>357</v>
      </c>
      <c r="E76" s="310">
        <v>0.3</v>
      </c>
      <c r="F76" s="311">
        <v>85</v>
      </c>
      <c r="G76" s="330">
        <v>24</v>
      </c>
      <c r="H76" s="809">
        <v>25</v>
      </c>
      <c r="I76" s="331">
        <v>30</v>
      </c>
      <c r="J76" s="320">
        <f>+G76/F76</f>
        <v>0.28235294117647058</v>
      </c>
      <c r="K76" s="320">
        <f t="shared" si="35"/>
        <v>0.29411764705882354</v>
      </c>
      <c r="L76" s="320">
        <f t="shared" si="14"/>
        <v>0.35294117647058826</v>
      </c>
      <c r="M76" s="321">
        <f>+(G76/F76)*E76</f>
        <v>8.4705882352941173E-2</v>
      </c>
      <c r="N76" s="321">
        <f t="shared" si="36"/>
        <v>8.8235294117647065E-2</v>
      </c>
      <c r="O76" s="321"/>
      <c r="P76" s="316">
        <v>0</v>
      </c>
      <c r="Q76" s="323">
        <v>15</v>
      </c>
      <c r="R76" s="317">
        <v>5</v>
      </c>
      <c r="S76" s="317">
        <v>2</v>
      </c>
      <c r="T76" s="317">
        <v>3</v>
      </c>
      <c r="U76" s="317"/>
      <c r="V76" s="962">
        <f t="shared" si="51"/>
        <v>25</v>
      </c>
      <c r="W76" s="962">
        <f t="shared" si="52"/>
        <v>25</v>
      </c>
      <c r="X76" s="1185">
        <v>0</v>
      </c>
      <c r="Y76" s="330"/>
      <c r="Z76" s="330"/>
      <c r="AA76" s="330"/>
      <c r="AB76" s="330">
        <f t="shared" si="47"/>
        <v>0</v>
      </c>
      <c r="AC76" s="318">
        <f>+(P76/G76)</f>
        <v>0</v>
      </c>
      <c r="AD76" s="319">
        <f>+V76/H76</f>
        <v>1</v>
      </c>
      <c r="AE76" s="319">
        <f t="shared" si="48"/>
        <v>0</v>
      </c>
      <c r="AF76" s="319">
        <f>+AC76*E76</f>
        <v>0</v>
      </c>
      <c r="AG76" s="319">
        <f>+AD76*E76</f>
        <v>0.3</v>
      </c>
      <c r="AH76" s="319">
        <f t="shared" si="13"/>
        <v>0</v>
      </c>
      <c r="AI76" s="319">
        <f>+P76/F76</f>
        <v>0</v>
      </c>
      <c r="AJ76" s="319">
        <v>0.29411764705882354</v>
      </c>
      <c r="AK76" s="319">
        <f t="shared" si="49"/>
        <v>0.29411764705882354</v>
      </c>
      <c r="AL76" s="319">
        <f>+AI76*E76</f>
        <v>0</v>
      </c>
      <c r="AM76" s="319">
        <f>+AJ76*E76</f>
        <v>8.8235294117647065E-2</v>
      </c>
      <c r="AN76" s="319">
        <f t="shared" si="50"/>
        <v>8.8235294117647065E-2</v>
      </c>
      <c r="AO76" s="577" t="s">
        <v>1850</v>
      </c>
      <c r="AP76" s="579" t="s">
        <v>1901</v>
      </c>
      <c r="AQ76" s="579" t="s">
        <v>2264</v>
      </c>
      <c r="AR76" s="897" t="s">
        <v>2289</v>
      </c>
      <c r="AS76" s="897" t="s">
        <v>2402</v>
      </c>
      <c r="AT76" s="897" t="s">
        <v>2436</v>
      </c>
      <c r="AU76" s="603" t="s">
        <v>2493</v>
      </c>
      <c r="AV76" s="603" t="s">
        <v>1893</v>
      </c>
    </row>
    <row r="77" spans="1:48" ht="122.4" customHeight="1" thickBot="1" x14ac:dyDescent="0.55000000000000004">
      <c r="A77" s="302"/>
      <c r="B77" s="1548" t="s">
        <v>1653</v>
      </c>
      <c r="C77" s="1550"/>
      <c r="D77" s="622"/>
      <c r="E77" s="307">
        <v>0.1</v>
      </c>
      <c r="F77" s="325"/>
      <c r="G77" s="326"/>
      <c r="H77" s="1077"/>
      <c r="I77" s="308"/>
      <c r="J77" s="327">
        <f>+AVERAGE(J78:J84)</f>
        <v>0.19</v>
      </c>
      <c r="K77" s="327">
        <f>+AVERAGE(K78:K84)</f>
        <v>0.25316323485526709</v>
      </c>
      <c r="L77" s="327">
        <f>+AVERAGE(L78:L84)</f>
        <v>0</v>
      </c>
      <c r="M77" s="328">
        <f>+M78+M79+M80+M81+M82+M83+M84</f>
        <v>3.9E-2</v>
      </c>
      <c r="N77" s="328">
        <f>+N78+N79+N80+N81+N82+N83+N84</f>
        <v>0.10689794091316027</v>
      </c>
      <c r="O77" s="328"/>
      <c r="P77" s="316"/>
      <c r="Q77" s="329"/>
      <c r="R77" s="329"/>
      <c r="S77" s="329"/>
      <c r="T77" s="329"/>
      <c r="U77" s="964"/>
      <c r="V77" s="329"/>
      <c r="W77" s="329"/>
      <c r="X77" s="1087"/>
      <c r="Y77" s="1087"/>
      <c r="Z77" s="1087"/>
      <c r="AA77" s="1087"/>
      <c r="AB77" s="1087"/>
      <c r="AC77" s="521">
        <f>+AVERAGE(AC78:AC84)</f>
        <v>0</v>
      </c>
      <c r="AD77" s="521">
        <f>+AVERAGE(AD78:AD84)</f>
        <v>0.90476190476190477</v>
      </c>
      <c r="AE77" s="521"/>
      <c r="AF77" s="348">
        <f>+(AF78+AF79+AF80+AF81+AF82+AF83+AF84)*E77</f>
        <v>0</v>
      </c>
      <c r="AG77" s="348">
        <f>+(AG78+AG79+AG80+AG81+AG82+AG83+AG84)*E77</f>
        <v>4.2142857142857149E-2</v>
      </c>
      <c r="AH77" s="348">
        <f>+(AH78+AH79+AH80+AH81+AH82+AH83+AH84)*E77</f>
        <v>0</v>
      </c>
      <c r="AI77" s="309">
        <f>+AVERAGE(AI78:AI84)</f>
        <v>0</v>
      </c>
      <c r="AJ77" s="309">
        <v>0.10991495076096687</v>
      </c>
      <c r="AK77" s="309">
        <f>+AVERAGE(AK78:AK84)</f>
        <v>0.10991495076096687</v>
      </c>
      <c r="AL77" s="309">
        <f>+(AL78+AL79+AL80+AL81+AL82+AL83+AL84)*E77</f>
        <v>0</v>
      </c>
      <c r="AM77" s="309">
        <f>+(AM78+AM79+AM80+AM81+AM82+AM83+AM84)</f>
        <v>9.6897940913160258E-2</v>
      </c>
      <c r="AN77" s="309">
        <f>+(AN78+AN79+AN80+AN81+AN82+AN83+AN84)</f>
        <v>9.6897940913160258E-2</v>
      </c>
      <c r="AO77" s="685"/>
      <c r="AP77" s="308"/>
      <c r="AQ77" s="308"/>
      <c r="AR77" s="308"/>
      <c r="AS77" s="308"/>
      <c r="AT77" s="898"/>
      <c r="AU77" s="895"/>
      <c r="AV77" s="898"/>
    </row>
    <row r="78" spans="1:48" ht="122.4" customHeight="1" thickBot="1" x14ac:dyDescent="0.55000000000000004">
      <c r="A78" s="302"/>
      <c r="B78" s="788" t="s">
        <v>473</v>
      </c>
      <c r="C78" s="1206" t="s">
        <v>474</v>
      </c>
      <c r="D78" s="622" t="s">
        <v>475</v>
      </c>
      <c r="E78" s="310">
        <v>0.1</v>
      </c>
      <c r="F78" s="311">
        <v>20</v>
      </c>
      <c r="G78" s="330"/>
      <c r="H78" s="809">
        <v>7</v>
      </c>
      <c r="I78" s="331"/>
      <c r="J78" s="320"/>
      <c r="K78" s="320">
        <f t="shared" si="35"/>
        <v>0.35</v>
      </c>
      <c r="L78" s="320">
        <f t="shared" si="14"/>
        <v>0</v>
      </c>
      <c r="M78" s="321"/>
      <c r="N78" s="321">
        <f t="shared" si="36"/>
        <v>3.4999999999999996E-2</v>
      </c>
      <c r="O78" s="321"/>
      <c r="P78" s="316"/>
      <c r="Q78" s="323"/>
      <c r="R78" s="323">
        <v>0</v>
      </c>
      <c r="S78" s="323">
        <v>4.1500000000000004</v>
      </c>
      <c r="T78" s="317">
        <v>0.85</v>
      </c>
      <c r="U78" s="963"/>
      <c r="V78" s="646">
        <f>+Q78+R78+S78+T78+U78</f>
        <v>5</v>
      </c>
      <c r="W78" s="646">
        <f>+V78+P78+AB78</f>
        <v>5</v>
      </c>
      <c r="X78" s="330"/>
      <c r="Y78" s="330"/>
      <c r="Z78" s="330"/>
      <c r="AA78" s="330"/>
      <c r="AB78" s="330">
        <f t="shared" si="47"/>
        <v>0</v>
      </c>
      <c r="AC78" s="318"/>
      <c r="AD78" s="319">
        <f>+V78/H78</f>
        <v>0.7142857142857143</v>
      </c>
      <c r="AE78" s="319"/>
      <c r="AF78" s="319"/>
      <c r="AG78" s="319">
        <f>+AD78*E78</f>
        <v>7.1428571428571438E-2</v>
      </c>
      <c r="AH78" s="319">
        <f>+AE78*E78</f>
        <v>0</v>
      </c>
      <c r="AI78" s="319"/>
      <c r="AJ78" s="319">
        <v>0.25</v>
      </c>
      <c r="AK78" s="319">
        <f>+W78/F78</f>
        <v>0.25</v>
      </c>
      <c r="AL78" s="319">
        <f>+AI78*E78</f>
        <v>0</v>
      </c>
      <c r="AM78" s="319">
        <f t="shared" ref="AM78:AM84" si="53">+AJ78*E78</f>
        <v>2.5000000000000001E-2</v>
      </c>
      <c r="AN78" s="319">
        <f t="shared" si="50"/>
        <v>2.5000000000000001E-2</v>
      </c>
      <c r="AO78" s="889" t="s">
        <v>1552</v>
      </c>
      <c r="AP78" s="579" t="s">
        <v>1901</v>
      </c>
      <c r="AQ78" s="579" t="s">
        <v>2264</v>
      </c>
      <c r="AR78" s="897" t="s">
        <v>2289</v>
      </c>
      <c r="AS78" s="897" t="s">
        <v>2402</v>
      </c>
      <c r="AT78" s="897" t="s">
        <v>2436</v>
      </c>
      <c r="AU78" s="895"/>
      <c r="AV78" s="578" t="s">
        <v>1865</v>
      </c>
    </row>
    <row r="79" spans="1:48" ht="122.4" customHeight="1" thickBot="1" x14ac:dyDescent="0.55000000000000004">
      <c r="A79" s="302"/>
      <c r="B79" s="788" t="s">
        <v>476</v>
      </c>
      <c r="C79" s="1206" t="s">
        <v>477</v>
      </c>
      <c r="D79" s="622" t="s">
        <v>475</v>
      </c>
      <c r="E79" s="310">
        <v>0.05</v>
      </c>
      <c r="F79" s="311">
        <v>1</v>
      </c>
      <c r="G79" s="330">
        <v>0.18</v>
      </c>
      <c r="H79" s="809">
        <v>0</v>
      </c>
      <c r="I79" s="331"/>
      <c r="J79" s="320">
        <f>+G79/F79</f>
        <v>0.18</v>
      </c>
      <c r="K79" s="320"/>
      <c r="L79" s="320">
        <f t="shared" ref="L79:L90" si="54">+I79/F79</f>
        <v>0</v>
      </c>
      <c r="M79" s="321">
        <f>+(G79/F79)*E79</f>
        <v>8.9999999999999993E-3</v>
      </c>
      <c r="N79" s="321"/>
      <c r="O79" s="321"/>
      <c r="P79" s="316">
        <v>0</v>
      </c>
      <c r="Q79" s="323"/>
      <c r="R79" s="317"/>
      <c r="S79" s="317"/>
      <c r="T79" s="317"/>
      <c r="U79" s="963"/>
      <c r="V79" s="646">
        <f t="shared" ref="V79:V84" si="55">+Q79+R79+S79+T79+U79</f>
        <v>0</v>
      </c>
      <c r="W79" s="646">
        <f>+V79+P79+AB79</f>
        <v>0</v>
      </c>
      <c r="X79" s="330"/>
      <c r="Y79" s="330"/>
      <c r="Z79" s="330"/>
      <c r="AA79" s="330"/>
      <c r="AB79" s="330">
        <f t="shared" si="47"/>
        <v>0</v>
      </c>
      <c r="AC79" s="318">
        <f>+(P79/G79)</f>
        <v>0</v>
      </c>
      <c r="AD79" s="319"/>
      <c r="AE79" s="319"/>
      <c r="AF79" s="319">
        <f>+AC79*E79</f>
        <v>0</v>
      </c>
      <c r="AG79" s="319"/>
      <c r="AH79" s="319">
        <f t="shared" ref="AH79:AH90" si="56">+AE79*E79</f>
        <v>0</v>
      </c>
      <c r="AI79" s="319">
        <f>+P79/F79</f>
        <v>0</v>
      </c>
      <c r="AJ79" s="319">
        <v>0</v>
      </c>
      <c r="AK79" s="319">
        <f t="shared" si="49"/>
        <v>0</v>
      </c>
      <c r="AL79" s="319">
        <f>+AI79*E79</f>
        <v>0</v>
      </c>
      <c r="AM79" s="319">
        <f t="shared" si="53"/>
        <v>0</v>
      </c>
      <c r="AN79" s="319">
        <f t="shared" si="50"/>
        <v>0</v>
      </c>
      <c r="AO79" s="577" t="s">
        <v>1850</v>
      </c>
      <c r="AP79" s="579" t="s">
        <v>1901</v>
      </c>
      <c r="AQ79" s="579" t="s">
        <v>2264</v>
      </c>
      <c r="AR79" s="897" t="s">
        <v>2289</v>
      </c>
      <c r="AS79" s="897" t="s">
        <v>2402</v>
      </c>
      <c r="AT79" s="897" t="s">
        <v>2436</v>
      </c>
      <c r="AU79" s="895"/>
      <c r="AV79" s="578" t="s">
        <v>1865</v>
      </c>
    </row>
    <row r="80" spans="1:48" ht="122.4" customHeight="1" thickBot="1" x14ac:dyDescent="0.55000000000000004">
      <c r="A80" s="302"/>
      <c r="B80" s="788" t="s">
        <v>478</v>
      </c>
      <c r="C80" s="1206" t="s">
        <v>479</v>
      </c>
      <c r="D80" s="622" t="s">
        <v>475</v>
      </c>
      <c r="E80" s="310">
        <v>0.2</v>
      </c>
      <c r="F80" s="311">
        <v>1526</v>
      </c>
      <c r="G80" s="330">
        <v>0</v>
      </c>
      <c r="H80" s="809">
        <v>0</v>
      </c>
      <c r="I80" s="331"/>
      <c r="J80" s="320"/>
      <c r="K80" s="320"/>
      <c r="L80" s="320"/>
      <c r="M80" s="321"/>
      <c r="N80" s="321"/>
      <c r="O80" s="321"/>
      <c r="P80" s="316"/>
      <c r="Q80" s="323"/>
      <c r="R80" s="317"/>
      <c r="S80" s="317"/>
      <c r="T80" s="317"/>
      <c r="U80" s="963"/>
      <c r="V80" s="646">
        <f t="shared" si="55"/>
        <v>0</v>
      </c>
      <c r="W80" s="646">
        <f t="shared" ref="W80:W84" si="57">+V80+P80+AB80</f>
        <v>0</v>
      </c>
      <c r="X80" s="330"/>
      <c r="Y80" s="330"/>
      <c r="Z80" s="330"/>
      <c r="AA80" s="330"/>
      <c r="AB80" s="330">
        <f t="shared" si="47"/>
        <v>0</v>
      </c>
      <c r="AC80" s="318"/>
      <c r="AD80" s="319"/>
      <c r="AE80" s="319"/>
      <c r="AF80" s="319"/>
      <c r="AG80" s="319"/>
      <c r="AH80" s="319">
        <f t="shared" si="56"/>
        <v>0</v>
      </c>
      <c r="AI80" s="319"/>
      <c r="AJ80" s="319"/>
      <c r="AK80" s="319"/>
      <c r="AL80" s="319"/>
      <c r="AM80" s="319">
        <f t="shared" si="53"/>
        <v>0</v>
      </c>
      <c r="AN80" s="319">
        <f t="shared" si="50"/>
        <v>0</v>
      </c>
      <c r="AO80" s="889" t="s">
        <v>1552</v>
      </c>
      <c r="AP80" s="579" t="s">
        <v>1901</v>
      </c>
      <c r="AQ80" s="579" t="s">
        <v>2264</v>
      </c>
      <c r="AR80" s="897" t="s">
        <v>2289</v>
      </c>
      <c r="AS80" s="897" t="s">
        <v>2402</v>
      </c>
      <c r="AT80" s="897" t="s">
        <v>2436</v>
      </c>
      <c r="AU80" s="895"/>
      <c r="AV80" s="578" t="s">
        <v>1865</v>
      </c>
    </row>
    <row r="81" spans="1:48" ht="122.4" customHeight="1" thickBot="1" x14ac:dyDescent="0.55000000000000004">
      <c r="A81" s="302"/>
      <c r="B81" s="788" t="s">
        <v>480</v>
      </c>
      <c r="C81" s="1206" t="s">
        <v>481</v>
      </c>
      <c r="D81" s="622" t="s">
        <v>475</v>
      </c>
      <c r="E81" s="310">
        <v>0.15</v>
      </c>
      <c r="F81" s="311">
        <v>5</v>
      </c>
      <c r="G81" s="330">
        <v>1</v>
      </c>
      <c r="H81" s="809">
        <v>1</v>
      </c>
      <c r="I81" s="331"/>
      <c r="J81" s="320">
        <f>+G81/F81</f>
        <v>0.2</v>
      </c>
      <c r="K81" s="320">
        <f t="shared" si="35"/>
        <v>0.2</v>
      </c>
      <c r="L81" s="320">
        <f t="shared" si="54"/>
        <v>0</v>
      </c>
      <c r="M81" s="321">
        <f>+(G81/F81)*E81</f>
        <v>0.03</v>
      </c>
      <c r="N81" s="321">
        <f t="shared" si="36"/>
        <v>0.03</v>
      </c>
      <c r="O81" s="321"/>
      <c r="P81" s="316">
        <v>0</v>
      </c>
      <c r="Q81" s="323"/>
      <c r="R81" s="317">
        <v>0</v>
      </c>
      <c r="S81" s="323">
        <v>1</v>
      </c>
      <c r="T81" s="317">
        <v>0</v>
      </c>
      <c r="U81" s="963"/>
      <c r="V81" s="646">
        <f t="shared" si="55"/>
        <v>1</v>
      </c>
      <c r="W81" s="646">
        <f t="shared" si="57"/>
        <v>1</v>
      </c>
      <c r="X81" s="330"/>
      <c r="Y81" s="330"/>
      <c r="Z81" s="330"/>
      <c r="AA81" s="330"/>
      <c r="AB81" s="330">
        <f t="shared" si="47"/>
        <v>0</v>
      </c>
      <c r="AC81" s="318">
        <f>+(P81/G81)</f>
        <v>0</v>
      </c>
      <c r="AD81" s="319">
        <f>+V81/H81</f>
        <v>1</v>
      </c>
      <c r="AE81" s="319"/>
      <c r="AF81" s="319">
        <f>+AC81*E81</f>
        <v>0</v>
      </c>
      <c r="AG81" s="319">
        <f>+AD81*E81</f>
        <v>0.15</v>
      </c>
      <c r="AH81" s="319">
        <f t="shared" si="56"/>
        <v>0</v>
      </c>
      <c r="AI81" s="319">
        <f>+P81/F81</f>
        <v>0</v>
      </c>
      <c r="AJ81" s="319">
        <v>0.2</v>
      </c>
      <c r="AK81" s="319">
        <f t="shared" si="49"/>
        <v>0.2</v>
      </c>
      <c r="AL81" s="319">
        <f>+AI81*E81</f>
        <v>0</v>
      </c>
      <c r="AM81" s="319">
        <f t="shared" si="53"/>
        <v>0.03</v>
      </c>
      <c r="AN81" s="319">
        <f t="shared" si="50"/>
        <v>0.03</v>
      </c>
      <c r="AO81" s="577" t="s">
        <v>1850</v>
      </c>
      <c r="AP81" s="579" t="s">
        <v>1901</v>
      </c>
      <c r="AQ81" s="579" t="s">
        <v>2264</v>
      </c>
      <c r="AR81" s="897" t="s">
        <v>2289</v>
      </c>
      <c r="AS81" s="897" t="s">
        <v>2402</v>
      </c>
      <c r="AT81" s="897" t="s">
        <v>2436</v>
      </c>
      <c r="AU81" s="895"/>
      <c r="AV81" s="578" t="s">
        <v>1865</v>
      </c>
    </row>
    <row r="82" spans="1:48" ht="122.4" customHeight="1" thickBot="1" x14ac:dyDescent="0.55000000000000004">
      <c r="A82" s="302"/>
      <c r="B82" s="788" t="s">
        <v>482</v>
      </c>
      <c r="C82" s="1206" t="s">
        <v>483</v>
      </c>
      <c r="D82" s="623" t="s">
        <v>475</v>
      </c>
      <c r="E82" s="310">
        <v>0.15</v>
      </c>
      <c r="F82" s="311">
        <v>6</v>
      </c>
      <c r="G82" s="330"/>
      <c r="H82" s="809">
        <v>0</v>
      </c>
      <c r="I82" s="331"/>
      <c r="J82" s="320"/>
      <c r="K82" s="320"/>
      <c r="L82" s="320">
        <f t="shared" si="54"/>
        <v>0</v>
      </c>
      <c r="M82" s="321"/>
      <c r="N82" s="321"/>
      <c r="O82" s="321"/>
      <c r="P82" s="316"/>
      <c r="Q82" s="323"/>
      <c r="R82" s="317"/>
      <c r="S82" s="317"/>
      <c r="T82" s="317"/>
      <c r="U82" s="963"/>
      <c r="V82" s="646">
        <f t="shared" si="55"/>
        <v>0</v>
      </c>
      <c r="W82" s="646">
        <f t="shared" si="57"/>
        <v>0</v>
      </c>
      <c r="X82" s="330"/>
      <c r="Y82" s="330"/>
      <c r="Z82" s="330"/>
      <c r="AA82" s="330"/>
      <c r="AB82" s="330">
        <f t="shared" si="47"/>
        <v>0</v>
      </c>
      <c r="AC82" s="318"/>
      <c r="AD82" s="319"/>
      <c r="AE82" s="319"/>
      <c r="AF82" s="319"/>
      <c r="AG82" s="319"/>
      <c r="AH82" s="319">
        <f t="shared" si="56"/>
        <v>0</v>
      </c>
      <c r="AI82" s="319"/>
      <c r="AJ82" s="319">
        <v>0</v>
      </c>
      <c r="AK82" s="319">
        <f t="shared" si="49"/>
        <v>0</v>
      </c>
      <c r="AL82" s="319"/>
      <c r="AM82" s="319">
        <f t="shared" si="53"/>
        <v>0</v>
      </c>
      <c r="AN82" s="319">
        <f t="shared" si="50"/>
        <v>0</v>
      </c>
      <c r="AO82" s="889" t="s">
        <v>1552</v>
      </c>
      <c r="AP82" s="579" t="s">
        <v>1901</v>
      </c>
      <c r="AQ82" s="579" t="s">
        <v>2264</v>
      </c>
      <c r="AR82" s="897" t="s">
        <v>2289</v>
      </c>
      <c r="AS82" s="897" t="s">
        <v>2402</v>
      </c>
      <c r="AT82" s="897" t="s">
        <v>2436</v>
      </c>
      <c r="AU82" s="895"/>
      <c r="AV82" s="578" t="s">
        <v>1865</v>
      </c>
    </row>
    <row r="83" spans="1:48" ht="122.4" customHeight="1" thickBot="1" x14ac:dyDescent="0.55000000000000004">
      <c r="A83" s="302"/>
      <c r="B83" s="1207" t="s">
        <v>484</v>
      </c>
      <c r="C83" s="1208" t="s">
        <v>485</v>
      </c>
      <c r="D83" s="616" t="s">
        <v>475</v>
      </c>
      <c r="E83" s="310">
        <v>0.15</v>
      </c>
      <c r="F83" s="311">
        <v>2</v>
      </c>
      <c r="G83" s="330"/>
      <c r="H83" s="809">
        <v>0</v>
      </c>
      <c r="I83" s="331"/>
      <c r="J83" s="320"/>
      <c r="K83" s="320"/>
      <c r="L83" s="320">
        <f t="shared" si="54"/>
        <v>0</v>
      </c>
      <c r="M83" s="321"/>
      <c r="N83" s="321"/>
      <c r="O83" s="321"/>
      <c r="P83" s="316"/>
      <c r="Q83" s="323"/>
      <c r="R83" s="317"/>
      <c r="S83" s="317"/>
      <c r="T83" s="317"/>
      <c r="U83" s="963"/>
      <c r="V83" s="646">
        <f t="shared" si="55"/>
        <v>0</v>
      </c>
      <c r="W83" s="646">
        <f t="shared" si="57"/>
        <v>0</v>
      </c>
      <c r="X83" s="330"/>
      <c r="Y83" s="330"/>
      <c r="Z83" s="330"/>
      <c r="AA83" s="330"/>
      <c r="AB83" s="330">
        <f t="shared" si="47"/>
        <v>0</v>
      </c>
      <c r="AC83" s="318"/>
      <c r="AD83" s="319"/>
      <c r="AE83" s="319"/>
      <c r="AF83" s="319"/>
      <c r="AG83" s="319"/>
      <c r="AH83" s="319">
        <f t="shared" si="56"/>
        <v>0</v>
      </c>
      <c r="AI83" s="319"/>
      <c r="AJ83" s="319">
        <v>0</v>
      </c>
      <c r="AK83" s="319">
        <f t="shared" si="49"/>
        <v>0</v>
      </c>
      <c r="AL83" s="319"/>
      <c r="AM83" s="319">
        <f t="shared" si="53"/>
        <v>0</v>
      </c>
      <c r="AN83" s="319">
        <f t="shared" si="50"/>
        <v>0</v>
      </c>
      <c r="AO83" s="889" t="s">
        <v>1552</v>
      </c>
      <c r="AP83" s="579" t="s">
        <v>1901</v>
      </c>
      <c r="AQ83" s="579" t="s">
        <v>2264</v>
      </c>
      <c r="AR83" s="897" t="s">
        <v>2289</v>
      </c>
      <c r="AS83" s="897" t="s">
        <v>2402</v>
      </c>
      <c r="AT83" s="897" t="s">
        <v>2436</v>
      </c>
      <c r="AU83" s="895"/>
      <c r="AV83" s="578" t="s">
        <v>1865</v>
      </c>
    </row>
    <row r="84" spans="1:48" ht="161.4" customHeight="1" thickBot="1" x14ac:dyDescent="0.55000000000000004">
      <c r="A84" s="302"/>
      <c r="B84" s="1209" t="s">
        <v>486</v>
      </c>
      <c r="C84" s="1210" t="s">
        <v>487</v>
      </c>
      <c r="D84" s="490" t="s">
        <v>475</v>
      </c>
      <c r="E84" s="310">
        <v>0.2</v>
      </c>
      <c r="F84" s="311">
        <v>2234</v>
      </c>
      <c r="G84" s="330"/>
      <c r="H84" s="809">
        <v>468</v>
      </c>
      <c r="I84" s="331"/>
      <c r="J84" s="320"/>
      <c r="K84" s="320">
        <f t="shared" si="35"/>
        <v>0.20948970456580127</v>
      </c>
      <c r="L84" s="320">
        <f t="shared" si="54"/>
        <v>0</v>
      </c>
      <c r="M84" s="321"/>
      <c r="N84" s="321">
        <f t="shared" si="36"/>
        <v>4.1897940913160257E-2</v>
      </c>
      <c r="O84" s="321"/>
      <c r="P84" s="316"/>
      <c r="Q84" s="323"/>
      <c r="R84" s="317">
        <v>0</v>
      </c>
      <c r="S84" s="317">
        <v>468</v>
      </c>
      <c r="T84" s="317">
        <v>0</v>
      </c>
      <c r="U84" s="963"/>
      <c r="V84" s="646">
        <f t="shared" si="55"/>
        <v>468</v>
      </c>
      <c r="W84" s="646">
        <f t="shared" si="57"/>
        <v>468</v>
      </c>
      <c r="X84" s="330"/>
      <c r="Y84" s="330"/>
      <c r="Z84" s="330"/>
      <c r="AA84" s="330"/>
      <c r="AB84" s="330">
        <f t="shared" si="47"/>
        <v>0</v>
      </c>
      <c r="AC84" s="318"/>
      <c r="AD84" s="319">
        <f>+V84/H84</f>
        <v>1</v>
      </c>
      <c r="AE84" s="319"/>
      <c r="AF84" s="319"/>
      <c r="AG84" s="319">
        <f>+AD84*E84</f>
        <v>0.2</v>
      </c>
      <c r="AH84" s="319">
        <f t="shared" si="56"/>
        <v>0</v>
      </c>
      <c r="AI84" s="319"/>
      <c r="AJ84" s="319">
        <v>0.20948970456580127</v>
      </c>
      <c r="AK84" s="319">
        <f t="shared" si="49"/>
        <v>0.20948970456580127</v>
      </c>
      <c r="AL84" s="319">
        <f>+AI84*E84</f>
        <v>0</v>
      </c>
      <c r="AM84" s="319">
        <f t="shared" si="53"/>
        <v>4.1897940913160257E-2</v>
      </c>
      <c r="AN84" s="319">
        <f t="shared" si="50"/>
        <v>4.1897940913160257E-2</v>
      </c>
      <c r="AO84" s="889" t="s">
        <v>1552</v>
      </c>
      <c r="AP84" s="579" t="s">
        <v>1901</v>
      </c>
      <c r="AQ84" s="579" t="s">
        <v>2264</v>
      </c>
      <c r="AR84" s="897" t="s">
        <v>2289</v>
      </c>
      <c r="AS84" s="897" t="s">
        <v>2402</v>
      </c>
      <c r="AT84" s="897" t="s">
        <v>2436</v>
      </c>
      <c r="AU84" s="895"/>
      <c r="AV84" s="578" t="s">
        <v>1865</v>
      </c>
    </row>
    <row r="85" spans="1:48" ht="122.4" customHeight="1" thickBot="1" x14ac:dyDescent="0.55000000000000004">
      <c r="A85" s="302"/>
      <c r="B85" s="1551" t="s">
        <v>1654</v>
      </c>
      <c r="C85" s="1552"/>
      <c r="D85" s="624"/>
      <c r="E85" s="307">
        <v>0.09</v>
      </c>
      <c r="F85" s="325"/>
      <c r="G85" s="326"/>
      <c r="H85" s="1077"/>
      <c r="I85" s="308"/>
      <c r="J85" s="327">
        <f>+AVERAGE(J86:J90)</f>
        <v>0.36527777777777776</v>
      </c>
      <c r="K85" s="327">
        <f>+AVERAGE(K86:K90)</f>
        <v>0.24861111111111106</v>
      </c>
      <c r="L85" s="327">
        <f>+AVERAGE(L86:L90)</f>
        <v>0.21006944444444442</v>
      </c>
      <c r="M85" s="328">
        <f>+M86+M87+M88+M89+M90</f>
        <v>0.41006944444444449</v>
      </c>
      <c r="N85" s="328">
        <f>+N86+N87+N88+N89+N90</f>
        <v>0.24340277777777775</v>
      </c>
      <c r="O85" s="328"/>
      <c r="P85" s="316"/>
      <c r="Q85" s="329"/>
      <c r="R85" s="329"/>
      <c r="S85" s="329"/>
      <c r="T85" s="329"/>
      <c r="U85" s="964"/>
      <c r="V85" s="329"/>
      <c r="W85" s="329"/>
      <c r="X85" s="1087"/>
      <c r="Y85" s="1087"/>
      <c r="Z85" s="1087"/>
      <c r="AA85" s="1087"/>
      <c r="AB85" s="1087"/>
      <c r="AC85" s="521">
        <f>+AVERAGE(AC86:AC90)</f>
        <v>1</v>
      </c>
      <c r="AD85" s="521">
        <f>+AVERAGE(AD86:AD90)</f>
        <v>0.82899999999999996</v>
      </c>
      <c r="AE85" s="521">
        <f>+AVERAGE(AE86:AE90)</f>
        <v>0.504</v>
      </c>
      <c r="AF85" s="348">
        <f>+(AF86+AF87+AF88+AF89+AF90)*E85</f>
        <v>0.09</v>
      </c>
      <c r="AG85" s="348">
        <f>+(AG86+AG87+AG88+AG89+AG90)*E85</f>
        <v>6.7860000000000004E-2</v>
      </c>
      <c r="AH85" s="348">
        <f>+(AH86+AH87+AH88+AH89+AH90)*E85</f>
        <v>3.2580000000000005E-2</v>
      </c>
      <c r="AI85" s="309">
        <f>+AVERAGE(AI86:AI90)</f>
        <v>0.44777777777777777</v>
      </c>
      <c r="AJ85" s="309">
        <v>0.75641666666666663</v>
      </c>
      <c r="AK85" s="309">
        <f>+AVERAGE(AK86:AK90)</f>
        <v>0.79558333333333331</v>
      </c>
      <c r="AL85" s="309">
        <f>+(AL86+AL87+AL88+AL89+AL90)*E85</f>
        <v>4.2475000000000006E-2</v>
      </c>
      <c r="AM85" s="309">
        <f>+(AM86+AM87+AM88+AM89+AM90)</f>
        <v>0.70870833333333327</v>
      </c>
      <c r="AN85" s="309">
        <f>+(AN86+AN87+AN88+AN89+AN90)</f>
        <v>0.74558333333333326</v>
      </c>
      <c r="AO85" s="685"/>
      <c r="AP85" s="308"/>
      <c r="AQ85" s="308"/>
      <c r="AR85" s="308"/>
      <c r="AS85" s="308"/>
      <c r="AT85" s="898"/>
      <c r="AU85" s="895"/>
      <c r="AV85" s="898"/>
    </row>
    <row r="86" spans="1:48" ht="122.4" customHeight="1" thickBot="1" x14ac:dyDescent="0.55000000000000004">
      <c r="A86" s="302"/>
      <c r="B86" s="1464" t="s">
        <v>488</v>
      </c>
      <c r="C86" s="1465" t="s">
        <v>489</v>
      </c>
      <c r="D86" s="616" t="s">
        <v>490</v>
      </c>
      <c r="E86" s="310">
        <v>0.2</v>
      </c>
      <c r="F86" s="311">
        <v>1600</v>
      </c>
      <c r="G86" s="330">
        <v>400</v>
      </c>
      <c r="H86" s="809">
        <v>400</v>
      </c>
      <c r="I86" s="331">
        <v>400</v>
      </c>
      <c r="J86" s="320">
        <f>+G86/F86</f>
        <v>0.25</v>
      </c>
      <c r="K86" s="320">
        <f t="shared" si="35"/>
        <v>0.25</v>
      </c>
      <c r="L86" s="320">
        <f t="shared" si="54"/>
        <v>0.25</v>
      </c>
      <c r="M86" s="321">
        <f>+(G86/F86)*E86</f>
        <v>0.05</v>
      </c>
      <c r="N86" s="321">
        <f t="shared" si="36"/>
        <v>0.05</v>
      </c>
      <c r="O86" s="321"/>
      <c r="P86" s="316">
        <v>400</v>
      </c>
      <c r="Q86" s="323">
        <v>225</v>
      </c>
      <c r="R86" s="317">
        <v>25</v>
      </c>
      <c r="S86" s="317">
        <v>0</v>
      </c>
      <c r="T86" s="317">
        <v>8</v>
      </c>
      <c r="U86" s="317">
        <v>0</v>
      </c>
      <c r="V86" s="322">
        <f>+Q86+R86+S86+T86+U86</f>
        <v>258</v>
      </c>
      <c r="W86" s="646">
        <f>+V86+P86+AB86</f>
        <v>898</v>
      </c>
      <c r="X86" s="1185">
        <v>240</v>
      </c>
      <c r="Y86" s="330"/>
      <c r="Z86" s="330"/>
      <c r="AA86" s="330"/>
      <c r="AB86" s="1090">
        <f t="shared" si="47"/>
        <v>240</v>
      </c>
      <c r="AC86" s="318">
        <f>+(P86/G86)</f>
        <v>1</v>
      </c>
      <c r="AD86" s="319">
        <f>+V86/H86</f>
        <v>0.64500000000000002</v>
      </c>
      <c r="AE86" s="319">
        <f t="shared" si="48"/>
        <v>0.6</v>
      </c>
      <c r="AF86" s="319">
        <f>+AC86*E86</f>
        <v>0.2</v>
      </c>
      <c r="AG86" s="319">
        <f>+AD86*E86</f>
        <v>0.129</v>
      </c>
      <c r="AH86" s="319">
        <f t="shared" si="56"/>
        <v>0.12</v>
      </c>
      <c r="AI86" s="319">
        <f>+P86/F86</f>
        <v>0.25</v>
      </c>
      <c r="AJ86" s="319">
        <v>0.41125</v>
      </c>
      <c r="AK86" s="319">
        <f t="shared" si="49"/>
        <v>0.56125000000000003</v>
      </c>
      <c r="AL86" s="319">
        <f>+AI86*E86</f>
        <v>0.05</v>
      </c>
      <c r="AM86" s="319">
        <f>+AJ86*E86</f>
        <v>8.2250000000000004E-2</v>
      </c>
      <c r="AN86" s="319">
        <f t="shared" si="50"/>
        <v>0.11225000000000002</v>
      </c>
      <c r="AO86" s="577" t="s">
        <v>1850</v>
      </c>
      <c r="AP86" s="579" t="s">
        <v>1901</v>
      </c>
      <c r="AQ86" s="308"/>
      <c r="AR86" s="897" t="s">
        <v>2289</v>
      </c>
      <c r="AS86" s="897" t="s">
        <v>2402</v>
      </c>
      <c r="AT86" s="897" t="s">
        <v>2436</v>
      </c>
      <c r="AU86" s="895"/>
      <c r="AV86" s="603" t="s">
        <v>1893</v>
      </c>
    </row>
    <row r="87" spans="1:48" ht="114.6" customHeight="1" thickBot="1" x14ac:dyDescent="0.55000000000000004">
      <c r="A87" s="302"/>
      <c r="B87" s="1464" t="s">
        <v>491</v>
      </c>
      <c r="C87" s="1465" t="s">
        <v>492</v>
      </c>
      <c r="D87" s="614" t="s">
        <v>490</v>
      </c>
      <c r="E87" s="339">
        <v>0.2</v>
      </c>
      <c r="F87" s="311">
        <v>400</v>
      </c>
      <c r="G87" s="330">
        <v>200</v>
      </c>
      <c r="H87" s="809">
        <v>100</v>
      </c>
      <c r="I87" s="331">
        <v>100</v>
      </c>
      <c r="J87" s="320">
        <f>+G87/F87</f>
        <v>0.5</v>
      </c>
      <c r="K87" s="320">
        <f t="shared" si="35"/>
        <v>0.25</v>
      </c>
      <c r="L87" s="320">
        <f t="shared" si="54"/>
        <v>0.25</v>
      </c>
      <c r="M87" s="321">
        <f>+(G87/F87)*E87</f>
        <v>0.1</v>
      </c>
      <c r="N87" s="321">
        <f t="shared" si="36"/>
        <v>0.05</v>
      </c>
      <c r="O87" s="321"/>
      <c r="P87" s="316">
        <v>200</v>
      </c>
      <c r="Q87" s="323">
        <v>0</v>
      </c>
      <c r="R87" s="317">
        <v>74</v>
      </c>
      <c r="S87" s="317">
        <v>23</v>
      </c>
      <c r="T87" s="317">
        <v>3</v>
      </c>
      <c r="U87" s="317">
        <v>0</v>
      </c>
      <c r="V87" s="322">
        <f t="shared" ref="V87:V89" si="58">+Q87+R87+S87+T87+U87</f>
        <v>100</v>
      </c>
      <c r="W87" s="646">
        <f t="shared" ref="W87:W90" si="59">+V87+P87+AB87</f>
        <v>300</v>
      </c>
      <c r="X87" s="1185">
        <v>0</v>
      </c>
      <c r="Y87" s="330"/>
      <c r="Z87" s="330"/>
      <c r="AA87" s="330"/>
      <c r="AB87" s="1090">
        <f t="shared" si="47"/>
        <v>0</v>
      </c>
      <c r="AC87" s="318">
        <f>+(P87/G87)</f>
        <v>1</v>
      </c>
      <c r="AD87" s="319">
        <f>+V87/H87</f>
        <v>1</v>
      </c>
      <c r="AE87" s="319">
        <f t="shared" si="48"/>
        <v>0</v>
      </c>
      <c r="AF87" s="319">
        <f>+AC87*E87</f>
        <v>0.2</v>
      </c>
      <c r="AG87" s="319">
        <f>+AD87*E87</f>
        <v>0.2</v>
      </c>
      <c r="AH87" s="319">
        <f t="shared" si="56"/>
        <v>0</v>
      </c>
      <c r="AI87" s="319">
        <f>+P87/F87</f>
        <v>0.5</v>
      </c>
      <c r="AJ87" s="319">
        <v>0.75</v>
      </c>
      <c r="AK87" s="319">
        <f t="shared" si="49"/>
        <v>0.75</v>
      </c>
      <c r="AL87" s="319">
        <f>+AI87*E87</f>
        <v>0.1</v>
      </c>
      <c r="AM87" s="319">
        <f>+AJ87*E87</f>
        <v>0.15000000000000002</v>
      </c>
      <c r="AN87" s="319">
        <f t="shared" si="50"/>
        <v>0.15000000000000002</v>
      </c>
      <c r="AO87" s="577" t="s">
        <v>1850</v>
      </c>
      <c r="AP87" s="579" t="s">
        <v>1901</v>
      </c>
      <c r="AQ87" s="308"/>
      <c r="AR87" s="897" t="s">
        <v>2289</v>
      </c>
      <c r="AS87" s="897" t="s">
        <v>2402</v>
      </c>
      <c r="AT87" s="897" t="s">
        <v>2436</v>
      </c>
      <c r="AU87" s="895"/>
      <c r="AV87" s="603" t="s">
        <v>1893</v>
      </c>
    </row>
    <row r="88" spans="1:48" ht="98.4" customHeight="1" thickBot="1" x14ac:dyDescent="0.55000000000000004">
      <c r="A88" s="302"/>
      <c r="B88" s="1464" t="s">
        <v>493</v>
      </c>
      <c r="C88" s="1465" t="s">
        <v>494</v>
      </c>
      <c r="D88" s="614" t="s">
        <v>490</v>
      </c>
      <c r="E88" s="339">
        <v>0.15</v>
      </c>
      <c r="F88" s="340">
        <v>240</v>
      </c>
      <c r="G88" s="330">
        <v>65</v>
      </c>
      <c r="H88" s="809">
        <v>65</v>
      </c>
      <c r="I88" s="331">
        <v>55</v>
      </c>
      <c r="J88" s="320">
        <f>+G88/F88</f>
        <v>0.27083333333333331</v>
      </c>
      <c r="K88" s="320">
        <f t="shared" si="35"/>
        <v>0.27083333333333331</v>
      </c>
      <c r="L88" s="320">
        <f t="shared" si="54"/>
        <v>0.22916666666666666</v>
      </c>
      <c r="M88" s="321">
        <f>+(G88/F88)*E88</f>
        <v>4.0624999999999994E-2</v>
      </c>
      <c r="N88" s="321">
        <f t="shared" si="36"/>
        <v>4.0624999999999994E-2</v>
      </c>
      <c r="O88" s="321"/>
      <c r="P88" s="316">
        <v>164</v>
      </c>
      <c r="Q88" s="323">
        <v>50</v>
      </c>
      <c r="R88" s="317">
        <v>15</v>
      </c>
      <c r="S88" s="317">
        <v>0</v>
      </c>
      <c r="T88" s="317">
        <v>0</v>
      </c>
      <c r="U88" s="317">
        <v>0</v>
      </c>
      <c r="V88" s="322">
        <f t="shared" si="58"/>
        <v>65</v>
      </c>
      <c r="W88" s="646">
        <f t="shared" si="59"/>
        <v>284</v>
      </c>
      <c r="X88" s="1185">
        <v>55</v>
      </c>
      <c r="Y88" s="330"/>
      <c r="Z88" s="330"/>
      <c r="AA88" s="330"/>
      <c r="AB88" s="1090">
        <f t="shared" si="47"/>
        <v>55</v>
      </c>
      <c r="AC88" s="318">
        <v>1</v>
      </c>
      <c r="AD88" s="319">
        <f>+V88/H88</f>
        <v>1</v>
      </c>
      <c r="AE88" s="319">
        <f t="shared" si="48"/>
        <v>1</v>
      </c>
      <c r="AF88" s="319">
        <f>+AC88*E88</f>
        <v>0.15</v>
      </c>
      <c r="AG88" s="319">
        <f>+AD88*E88</f>
        <v>0.15</v>
      </c>
      <c r="AH88" s="319">
        <f t="shared" si="56"/>
        <v>0.15</v>
      </c>
      <c r="AI88" s="319">
        <f>+P88/F88</f>
        <v>0.68333333333333335</v>
      </c>
      <c r="AJ88" s="319">
        <v>0.95416666666666672</v>
      </c>
      <c r="AK88" s="319">
        <v>1</v>
      </c>
      <c r="AL88" s="319">
        <f>+AI88*E88</f>
        <v>0.10249999999999999</v>
      </c>
      <c r="AM88" s="319">
        <f>+AJ88*E88</f>
        <v>0.143125</v>
      </c>
      <c r="AN88" s="319">
        <f t="shared" si="50"/>
        <v>0.15</v>
      </c>
      <c r="AO88" s="577" t="s">
        <v>1850</v>
      </c>
      <c r="AP88" s="579" t="s">
        <v>1901</v>
      </c>
      <c r="AQ88" s="308"/>
      <c r="AR88" s="897" t="s">
        <v>2289</v>
      </c>
      <c r="AS88" s="897" t="s">
        <v>2402</v>
      </c>
      <c r="AT88" s="897" t="s">
        <v>2436</v>
      </c>
      <c r="AU88" s="895"/>
      <c r="AV88" s="603" t="s">
        <v>1893</v>
      </c>
    </row>
    <row r="89" spans="1:48" ht="106.2" customHeight="1" thickBot="1" x14ac:dyDescent="0.55000000000000004">
      <c r="A89" s="302"/>
      <c r="B89" s="1466" t="s">
        <v>495</v>
      </c>
      <c r="C89" s="1467" t="s">
        <v>496</v>
      </c>
      <c r="D89" s="490" t="s">
        <v>490</v>
      </c>
      <c r="E89" s="1468">
        <v>0.1</v>
      </c>
      <c r="F89" s="340">
        <v>200</v>
      </c>
      <c r="G89" s="330">
        <v>50</v>
      </c>
      <c r="H89" s="809">
        <v>50</v>
      </c>
      <c r="I89" s="331">
        <v>50</v>
      </c>
      <c r="J89" s="320">
        <f>+G89/F89</f>
        <v>0.25</v>
      </c>
      <c r="K89" s="320">
        <f t="shared" si="35"/>
        <v>0.25</v>
      </c>
      <c r="L89" s="320"/>
      <c r="M89" s="321">
        <f>+(G89/F89)*E89</f>
        <v>2.5000000000000001E-2</v>
      </c>
      <c r="N89" s="321">
        <f t="shared" si="36"/>
        <v>2.5000000000000001E-2</v>
      </c>
      <c r="O89" s="321"/>
      <c r="P89" s="316">
        <v>50</v>
      </c>
      <c r="Q89" s="323">
        <v>43</v>
      </c>
      <c r="R89" s="317">
        <v>7</v>
      </c>
      <c r="S89" s="317">
        <v>0</v>
      </c>
      <c r="T89" s="317">
        <v>0</v>
      </c>
      <c r="U89" s="317">
        <v>0</v>
      </c>
      <c r="V89" s="322">
        <f t="shared" si="58"/>
        <v>50</v>
      </c>
      <c r="W89" s="646">
        <f t="shared" si="59"/>
        <v>146</v>
      </c>
      <c r="X89" s="1193">
        <v>46</v>
      </c>
      <c r="Y89" s="1469"/>
      <c r="Z89" s="1469"/>
      <c r="AA89" s="1469"/>
      <c r="AB89" s="1470">
        <f t="shared" si="47"/>
        <v>46</v>
      </c>
      <c r="AC89" s="318">
        <v>1</v>
      </c>
      <c r="AD89" s="319">
        <f>+V89/H89</f>
        <v>1</v>
      </c>
      <c r="AE89" s="319">
        <f t="shared" si="48"/>
        <v>0.92</v>
      </c>
      <c r="AF89" s="319">
        <f>+AC89*E89</f>
        <v>0.1</v>
      </c>
      <c r="AG89" s="319">
        <f>+AD89*E89</f>
        <v>0.1</v>
      </c>
      <c r="AH89" s="319">
        <f t="shared" si="56"/>
        <v>9.2000000000000012E-2</v>
      </c>
      <c r="AI89" s="319">
        <f>+P89/F89</f>
        <v>0.25</v>
      </c>
      <c r="AJ89" s="319">
        <v>1</v>
      </c>
      <c r="AK89" s="523">
        <v>1</v>
      </c>
      <c r="AL89" s="319">
        <f>+AI89*E89</f>
        <v>2.5000000000000001E-2</v>
      </c>
      <c r="AM89" s="319">
        <f>+AJ89*E89</f>
        <v>0.1</v>
      </c>
      <c r="AN89" s="319">
        <f t="shared" si="50"/>
        <v>0.1</v>
      </c>
      <c r="AO89" s="577" t="s">
        <v>1850</v>
      </c>
      <c r="AP89" s="579" t="s">
        <v>1952</v>
      </c>
      <c r="AQ89" s="308"/>
      <c r="AR89" s="897" t="s">
        <v>2289</v>
      </c>
      <c r="AS89" s="897" t="s">
        <v>2402</v>
      </c>
      <c r="AT89" s="897" t="s">
        <v>2436</v>
      </c>
      <c r="AU89" s="895"/>
      <c r="AV89" s="603" t="s">
        <v>1893</v>
      </c>
    </row>
    <row r="90" spans="1:48" ht="98.4" customHeight="1" thickBot="1" x14ac:dyDescent="0.55000000000000004">
      <c r="A90" s="302"/>
      <c r="B90" s="1471" t="s">
        <v>497</v>
      </c>
      <c r="C90" s="1472" t="s">
        <v>498</v>
      </c>
      <c r="D90" s="617" t="s">
        <v>490</v>
      </c>
      <c r="E90" s="780">
        <v>0.35</v>
      </c>
      <c r="F90" s="311">
        <v>9</v>
      </c>
      <c r="G90" s="330">
        <v>5</v>
      </c>
      <c r="H90" s="809">
        <v>2</v>
      </c>
      <c r="I90" s="331">
        <v>1</v>
      </c>
      <c r="J90" s="320">
        <f>+G90/F90</f>
        <v>0.55555555555555558</v>
      </c>
      <c r="K90" s="320">
        <f t="shared" si="35"/>
        <v>0.22222222222222221</v>
      </c>
      <c r="L90" s="320">
        <f t="shared" si="54"/>
        <v>0.1111111111111111</v>
      </c>
      <c r="M90" s="321">
        <f>+(G90/F90)*E90</f>
        <v>0.19444444444444445</v>
      </c>
      <c r="N90" s="321">
        <f t="shared" si="36"/>
        <v>7.7777777777777765E-2</v>
      </c>
      <c r="O90" s="321"/>
      <c r="P90" s="316">
        <v>5</v>
      </c>
      <c r="Q90" s="323">
        <v>0</v>
      </c>
      <c r="R90" s="317">
        <v>0</v>
      </c>
      <c r="S90" s="317">
        <v>0</v>
      </c>
      <c r="T90" s="317">
        <v>1</v>
      </c>
      <c r="U90" s="317">
        <v>0</v>
      </c>
      <c r="V90" s="322">
        <f>+Q90+R90+S90+T90+U90</f>
        <v>1</v>
      </c>
      <c r="W90" s="646">
        <f t="shared" si="59"/>
        <v>6</v>
      </c>
      <c r="X90" s="1185">
        <v>0</v>
      </c>
      <c r="Y90" s="330"/>
      <c r="Z90" s="330"/>
      <c r="AA90" s="330"/>
      <c r="AB90" s="1090">
        <f t="shared" si="47"/>
        <v>0</v>
      </c>
      <c r="AC90" s="318">
        <f>+(P90/G90)</f>
        <v>1</v>
      </c>
      <c r="AD90" s="319">
        <f>+V90/H90</f>
        <v>0.5</v>
      </c>
      <c r="AE90" s="319">
        <f t="shared" si="48"/>
        <v>0</v>
      </c>
      <c r="AF90" s="319">
        <f>+AC90*E90</f>
        <v>0.35</v>
      </c>
      <c r="AG90" s="319">
        <f>+AD90*E90</f>
        <v>0.17499999999999999</v>
      </c>
      <c r="AH90" s="319">
        <f t="shared" si="56"/>
        <v>0</v>
      </c>
      <c r="AI90" s="319">
        <f>+P90/F90</f>
        <v>0.55555555555555558</v>
      </c>
      <c r="AJ90" s="319">
        <v>0.66666666666666663</v>
      </c>
      <c r="AK90" s="319">
        <f t="shared" si="49"/>
        <v>0.66666666666666663</v>
      </c>
      <c r="AL90" s="319">
        <f>+AI90*E90</f>
        <v>0.19444444444444445</v>
      </c>
      <c r="AM90" s="319">
        <f>+AJ90*E90</f>
        <v>0.23333333333333331</v>
      </c>
      <c r="AN90" s="319">
        <f t="shared" si="50"/>
        <v>0.23333333333333331</v>
      </c>
      <c r="AO90" s="577" t="s">
        <v>1850</v>
      </c>
      <c r="AP90" s="579" t="s">
        <v>1901</v>
      </c>
      <c r="AQ90" s="308"/>
      <c r="AR90" s="897" t="s">
        <v>2289</v>
      </c>
      <c r="AS90" s="897" t="s">
        <v>2402</v>
      </c>
      <c r="AT90" s="897" t="s">
        <v>2436</v>
      </c>
      <c r="AU90" s="895"/>
      <c r="AV90" s="603" t="s">
        <v>1893</v>
      </c>
    </row>
    <row r="91" spans="1:48" ht="122.4" customHeight="1" thickBot="1" x14ac:dyDescent="0.55000000000000004">
      <c r="A91" s="302"/>
      <c r="B91" s="1553" t="s">
        <v>1655</v>
      </c>
      <c r="C91" s="1550"/>
      <c r="D91" s="341"/>
      <c r="E91" s="342">
        <v>0.1</v>
      </c>
      <c r="F91" s="343">
        <f>+E91*AF91</f>
        <v>3.9149999999999997E-2</v>
      </c>
      <c r="G91" s="326"/>
      <c r="H91" s="1079">
        <f>+E91*AG91</f>
        <v>4.4988348609041232E-2</v>
      </c>
      <c r="I91" s="304">
        <f>E91*AH91</f>
        <v>2.9142659917547709E-2</v>
      </c>
      <c r="J91" s="344">
        <f>+(J92+J101+J106)/3</f>
        <v>0.36897145335135689</v>
      </c>
      <c r="K91" s="344">
        <f>+(K92+K101+K106)/3</f>
        <v>0.37316486001714971</v>
      </c>
      <c r="L91" s="344">
        <f>+(L92+L101+L106)/3</f>
        <v>0.45902477549928916</v>
      </c>
      <c r="M91" s="345">
        <f>+(M92+M101+M106)/3</f>
        <v>0.13546025296319508</v>
      </c>
      <c r="N91" s="345">
        <f>+(N92+N101+N106)/3</f>
        <v>0.19876656861431621</v>
      </c>
      <c r="O91" s="345"/>
      <c r="P91" s="515"/>
      <c r="Q91" s="346"/>
      <c r="R91" s="346"/>
      <c r="S91" s="346"/>
      <c r="T91" s="346"/>
      <c r="U91" s="346"/>
      <c r="V91" s="346"/>
      <c r="W91" s="346"/>
      <c r="X91" s="326"/>
      <c r="Y91" s="326"/>
      <c r="Z91" s="326"/>
      <c r="AA91" s="326"/>
      <c r="AB91" s="326"/>
      <c r="AC91" s="347">
        <f>+(AC92+AC101+AC106)/3</f>
        <v>0.8396825396825397</v>
      </c>
      <c r="AD91" s="347">
        <f>+(AD92+AD101+AD106)/3</f>
        <v>0.67621105726609232</v>
      </c>
      <c r="AE91" s="347">
        <f>+(AE92+AE101+AE106)/3</f>
        <v>0.36923564775930373</v>
      </c>
      <c r="AF91" s="305">
        <f>+AF92+AF101+AF106</f>
        <v>0.39149999999999996</v>
      </c>
      <c r="AG91" s="305">
        <f>+AG92+AG101+AG106</f>
        <v>0.44988348609041229</v>
      </c>
      <c r="AH91" s="305">
        <f>+AH92+AH101+AH106</f>
        <v>0.29142659917547709</v>
      </c>
      <c r="AI91" s="306">
        <f>(AI92+AI101+AI106)/3</f>
        <v>0.12107490645604667</v>
      </c>
      <c r="AJ91" s="306">
        <v>0.36954161861032914</v>
      </c>
      <c r="AK91" s="306">
        <f>(AK92+AK101+AK106)/3</f>
        <v>0.51462158645123768</v>
      </c>
      <c r="AL91" s="305">
        <f>(AL92+AL101+AL106)</f>
        <v>0.1147193821346188</v>
      </c>
      <c r="AM91" s="305">
        <f>(AM92*E92)+(AM101*E101)+(AM106*E106)</f>
        <v>0.34878279505494242</v>
      </c>
      <c r="AN91" s="305">
        <f>(AN92*E92)+(AN101*E101)+(AN106*E106)</f>
        <v>0.50564363336259133</v>
      </c>
      <c r="AO91" s="890"/>
      <c r="AP91" s="308"/>
      <c r="AQ91" s="308"/>
      <c r="AR91" s="308"/>
      <c r="AS91" s="308"/>
      <c r="AT91" s="898"/>
      <c r="AU91" s="895"/>
      <c r="AV91" s="898"/>
    </row>
    <row r="92" spans="1:48" ht="122.4" customHeight="1" thickBot="1" x14ac:dyDescent="0.55000000000000004">
      <c r="A92" s="302"/>
      <c r="B92" s="1548" t="s">
        <v>1656</v>
      </c>
      <c r="C92" s="1549"/>
      <c r="D92" s="625"/>
      <c r="E92" s="307">
        <v>0.35</v>
      </c>
      <c r="F92" s="325"/>
      <c r="G92" s="326"/>
      <c r="H92" s="1077"/>
      <c r="I92" s="308"/>
      <c r="J92" s="327">
        <f>+AVERAGE(J93:J100)</f>
        <v>0.36703340767311832</v>
      </c>
      <c r="K92" s="327">
        <f>+AVERAGE(K93:K100)</f>
        <v>0.21758981814668724</v>
      </c>
      <c r="L92" s="327">
        <f>+AVERAGE(L93:L100)</f>
        <v>0.47422563602167717</v>
      </c>
      <c r="M92" s="328">
        <f>+M93+M94+M95+M96+M97+M98+M99+M100</f>
        <v>0.19522004460387099</v>
      </c>
      <c r="N92" s="328">
        <f>+N93+N94+N95+N96+N97+N98+N99+N100</f>
        <v>0.17639494393818686</v>
      </c>
      <c r="O92" s="328"/>
      <c r="P92" s="316"/>
      <c r="Q92" s="329"/>
      <c r="R92" s="329"/>
      <c r="S92" s="329"/>
      <c r="T92" s="329"/>
      <c r="U92" s="329"/>
      <c r="V92" s="329"/>
      <c r="W92" s="329"/>
      <c r="X92" s="1087"/>
      <c r="Y92" s="1087"/>
      <c r="Z92" s="1087"/>
      <c r="AA92" s="1087"/>
      <c r="AB92" s="1087"/>
      <c r="AC92" s="521">
        <f>+AVERAGE(AC93:AC100)</f>
        <v>1</v>
      </c>
      <c r="AD92" s="717">
        <f>+AVERAGE(AD93:AD100)</f>
        <v>0.75411296977807518</v>
      </c>
      <c r="AE92" s="717">
        <f>+AVERAGE(AE93:AE100)</f>
        <v>0.32717358726621898</v>
      </c>
      <c r="AF92" s="348">
        <f>+(AF93+AF94+AF95+AF96+AF97+AF98+AF99+AF100)*E92</f>
        <v>0.17499999999999996</v>
      </c>
      <c r="AG92" s="348">
        <f>+(AG93+AG94+AG95+AG96+AG97+AG98+AG99+AG100)*E92</f>
        <v>0.18496984972677594</v>
      </c>
      <c r="AH92" s="348">
        <f>+(AH93+AH94+AH95+AH96+AH97+AH98+AH99+AH100)*E92</f>
        <v>6.4819614140834231E-2</v>
      </c>
      <c r="AI92" s="348">
        <f>+AVERAGE(AI93:AI100)</f>
        <v>0.1583199574633781</v>
      </c>
      <c r="AJ92" s="348">
        <v>0.49420600662463821</v>
      </c>
      <c r="AK92" s="348">
        <f>+AVERAGE(AK93:AK100)</f>
        <v>0.55263341014736389</v>
      </c>
      <c r="AL92" s="348">
        <f>+(AL93+AL94+AL95+AL96+AL97+AL98+AL99+AL100)*E92</f>
        <v>5.7744382134618799E-2</v>
      </c>
      <c r="AM92" s="348">
        <f>+(AM93+AM94+AM95+AM96+AM97+AM98+AM99+AM100)</f>
        <v>0.42700370015697831</v>
      </c>
      <c r="AN92" s="348">
        <f>+(AN93+AN94+AN95+AN96+AN97+AN98+AN99+AN100)</f>
        <v>0.47510073817883236</v>
      </c>
      <c r="AO92" s="685"/>
      <c r="AP92" s="308"/>
      <c r="AQ92" s="308"/>
      <c r="AR92" s="308"/>
      <c r="AS92" s="308"/>
      <c r="AT92" s="898"/>
      <c r="AU92" s="895"/>
      <c r="AV92" s="898"/>
    </row>
    <row r="93" spans="1:48" ht="122.4" customHeight="1" thickBot="1" x14ac:dyDescent="0.45">
      <c r="A93" s="302"/>
      <c r="B93" s="1452" t="s">
        <v>499</v>
      </c>
      <c r="C93" s="1427" t="s">
        <v>500</v>
      </c>
      <c r="D93" s="349" t="s">
        <v>501</v>
      </c>
      <c r="E93" s="336">
        <v>0.15</v>
      </c>
      <c r="F93" s="311">
        <v>7190</v>
      </c>
      <c r="G93" s="330">
        <v>515</v>
      </c>
      <c r="H93" s="809">
        <v>427</v>
      </c>
      <c r="I93" s="331">
        <v>2300</v>
      </c>
      <c r="J93" s="320"/>
      <c r="K93" s="320">
        <f t="shared" ref="K93:K118" si="60">+H93/F93</f>
        <v>5.9388038942976354E-2</v>
      </c>
      <c r="L93" s="320">
        <f>+I93/F93</f>
        <v>0.31988873435326842</v>
      </c>
      <c r="M93" s="321"/>
      <c r="N93" s="321">
        <f t="shared" ref="N93:N118" si="61">+(H93/F93)*E93</f>
        <v>8.9082058414464531E-3</v>
      </c>
      <c r="O93" s="321"/>
      <c r="P93" s="316">
        <v>0</v>
      </c>
      <c r="Q93" s="323">
        <v>0</v>
      </c>
      <c r="R93" s="317">
        <v>0</v>
      </c>
      <c r="S93" s="317">
        <v>0</v>
      </c>
      <c r="T93" s="317">
        <v>0</v>
      </c>
      <c r="U93" s="317">
        <v>325</v>
      </c>
      <c r="V93" s="646">
        <f>+Q93+R93+S93+T93+U93</f>
        <v>325</v>
      </c>
      <c r="W93" s="857">
        <f>+V93+P93+AB93</f>
        <v>325</v>
      </c>
      <c r="X93" s="1185">
        <v>0</v>
      </c>
      <c r="Y93" s="330"/>
      <c r="Z93" s="330"/>
      <c r="AA93" s="330"/>
      <c r="AB93" s="1090">
        <f t="shared" ref="AB93:AB118" si="62">+X93+Y93+Z93+AA93</f>
        <v>0</v>
      </c>
      <c r="AC93" s="318"/>
      <c r="AD93" s="319">
        <f>+V93/H93</f>
        <v>0.76112412177985944</v>
      </c>
      <c r="AE93" s="319">
        <f t="shared" ref="AE93:AE117" si="63">+AB93/I93</f>
        <v>0</v>
      </c>
      <c r="AF93" s="319"/>
      <c r="AG93" s="319">
        <f>+AD93*E93</f>
        <v>0.11416861826697891</v>
      </c>
      <c r="AH93" s="319">
        <f t="shared" ref="AH93:AH118" si="64">+AE93*E93</f>
        <v>0</v>
      </c>
      <c r="AI93" s="319">
        <v>0</v>
      </c>
      <c r="AJ93" s="319">
        <v>4.5201668984700974E-2</v>
      </c>
      <c r="AK93" s="319">
        <f t="shared" ref="AK93:AK118" si="65">+W93/F93</f>
        <v>4.5201668984700974E-2</v>
      </c>
      <c r="AL93" s="319">
        <f>+AI93*E93</f>
        <v>0</v>
      </c>
      <c r="AM93" s="319">
        <f t="shared" ref="AM93:AM100" si="66">+AJ93*E93</f>
        <v>6.7802503477051457E-3</v>
      </c>
      <c r="AN93" s="319">
        <f t="shared" ref="AN93:AN118" si="67">+AK93*E93</f>
        <v>6.7802503477051457E-3</v>
      </c>
      <c r="AO93" s="577" t="s">
        <v>1850</v>
      </c>
      <c r="AP93" s="579" t="s">
        <v>1901</v>
      </c>
      <c r="AQ93" s="579" t="s">
        <v>2264</v>
      </c>
      <c r="AR93" s="644" t="s">
        <v>2332</v>
      </c>
      <c r="AS93" s="644" t="s">
        <v>2387</v>
      </c>
      <c r="AT93" s="897" t="s">
        <v>2436</v>
      </c>
      <c r="AU93" s="603" t="s">
        <v>2493</v>
      </c>
      <c r="AV93" s="603" t="s">
        <v>1893</v>
      </c>
    </row>
    <row r="94" spans="1:48" ht="122.4" customHeight="1" thickBot="1" x14ac:dyDescent="0.45">
      <c r="A94" s="302"/>
      <c r="B94" s="1452" t="s">
        <v>502</v>
      </c>
      <c r="C94" s="1427" t="s">
        <v>503</v>
      </c>
      <c r="D94" s="350" t="s">
        <v>501</v>
      </c>
      <c r="E94" s="310">
        <v>0.1</v>
      </c>
      <c r="F94" s="311">
        <v>9</v>
      </c>
      <c r="G94" s="330">
        <v>0</v>
      </c>
      <c r="H94" s="809">
        <v>3</v>
      </c>
      <c r="I94" s="331">
        <v>6</v>
      </c>
      <c r="J94" s="320"/>
      <c r="K94" s="320">
        <f t="shared" si="60"/>
        <v>0.33333333333333331</v>
      </c>
      <c r="L94" s="320">
        <f t="shared" ref="L94:L117" si="68">+I94/F94</f>
        <v>0.66666666666666663</v>
      </c>
      <c r="M94" s="321"/>
      <c r="N94" s="321">
        <f t="shared" si="61"/>
        <v>3.3333333333333333E-2</v>
      </c>
      <c r="O94" s="321"/>
      <c r="P94" s="316"/>
      <c r="Q94" s="323">
        <v>0</v>
      </c>
      <c r="R94" s="317">
        <v>0</v>
      </c>
      <c r="S94" s="317">
        <v>0</v>
      </c>
      <c r="T94" s="317"/>
      <c r="U94" s="317">
        <v>0.8</v>
      </c>
      <c r="V94" s="646">
        <f t="shared" ref="V94:V99" si="69">+Q94+R94+S94+T94+U94</f>
        <v>0.8</v>
      </c>
      <c r="W94" s="857">
        <f t="shared" ref="W94:W100" si="70">+V94+P94+AB94</f>
        <v>0.8</v>
      </c>
      <c r="X94" s="1185">
        <v>0</v>
      </c>
      <c r="Y94" s="330"/>
      <c r="Z94" s="330"/>
      <c r="AA94" s="330"/>
      <c r="AB94" s="1090">
        <f t="shared" si="62"/>
        <v>0</v>
      </c>
      <c r="AC94" s="318"/>
      <c r="AD94" s="319">
        <f>+V94/H94</f>
        <v>0.26666666666666666</v>
      </c>
      <c r="AE94" s="319">
        <f t="shared" si="63"/>
        <v>0</v>
      </c>
      <c r="AF94" s="319"/>
      <c r="AG94" s="319">
        <f>+AD94*E94</f>
        <v>2.6666666666666668E-2</v>
      </c>
      <c r="AH94" s="319">
        <f t="shared" si="64"/>
        <v>0</v>
      </c>
      <c r="AI94" s="319">
        <v>0</v>
      </c>
      <c r="AJ94" s="319">
        <v>8.8888888888888892E-2</v>
      </c>
      <c r="AK94" s="319">
        <f t="shared" si="65"/>
        <v>8.8888888888888892E-2</v>
      </c>
      <c r="AL94" s="319"/>
      <c r="AM94" s="319">
        <f t="shared" si="66"/>
        <v>8.8888888888888889E-3</v>
      </c>
      <c r="AN94" s="319">
        <f t="shared" si="67"/>
        <v>8.8888888888888889E-3</v>
      </c>
      <c r="AO94" s="577" t="s">
        <v>1850</v>
      </c>
      <c r="AP94" s="579" t="s">
        <v>1901</v>
      </c>
      <c r="AQ94" s="579" t="s">
        <v>2264</v>
      </c>
      <c r="AR94" s="897" t="s">
        <v>2289</v>
      </c>
      <c r="AS94" s="897" t="s">
        <v>2402</v>
      </c>
      <c r="AT94" s="897" t="s">
        <v>2436</v>
      </c>
      <c r="AU94" s="603" t="s">
        <v>2493</v>
      </c>
      <c r="AV94" s="603" t="s">
        <v>1893</v>
      </c>
    </row>
    <row r="95" spans="1:48" ht="122.4" customHeight="1" thickBot="1" x14ac:dyDescent="0.45">
      <c r="A95" s="302"/>
      <c r="B95" s="1452" t="s">
        <v>504</v>
      </c>
      <c r="C95" s="1427" t="s">
        <v>505</v>
      </c>
      <c r="D95" s="626" t="s">
        <v>501</v>
      </c>
      <c r="E95" s="310">
        <v>0.15</v>
      </c>
      <c r="F95" s="311">
        <v>6</v>
      </c>
      <c r="G95" s="330">
        <v>4</v>
      </c>
      <c r="H95" s="809">
        <v>0</v>
      </c>
      <c r="I95" s="331">
        <v>0</v>
      </c>
      <c r="J95" s="320">
        <f>+G95/F95</f>
        <v>0.66666666666666663</v>
      </c>
      <c r="K95" s="320">
        <f t="shared" si="60"/>
        <v>0</v>
      </c>
      <c r="L95" s="320"/>
      <c r="M95" s="321">
        <f>+(G95/F95)*E95</f>
        <v>9.9999999999999992E-2</v>
      </c>
      <c r="N95" s="321">
        <f t="shared" si="61"/>
        <v>0</v>
      </c>
      <c r="O95" s="321"/>
      <c r="P95" s="316">
        <v>5</v>
      </c>
      <c r="Q95" s="323"/>
      <c r="R95" s="317"/>
      <c r="S95" s="317"/>
      <c r="T95" s="317"/>
      <c r="U95" s="317">
        <v>1</v>
      </c>
      <c r="V95" s="646">
        <f t="shared" si="69"/>
        <v>1</v>
      </c>
      <c r="W95" s="857">
        <f t="shared" si="70"/>
        <v>6</v>
      </c>
      <c r="X95" s="1185"/>
      <c r="Y95" s="330"/>
      <c r="Z95" s="330"/>
      <c r="AA95" s="330"/>
      <c r="AB95" s="1090">
        <f t="shared" si="62"/>
        <v>0</v>
      </c>
      <c r="AC95" s="318">
        <v>1</v>
      </c>
      <c r="AD95" s="319"/>
      <c r="AE95" s="319"/>
      <c r="AF95" s="319">
        <f>+AC95*E95</f>
        <v>0.15</v>
      </c>
      <c r="AG95" s="319"/>
      <c r="AH95" s="319"/>
      <c r="AI95" s="319">
        <f>+P95/F95</f>
        <v>0.83333333333333337</v>
      </c>
      <c r="AJ95" s="319">
        <v>1</v>
      </c>
      <c r="AK95" s="319">
        <f t="shared" si="65"/>
        <v>1</v>
      </c>
      <c r="AL95" s="319">
        <f>+AI95*E95</f>
        <v>0.125</v>
      </c>
      <c r="AM95" s="319">
        <f t="shared" si="66"/>
        <v>0.15</v>
      </c>
      <c r="AN95" s="319">
        <f t="shared" si="67"/>
        <v>0.15</v>
      </c>
      <c r="AO95" s="577" t="s">
        <v>1850</v>
      </c>
      <c r="AP95" s="579" t="s">
        <v>1901</v>
      </c>
      <c r="AQ95" s="579" t="s">
        <v>2264</v>
      </c>
      <c r="AR95" s="897" t="s">
        <v>2289</v>
      </c>
      <c r="AS95" s="897" t="s">
        <v>2402</v>
      </c>
      <c r="AT95" s="897" t="s">
        <v>2436</v>
      </c>
      <c r="AU95" s="603" t="s">
        <v>2493</v>
      </c>
      <c r="AV95" s="603" t="s">
        <v>1893</v>
      </c>
    </row>
    <row r="96" spans="1:48" ht="122.4" customHeight="1" thickBot="1" x14ac:dyDescent="0.45">
      <c r="A96" s="302"/>
      <c r="B96" s="1450" t="s">
        <v>506</v>
      </c>
      <c r="C96" s="1430" t="s">
        <v>507</v>
      </c>
      <c r="D96" s="350" t="s">
        <v>501</v>
      </c>
      <c r="E96" s="310">
        <v>0.15</v>
      </c>
      <c r="F96" s="311">
        <v>448800</v>
      </c>
      <c r="G96" s="330">
        <v>65000</v>
      </c>
      <c r="H96" s="809">
        <v>110000</v>
      </c>
      <c r="I96" s="331">
        <v>125000</v>
      </c>
      <c r="J96" s="320">
        <f>+G96/F96</f>
        <v>0.14483065953654189</v>
      </c>
      <c r="K96" s="320">
        <f t="shared" si="60"/>
        <v>0.24509803921568626</v>
      </c>
      <c r="L96" s="320">
        <f t="shared" si="68"/>
        <v>0.27852049910873439</v>
      </c>
      <c r="M96" s="321">
        <f>+(G96/F96)*E96</f>
        <v>2.1724598930481284E-2</v>
      </c>
      <c r="N96" s="321">
        <f t="shared" si="61"/>
        <v>3.6764705882352935E-2</v>
      </c>
      <c r="O96" s="321"/>
      <c r="P96" s="316">
        <v>79458</v>
      </c>
      <c r="Q96" s="323">
        <v>24490</v>
      </c>
      <c r="R96" s="317">
        <v>26060</v>
      </c>
      <c r="S96" s="317">
        <v>22190</v>
      </c>
      <c r="T96" s="317">
        <v>51750</v>
      </c>
      <c r="U96" s="317">
        <v>0</v>
      </c>
      <c r="V96" s="646">
        <f t="shared" si="69"/>
        <v>124490</v>
      </c>
      <c r="W96" s="857">
        <f t="shared" si="70"/>
        <v>239496</v>
      </c>
      <c r="X96" s="1185">
        <v>35548</v>
      </c>
      <c r="Y96" s="330"/>
      <c r="Z96" s="330"/>
      <c r="AA96" s="330"/>
      <c r="AB96" s="1090">
        <f t="shared" si="62"/>
        <v>35548</v>
      </c>
      <c r="AC96" s="318">
        <v>1</v>
      </c>
      <c r="AD96" s="319">
        <v>1</v>
      </c>
      <c r="AE96" s="319">
        <f t="shared" si="63"/>
        <v>0.28438400000000003</v>
      </c>
      <c r="AF96" s="319">
        <f>+AC96*E96</f>
        <v>0.15</v>
      </c>
      <c r="AG96" s="319">
        <f>+AD96*E96</f>
        <v>0.15</v>
      </c>
      <c r="AH96" s="319">
        <f t="shared" si="64"/>
        <v>4.2657600000000004E-2</v>
      </c>
      <c r="AI96" s="319">
        <f>+P96/F96</f>
        <v>0.17704545454545453</v>
      </c>
      <c r="AJ96" s="319">
        <v>0.45442959001782529</v>
      </c>
      <c r="AK96" s="319">
        <f t="shared" si="65"/>
        <v>0.53363636363636369</v>
      </c>
      <c r="AL96" s="319">
        <f>+AI96*E96</f>
        <v>2.6556818181818178E-2</v>
      </c>
      <c r="AM96" s="319">
        <f t="shared" si="66"/>
        <v>6.8164438502673785E-2</v>
      </c>
      <c r="AN96" s="319">
        <f t="shared" si="67"/>
        <v>8.0045454545454545E-2</v>
      </c>
      <c r="AO96" s="577" t="s">
        <v>1850</v>
      </c>
      <c r="AP96" s="579" t="s">
        <v>1901</v>
      </c>
      <c r="AQ96" s="579" t="s">
        <v>2264</v>
      </c>
      <c r="AR96" s="897" t="s">
        <v>2289</v>
      </c>
      <c r="AS96" s="897" t="s">
        <v>2402</v>
      </c>
      <c r="AT96" s="897" t="s">
        <v>2436</v>
      </c>
      <c r="AU96" s="603" t="s">
        <v>2493</v>
      </c>
      <c r="AV96" s="603" t="s">
        <v>1893</v>
      </c>
    </row>
    <row r="97" spans="1:48" ht="122.4" customHeight="1" thickBot="1" x14ac:dyDescent="0.45">
      <c r="A97" s="302"/>
      <c r="B97" s="1452" t="s">
        <v>508</v>
      </c>
      <c r="C97" s="1427" t="s">
        <v>509</v>
      </c>
      <c r="D97" s="626" t="s">
        <v>501</v>
      </c>
      <c r="E97" s="310">
        <v>0.15</v>
      </c>
      <c r="F97" s="311">
        <v>12296</v>
      </c>
      <c r="G97" s="330">
        <v>5000</v>
      </c>
      <c r="H97" s="809">
        <v>4000</v>
      </c>
      <c r="I97" s="331">
        <v>4845</v>
      </c>
      <c r="J97" s="320">
        <f>+G97/F97</f>
        <v>0.4066363044892648</v>
      </c>
      <c r="K97" s="320">
        <f t="shared" si="60"/>
        <v>0.32530904359141183</v>
      </c>
      <c r="L97" s="320">
        <f>+I97/F97</f>
        <v>0.39403057905009758</v>
      </c>
      <c r="M97" s="321">
        <f>+(G97/F97)*E97</f>
        <v>6.0995445673389714E-2</v>
      </c>
      <c r="N97" s="321">
        <f t="shared" si="61"/>
        <v>4.8796356538711776E-2</v>
      </c>
      <c r="O97" s="321"/>
      <c r="P97" s="316">
        <v>76</v>
      </c>
      <c r="Q97" s="323">
        <v>0</v>
      </c>
      <c r="R97" s="317">
        <v>0</v>
      </c>
      <c r="S97" s="317">
        <v>0</v>
      </c>
      <c r="T97" s="317">
        <v>0</v>
      </c>
      <c r="U97" s="317">
        <v>1004</v>
      </c>
      <c r="V97" s="646">
        <f t="shared" si="69"/>
        <v>1004</v>
      </c>
      <c r="W97" s="857">
        <f>+V97+P97+AB97+6401</f>
        <v>7913</v>
      </c>
      <c r="X97" s="1185">
        <v>432</v>
      </c>
      <c r="Y97" s="330"/>
      <c r="Z97" s="330"/>
      <c r="AA97" s="330"/>
      <c r="AB97" s="1090">
        <f t="shared" si="62"/>
        <v>432</v>
      </c>
      <c r="AC97" s="318">
        <v>1</v>
      </c>
      <c r="AD97" s="319">
        <f>+V97/H97</f>
        <v>0.251</v>
      </c>
      <c r="AE97" s="319">
        <f>+AB97/I97</f>
        <v>8.9164086687306507E-2</v>
      </c>
      <c r="AF97" s="319">
        <f>+AC97*E97</f>
        <v>0.15</v>
      </c>
      <c r="AG97" s="319">
        <f>+AD97*E97</f>
        <v>3.7649999999999996E-2</v>
      </c>
      <c r="AH97" s="319">
        <f t="shared" si="64"/>
        <v>1.3374613003095975E-2</v>
      </c>
      <c r="AI97" s="319">
        <f>+P97/F97</f>
        <v>6.1808718282368247E-3</v>
      </c>
      <c r="AJ97" s="523">
        <v>0.61231294729993491</v>
      </c>
      <c r="AK97" s="523">
        <f>+W97/F97</f>
        <v>0.64354261548471048</v>
      </c>
      <c r="AL97" s="523">
        <f>+AI97*E97</f>
        <v>9.2713077423552364E-4</v>
      </c>
      <c r="AM97" s="523">
        <f t="shared" si="66"/>
        <v>9.1846942094990239E-2</v>
      </c>
      <c r="AN97" s="523">
        <f t="shared" si="67"/>
        <v>9.6531392322706563E-2</v>
      </c>
      <c r="AO97" s="577" t="s">
        <v>1850</v>
      </c>
      <c r="AP97" s="579" t="s">
        <v>1901</v>
      </c>
      <c r="AQ97" s="579" t="s">
        <v>2264</v>
      </c>
      <c r="AR97" s="897" t="s">
        <v>2289</v>
      </c>
      <c r="AS97" s="897" t="s">
        <v>2402</v>
      </c>
      <c r="AT97" s="897" t="s">
        <v>2436</v>
      </c>
      <c r="AU97" s="603" t="s">
        <v>2493</v>
      </c>
      <c r="AV97" s="603" t="s">
        <v>1893</v>
      </c>
    </row>
    <row r="98" spans="1:48" ht="122.4" customHeight="1" thickBot="1" x14ac:dyDescent="0.45">
      <c r="A98" s="302"/>
      <c r="B98" s="1450" t="s">
        <v>510</v>
      </c>
      <c r="C98" s="1430" t="s">
        <v>511</v>
      </c>
      <c r="D98" s="350" t="s">
        <v>501</v>
      </c>
      <c r="E98" s="310">
        <v>0.1</v>
      </c>
      <c r="F98" s="311">
        <v>592</v>
      </c>
      <c r="G98" s="330">
        <v>0</v>
      </c>
      <c r="H98" s="809">
        <v>115</v>
      </c>
      <c r="I98" s="331">
        <v>243</v>
      </c>
      <c r="J98" s="320"/>
      <c r="K98" s="320">
        <f t="shared" si="60"/>
        <v>0.19425675675675674</v>
      </c>
      <c r="L98" s="320">
        <f t="shared" si="68"/>
        <v>0.41047297297297297</v>
      </c>
      <c r="M98" s="321"/>
      <c r="N98" s="321">
        <f t="shared" si="61"/>
        <v>1.9425675675675675E-2</v>
      </c>
      <c r="O98" s="321"/>
      <c r="P98" s="316"/>
      <c r="Q98" s="323">
        <v>0</v>
      </c>
      <c r="R98" s="317">
        <v>0</v>
      </c>
      <c r="S98" s="317">
        <v>0</v>
      </c>
      <c r="T98" s="317">
        <v>0</v>
      </c>
      <c r="U98" s="317">
        <v>162</v>
      </c>
      <c r="V98" s="646">
        <f>+Q98+R98+S98+T98+U98</f>
        <v>162</v>
      </c>
      <c r="W98" s="857">
        <f t="shared" si="70"/>
        <v>324</v>
      </c>
      <c r="X98" s="1185">
        <v>162</v>
      </c>
      <c r="Y98" s="330"/>
      <c r="Z98" s="330"/>
      <c r="AA98" s="330"/>
      <c r="AB98" s="1090">
        <f t="shared" si="62"/>
        <v>162</v>
      </c>
      <c r="AC98" s="318"/>
      <c r="AD98" s="319">
        <v>1</v>
      </c>
      <c r="AE98" s="319">
        <f t="shared" si="63"/>
        <v>0.66666666666666663</v>
      </c>
      <c r="AF98" s="319"/>
      <c r="AG98" s="319">
        <f>+AD98*E98</f>
        <v>0.1</v>
      </c>
      <c r="AH98" s="319">
        <f t="shared" si="64"/>
        <v>6.6666666666666666E-2</v>
      </c>
      <c r="AI98" s="319">
        <v>0</v>
      </c>
      <c r="AJ98" s="319">
        <v>0.27364864864864863</v>
      </c>
      <c r="AK98" s="319">
        <f t="shared" si="65"/>
        <v>0.54729729729729726</v>
      </c>
      <c r="AL98" s="319"/>
      <c r="AM98" s="319">
        <f t="shared" si="66"/>
        <v>2.7364864864864863E-2</v>
      </c>
      <c r="AN98" s="319">
        <f t="shared" si="67"/>
        <v>5.4729729729729726E-2</v>
      </c>
      <c r="AO98" s="577" t="s">
        <v>1850</v>
      </c>
      <c r="AP98" s="644" t="s">
        <v>1919</v>
      </c>
      <c r="AQ98" s="579" t="s">
        <v>2264</v>
      </c>
      <c r="AR98" s="897" t="s">
        <v>2289</v>
      </c>
      <c r="AS98" s="897" t="s">
        <v>2402</v>
      </c>
      <c r="AT98" s="897" t="s">
        <v>2436</v>
      </c>
      <c r="AU98" s="603" t="s">
        <v>2493</v>
      </c>
      <c r="AV98" s="603" t="s">
        <v>1893</v>
      </c>
    </row>
    <row r="99" spans="1:48" ht="122.4" customHeight="1" thickBot="1" x14ac:dyDescent="0.45">
      <c r="A99" s="302"/>
      <c r="B99" s="1450" t="s">
        <v>512</v>
      </c>
      <c r="C99" s="1430" t="s">
        <v>513</v>
      </c>
      <c r="D99" s="350" t="s">
        <v>501</v>
      </c>
      <c r="E99" s="310">
        <v>0.05</v>
      </c>
      <c r="F99" s="311">
        <v>45</v>
      </c>
      <c r="G99" s="330">
        <v>0</v>
      </c>
      <c r="H99" s="809">
        <v>15</v>
      </c>
      <c r="I99" s="331">
        <v>45</v>
      </c>
      <c r="J99" s="320"/>
      <c r="K99" s="320">
        <f t="shared" si="60"/>
        <v>0.33333333333333331</v>
      </c>
      <c r="L99" s="320">
        <f t="shared" si="68"/>
        <v>1</v>
      </c>
      <c r="M99" s="321"/>
      <c r="N99" s="321">
        <f t="shared" si="61"/>
        <v>1.6666666666666666E-2</v>
      </c>
      <c r="O99" s="321"/>
      <c r="P99" s="316"/>
      <c r="Q99" s="323"/>
      <c r="R99" s="317">
        <v>0</v>
      </c>
      <c r="S99" s="317">
        <v>0</v>
      </c>
      <c r="T99" s="317">
        <v>0</v>
      </c>
      <c r="U99" s="317">
        <v>45</v>
      </c>
      <c r="V99" s="646">
        <f t="shared" si="69"/>
        <v>45</v>
      </c>
      <c r="W99" s="857">
        <f t="shared" si="70"/>
        <v>90</v>
      </c>
      <c r="X99" s="1185">
        <v>45</v>
      </c>
      <c r="Y99" s="330"/>
      <c r="Z99" s="330"/>
      <c r="AA99" s="330"/>
      <c r="AB99" s="1090">
        <f t="shared" si="62"/>
        <v>45</v>
      </c>
      <c r="AC99" s="318"/>
      <c r="AD99" s="319">
        <v>1</v>
      </c>
      <c r="AE99" s="319">
        <f t="shared" si="63"/>
        <v>1</v>
      </c>
      <c r="AF99" s="319"/>
      <c r="AG99" s="319">
        <f>+AD99*E99</f>
        <v>0.05</v>
      </c>
      <c r="AH99" s="319">
        <f t="shared" si="64"/>
        <v>0.05</v>
      </c>
      <c r="AI99" s="319">
        <v>0</v>
      </c>
      <c r="AJ99" s="319">
        <v>1</v>
      </c>
      <c r="AK99" s="319">
        <v>1</v>
      </c>
      <c r="AL99" s="319"/>
      <c r="AM99" s="319">
        <f t="shared" si="66"/>
        <v>0.05</v>
      </c>
      <c r="AN99" s="319">
        <f t="shared" si="67"/>
        <v>0.05</v>
      </c>
      <c r="AO99" s="577" t="s">
        <v>1850</v>
      </c>
      <c r="AP99" s="579" t="s">
        <v>1901</v>
      </c>
      <c r="AQ99" s="579" t="s">
        <v>2264</v>
      </c>
      <c r="AR99" s="897" t="s">
        <v>2289</v>
      </c>
      <c r="AS99" s="897" t="s">
        <v>2402</v>
      </c>
      <c r="AT99" s="897" t="s">
        <v>2436</v>
      </c>
      <c r="AU99" s="603" t="s">
        <v>2493</v>
      </c>
      <c r="AV99" s="603" t="s">
        <v>1893</v>
      </c>
    </row>
    <row r="100" spans="1:48" ht="262.2" customHeight="1" thickBot="1" x14ac:dyDescent="0.45">
      <c r="A100" s="302"/>
      <c r="B100" s="1450" t="s">
        <v>514</v>
      </c>
      <c r="C100" s="1430" t="s">
        <v>515</v>
      </c>
      <c r="D100" s="350" t="s">
        <v>516</v>
      </c>
      <c r="E100" s="310">
        <v>0.05</v>
      </c>
      <c r="F100" s="351">
        <f>699282*4</f>
        <v>2797128</v>
      </c>
      <c r="G100" s="330">
        <f>246152+171307+281823</f>
        <v>699282</v>
      </c>
      <c r="H100" s="809">
        <v>699282</v>
      </c>
      <c r="I100" s="331">
        <v>699282</v>
      </c>
      <c r="J100" s="320">
        <f>+G100/F100</f>
        <v>0.25</v>
      </c>
      <c r="K100" s="320">
        <f t="shared" si="60"/>
        <v>0.25</v>
      </c>
      <c r="L100" s="320">
        <f t="shared" si="68"/>
        <v>0.25</v>
      </c>
      <c r="M100" s="321">
        <f>+(G100/F100)*E100</f>
        <v>1.2500000000000001E-2</v>
      </c>
      <c r="N100" s="321">
        <f t="shared" si="61"/>
        <v>1.2500000000000001E-2</v>
      </c>
      <c r="O100" s="321"/>
      <c r="P100" s="316">
        <f>246152+171307+281823</f>
        <v>699282</v>
      </c>
      <c r="Q100" s="323">
        <v>174820.5</v>
      </c>
      <c r="R100" s="323">
        <v>174820.5</v>
      </c>
      <c r="S100" s="323">
        <v>174821</v>
      </c>
      <c r="T100" s="323">
        <v>174821</v>
      </c>
      <c r="U100" s="323"/>
      <c r="V100" s="646">
        <f>+Q100+R100+S100+T100+U100</f>
        <v>699283</v>
      </c>
      <c r="W100" s="857">
        <f t="shared" si="70"/>
        <v>1573385.75</v>
      </c>
      <c r="X100" s="1193">
        <v>174820.75</v>
      </c>
      <c r="Y100" s="1088"/>
      <c r="Z100" s="1088"/>
      <c r="AA100" s="1088"/>
      <c r="AB100" s="1090">
        <f t="shared" si="62"/>
        <v>174820.75</v>
      </c>
      <c r="AC100" s="318">
        <f>+(P100/G100)</f>
        <v>1</v>
      </c>
      <c r="AD100" s="319">
        <v>1</v>
      </c>
      <c r="AE100" s="319">
        <f t="shared" si="63"/>
        <v>0.25000035750955979</v>
      </c>
      <c r="AF100" s="319">
        <f>+AC100*E100</f>
        <v>0.05</v>
      </c>
      <c r="AG100" s="319">
        <f>+AD100*E100</f>
        <v>0.05</v>
      </c>
      <c r="AH100" s="319">
        <f t="shared" si="64"/>
        <v>1.2500017875477991E-2</v>
      </c>
      <c r="AI100" s="319">
        <f>+P100/F100</f>
        <v>0.25</v>
      </c>
      <c r="AJ100" s="324">
        <v>0.47916630915710684</v>
      </c>
      <c r="AK100" s="324">
        <f t="shared" si="65"/>
        <v>0.56250044688694978</v>
      </c>
      <c r="AL100" s="319">
        <f>+AI100*E100</f>
        <v>1.2500000000000001E-2</v>
      </c>
      <c r="AM100" s="319">
        <f t="shared" si="66"/>
        <v>2.3958315457855345E-2</v>
      </c>
      <c r="AN100" s="319">
        <f t="shared" si="67"/>
        <v>2.8125022344347491E-2</v>
      </c>
      <c r="AO100" s="577" t="s">
        <v>1850</v>
      </c>
      <c r="AP100" s="644" t="s">
        <v>1942</v>
      </c>
      <c r="AQ100" s="579" t="s">
        <v>2264</v>
      </c>
      <c r="AR100" s="897" t="s">
        <v>2289</v>
      </c>
      <c r="AS100" s="897" t="s">
        <v>2402</v>
      </c>
      <c r="AT100" s="897" t="s">
        <v>2436</v>
      </c>
      <c r="AU100" s="603" t="s">
        <v>2493</v>
      </c>
      <c r="AV100" s="603" t="s">
        <v>1893</v>
      </c>
    </row>
    <row r="101" spans="1:48" ht="122.4" customHeight="1" thickBot="1" x14ac:dyDescent="0.55000000000000004">
      <c r="A101" s="302"/>
      <c r="B101" s="1548" t="s">
        <v>1657</v>
      </c>
      <c r="C101" s="1549"/>
      <c r="D101" s="350"/>
      <c r="E101" s="307">
        <v>0.35</v>
      </c>
      <c r="F101" s="311"/>
      <c r="G101" s="330"/>
      <c r="H101" s="809"/>
      <c r="I101" s="331"/>
      <c r="J101" s="327">
        <f>+AVERAGE(J102:J105)</f>
        <v>0.11488095238095238</v>
      </c>
      <c r="K101" s="327">
        <f>+AVERAGE(K102:K105)</f>
        <v>0.27142857142857141</v>
      </c>
      <c r="L101" s="327">
        <f>+AVERAGE(L102:L105)</f>
        <v>0.32299107142857142</v>
      </c>
      <c r="M101" s="328">
        <f>+M102+M103+M104+M105</f>
        <v>8.6160714285714285E-2</v>
      </c>
      <c r="N101" s="328">
        <f>+N102+N103+N104+N105</f>
        <v>0.20357142857142857</v>
      </c>
      <c r="O101" s="328"/>
      <c r="P101" s="316"/>
      <c r="Q101" s="329"/>
      <c r="R101" s="329"/>
      <c r="S101" s="329"/>
      <c r="T101" s="329"/>
      <c r="U101" s="329"/>
      <c r="V101" s="329"/>
      <c r="W101" s="329"/>
      <c r="X101" s="1087"/>
      <c r="Y101" s="1087"/>
      <c r="Z101" s="1087"/>
      <c r="AA101" s="1087"/>
      <c r="AB101" s="1087"/>
      <c r="AC101" s="521">
        <f>+AVERAGE(AC102:AC105)</f>
        <v>0.61904761904761907</v>
      </c>
      <c r="AD101" s="521">
        <f>+AVERAGE(AD102:AD105)</f>
        <v>0.66666666666666663</v>
      </c>
      <c r="AE101" s="521">
        <f>+AVERAGE(AE102:AE105)</f>
        <v>0.35708163265306125</v>
      </c>
      <c r="AF101" s="348">
        <f>+(AF102+AF103+AF104+AF105)*E101</f>
        <v>0.16250000000000001</v>
      </c>
      <c r="AG101" s="348">
        <f>+(AG102+AG103+AG104+AG105)*E101</f>
        <v>0.17499999999999999</v>
      </c>
      <c r="AH101" s="348">
        <f>+(AH102+AH103+AH104+AH105)*E101</f>
        <v>0.12497857142857142</v>
      </c>
      <c r="AI101" s="309">
        <f>+AVERAGE(AI102:AI105)</f>
        <v>7.9904761904761909E-2</v>
      </c>
      <c r="AJ101" s="309">
        <v>0.28676190476190477</v>
      </c>
      <c r="AK101" s="309">
        <f>+AVERAGE(AK102:AK105)</f>
        <v>0.54849107142857145</v>
      </c>
      <c r="AL101" s="309">
        <f>+(AL102+AL103+AL104+AL105)*E101</f>
        <v>2.0974999999999997E-2</v>
      </c>
      <c r="AM101" s="309">
        <f>+(AM102+AM103+AM104+AM105)</f>
        <v>0.26678571428571429</v>
      </c>
      <c r="AN101" s="309">
        <f>+(AN102+AN103+AN104+AN105)</f>
        <v>0.54849107142857145</v>
      </c>
      <c r="AO101" s="685"/>
      <c r="AP101" s="308"/>
      <c r="AQ101" s="308"/>
      <c r="AR101" s="308"/>
      <c r="AS101" s="308"/>
      <c r="AT101" s="898"/>
      <c r="AU101" s="895"/>
      <c r="AV101" s="898"/>
    </row>
    <row r="102" spans="1:48" ht="122.4" customHeight="1" thickBot="1" x14ac:dyDescent="0.45">
      <c r="A102" s="302"/>
      <c r="B102" s="1450" t="s">
        <v>517</v>
      </c>
      <c r="C102" s="1430" t="s">
        <v>518</v>
      </c>
      <c r="D102" s="626" t="s">
        <v>501</v>
      </c>
      <c r="E102" s="310">
        <v>0.25</v>
      </c>
      <c r="F102" s="311">
        <v>7000</v>
      </c>
      <c r="G102" s="330">
        <v>400</v>
      </c>
      <c r="H102" s="809">
        <v>2200</v>
      </c>
      <c r="I102" s="331">
        <v>2000</v>
      </c>
      <c r="J102" s="320">
        <f>+G102/F102</f>
        <v>5.7142857142857141E-2</v>
      </c>
      <c r="K102" s="320">
        <f t="shared" si="60"/>
        <v>0.31428571428571428</v>
      </c>
      <c r="L102" s="320">
        <f t="shared" si="68"/>
        <v>0.2857142857142857</v>
      </c>
      <c r="M102" s="321">
        <f>+(G102/F102)*E102</f>
        <v>1.4285714285714285E-2</v>
      </c>
      <c r="N102" s="321">
        <f t="shared" si="61"/>
        <v>7.857142857142857E-2</v>
      </c>
      <c r="O102" s="321"/>
      <c r="P102" s="316">
        <v>1153</v>
      </c>
      <c r="Q102" s="323">
        <v>524</v>
      </c>
      <c r="R102" s="317">
        <v>528</v>
      </c>
      <c r="S102" s="317">
        <v>530</v>
      </c>
      <c r="T102" s="317">
        <v>1547</v>
      </c>
      <c r="U102" s="317">
        <v>870</v>
      </c>
      <c r="V102" s="646">
        <f>+Q102+R102+S102+T102+U102</f>
        <v>3999</v>
      </c>
      <c r="W102" s="646">
        <f>+V102+P102+393+AB102</f>
        <v>5969</v>
      </c>
      <c r="X102" s="330">
        <v>424</v>
      </c>
      <c r="Y102" s="330"/>
      <c r="Z102" s="330"/>
      <c r="AA102" s="330"/>
      <c r="AB102" s="330">
        <f t="shared" si="62"/>
        <v>424</v>
      </c>
      <c r="AC102" s="318">
        <v>1</v>
      </c>
      <c r="AD102" s="319">
        <v>1</v>
      </c>
      <c r="AE102" s="319">
        <f t="shared" si="63"/>
        <v>0.21199999999999999</v>
      </c>
      <c r="AF102" s="319">
        <f>+AC102*E102</f>
        <v>0.25</v>
      </c>
      <c r="AG102" s="319">
        <f>+AD102*E102</f>
        <v>0.25</v>
      </c>
      <c r="AH102" s="319">
        <f t="shared" si="64"/>
        <v>5.2999999999999999E-2</v>
      </c>
      <c r="AI102" s="319">
        <f>+P102/F102</f>
        <v>0.1647142857142857</v>
      </c>
      <c r="AJ102" s="319">
        <v>0.79214285714285715</v>
      </c>
      <c r="AK102" s="319">
        <f t="shared" si="65"/>
        <v>0.85271428571428576</v>
      </c>
      <c r="AL102" s="319">
        <f>+AI102*E102</f>
        <v>4.1178571428571425E-2</v>
      </c>
      <c r="AM102" s="319">
        <f>+AJ102*E102</f>
        <v>0.19803571428571429</v>
      </c>
      <c r="AN102" s="319">
        <f t="shared" si="67"/>
        <v>0.21317857142857144</v>
      </c>
      <c r="AO102" s="577" t="s">
        <v>1850</v>
      </c>
      <c r="AP102" s="579" t="s">
        <v>1901</v>
      </c>
      <c r="AQ102" s="579" t="s">
        <v>2264</v>
      </c>
      <c r="AR102" s="897" t="s">
        <v>2289</v>
      </c>
      <c r="AS102" s="897" t="s">
        <v>2402</v>
      </c>
      <c r="AT102" s="897" t="s">
        <v>2436</v>
      </c>
      <c r="AU102" s="603" t="s">
        <v>2493</v>
      </c>
      <c r="AV102" s="603" t="s">
        <v>1893</v>
      </c>
    </row>
    <row r="103" spans="1:48" ht="122.4" customHeight="1" thickBot="1" x14ac:dyDescent="0.45">
      <c r="A103" s="302"/>
      <c r="B103" s="1450" t="s">
        <v>519</v>
      </c>
      <c r="C103" s="1430" t="s">
        <v>520</v>
      </c>
      <c r="D103" s="350" t="s">
        <v>501</v>
      </c>
      <c r="E103" s="310">
        <v>0.25</v>
      </c>
      <c r="F103" s="311">
        <v>800</v>
      </c>
      <c r="G103" s="330">
        <v>70</v>
      </c>
      <c r="H103" s="809">
        <v>240</v>
      </c>
      <c r="I103" s="331">
        <v>245</v>
      </c>
      <c r="J103" s="320">
        <f>+G103/F103</f>
        <v>8.7499999999999994E-2</v>
      </c>
      <c r="K103" s="320">
        <f t="shared" si="60"/>
        <v>0.3</v>
      </c>
      <c r="L103" s="320">
        <f t="shared" si="68"/>
        <v>0.30625000000000002</v>
      </c>
      <c r="M103" s="321">
        <f>+(G103/F103)*E103</f>
        <v>2.1874999999999999E-2</v>
      </c>
      <c r="N103" s="321">
        <f t="shared" si="61"/>
        <v>7.4999999999999997E-2</v>
      </c>
      <c r="O103" s="321"/>
      <c r="P103" s="316">
        <v>60</v>
      </c>
      <c r="Q103" s="323">
        <v>0</v>
      </c>
      <c r="R103" s="317">
        <v>0</v>
      </c>
      <c r="S103" s="317">
        <v>0</v>
      </c>
      <c r="T103" s="317">
        <v>0</v>
      </c>
      <c r="U103" s="317">
        <v>0</v>
      </c>
      <c r="V103" s="646">
        <f t="shared" ref="V103:V105" si="71">+Q103+R103+S103+T103+U103</f>
        <v>0</v>
      </c>
      <c r="W103" s="646">
        <f>+V103+P103+AB103</f>
        <v>113</v>
      </c>
      <c r="X103" s="330">
        <v>53</v>
      </c>
      <c r="Y103" s="330"/>
      <c r="Z103" s="330"/>
      <c r="AA103" s="330"/>
      <c r="AB103" s="330">
        <f t="shared" si="62"/>
        <v>53</v>
      </c>
      <c r="AC103" s="318">
        <f>+(P103/G103)</f>
        <v>0.8571428571428571</v>
      </c>
      <c r="AD103" s="319">
        <f>+V103/H103</f>
        <v>0</v>
      </c>
      <c r="AE103" s="319">
        <f t="shared" si="63"/>
        <v>0.21632653061224491</v>
      </c>
      <c r="AF103" s="319">
        <f>+AC103*E103</f>
        <v>0.21428571428571427</v>
      </c>
      <c r="AG103" s="319">
        <f>+AD103*E103</f>
        <v>0</v>
      </c>
      <c r="AH103" s="319">
        <f t="shared" si="64"/>
        <v>5.4081632653061228E-2</v>
      </c>
      <c r="AI103" s="319">
        <f>+P103/F103</f>
        <v>7.4999999999999997E-2</v>
      </c>
      <c r="AJ103" s="319">
        <v>7.4999999999999997E-2</v>
      </c>
      <c r="AK103" s="319">
        <f t="shared" si="65"/>
        <v>0.14124999999999999</v>
      </c>
      <c r="AL103" s="319">
        <f>+AI103*E103</f>
        <v>1.8749999999999999E-2</v>
      </c>
      <c r="AM103" s="319">
        <f t="shared" ref="AM103:AM105" si="72">+AJ103*E103</f>
        <v>1.8749999999999999E-2</v>
      </c>
      <c r="AN103" s="319">
        <f t="shared" si="67"/>
        <v>3.5312499999999997E-2</v>
      </c>
      <c r="AO103" s="577" t="s">
        <v>1850</v>
      </c>
      <c r="AP103" s="579" t="s">
        <v>1901</v>
      </c>
      <c r="AQ103" s="579" t="s">
        <v>2264</v>
      </c>
      <c r="AR103" s="897" t="s">
        <v>2289</v>
      </c>
      <c r="AS103" s="897" t="s">
        <v>2402</v>
      </c>
      <c r="AT103" s="897" t="s">
        <v>2436</v>
      </c>
      <c r="AU103" s="603" t="s">
        <v>2493</v>
      </c>
      <c r="AV103" s="603" t="s">
        <v>1893</v>
      </c>
    </row>
    <row r="104" spans="1:48" ht="122.4" customHeight="1" thickBot="1" x14ac:dyDescent="0.45">
      <c r="A104" s="302"/>
      <c r="B104" s="1450" t="s">
        <v>521</v>
      </c>
      <c r="C104" s="1430" t="s">
        <v>522</v>
      </c>
      <c r="D104" s="350" t="s">
        <v>516</v>
      </c>
      <c r="E104" s="310">
        <v>0.25</v>
      </c>
      <c r="F104" s="311">
        <v>5</v>
      </c>
      <c r="G104" s="330">
        <v>1</v>
      </c>
      <c r="H104" s="809">
        <v>1</v>
      </c>
      <c r="I104" s="331">
        <v>1</v>
      </c>
      <c r="J104" s="320">
        <f>+G104/F104</f>
        <v>0.2</v>
      </c>
      <c r="K104" s="320">
        <f t="shared" si="60"/>
        <v>0.2</v>
      </c>
      <c r="L104" s="320">
        <f t="shared" si="68"/>
        <v>0.2</v>
      </c>
      <c r="M104" s="321">
        <f>+(G104/F104)*E104</f>
        <v>0.05</v>
      </c>
      <c r="N104" s="321">
        <f t="shared" si="61"/>
        <v>0.05</v>
      </c>
      <c r="O104" s="321"/>
      <c r="P104" s="316">
        <v>0</v>
      </c>
      <c r="Q104" s="323">
        <v>0</v>
      </c>
      <c r="R104" s="317">
        <v>0</v>
      </c>
      <c r="S104" s="317">
        <v>0</v>
      </c>
      <c r="T104" s="317">
        <v>0</v>
      </c>
      <c r="U104" s="317">
        <v>1</v>
      </c>
      <c r="V104" s="646">
        <f t="shared" si="71"/>
        <v>1</v>
      </c>
      <c r="W104" s="646">
        <f t="shared" ref="W104" si="73">+V104+P104+AB104</f>
        <v>1</v>
      </c>
      <c r="X104" s="330">
        <v>0</v>
      </c>
      <c r="Y104" s="330"/>
      <c r="Z104" s="330"/>
      <c r="AA104" s="330"/>
      <c r="AB104" s="330">
        <f t="shared" si="62"/>
        <v>0</v>
      </c>
      <c r="AC104" s="318">
        <f>+(P104/G104)</f>
        <v>0</v>
      </c>
      <c r="AD104" s="319">
        <f>+V104/H104</f>
        <v>1</v>
      </c>
      <c r="AE104" s="319">
        <f t="shared" si="63"/>
        <v>0</v>
      </c>
      <c r="AF104" s="319">
        <f>+AC104*E104</f>
        <v>0</v>
      </c>
      <c r="AG104" s="319">
        <f>+AD104*E104</f>
        <v>0.25</v>
      </c>
      <c r="AH104" s="319">
        <f t="shared" si="64"/>
        <v>0</v>
      </c>
      <c r="AI104" s="319">
        <f>+P104/F104</f>
        <v>0</v>
      </c>
      <c r="AJ104" s="319">
        <v>0.2</v>
      </c>
      <c r="AK104" s="319">
        <f t="shared" si="65"/>
        <v>0.2</v>
      </c>
      <c r="AL104" s="319">
        <f>+AI104*E104</f>
        <v>0</v>
      </c>
      <c r="AM104" s="319">
        <f t="shared" si="72"/>
        <v>0.05</v>
      </c>
      <c r="AN104" s="319">
        <f t="shared" si="67"/>
        <v>0.05</v>
      </c>
      <c r="AO104" s="577" t="s">
        <v>1850</v>
      </c>
      <c r="AP104" s="579" t="s">
        <v>1901</v>
      </c>
      <c r="AQ104" s="579" t="s">
        <v>2264</v>
      </c>
      <c r="AR104" s="897" t="s">
        <v>2289</v>
      </c>
      <c r="AS104" s="897" t="s">
        <v>2402</v>
      </c>
      <c r="AT104" s="897" t="s">
        <v>2436</v>
      </c>
      <c r="AU104" s="603" t="s">
        <v>2493</v>
      </c>
      <c r="AV104" s="603" t="s">
        <v>1893</v>
      </c>
    </row>
    <row r="105" spans="1:48" ht="143.4" customHeight="1" thickBot="1" x14ac:dyDescent="0.45">
      <c r="A105" s="302"/>
      <c r="B105" s="1450" t="s">
        <v>523</v>
      </c>
      <c r="C105" s="1430" t="s">
        <v>524</v>
      </c>
      <c r="D105" s="350" t="s">
        <v>516</v>
      </c>
      <c r="E105" s="310">
        <v>0.25</v>
      </c>
      <c r="F105" s="311">
        <v>6</v>
      </c>
      <c r="G105" s="330">
        <v>0</v>
      </c>
      <c r="H105" s="809">
        <v>0</v>
      </c>
      <c r="I105" s="331">
        <v>3</v>
      </c>
      <c r="J105" s="320"/>
      <c r="K105" s="320"/>
      <c r="L105" s="320">
        <f t="shared" si="68"/>
        <v>0.5</v>
      </c>
      <c r="M105" s="321"/>
      <c r="N105" s="321"/>
      <c r="O105" s="321"/>
      <c r="P105" s="316"/>
      <c r="Q105" s="323"/>
      <c r="R105" s="317"/>
      <c r="S105" s="317"/>
      <c r="T105" s="317"/>
      <c r="U105" s="317"/>
      <c r="V105" s="646">
        <f t="shared" si="71"/>
        <v>0</v>
      </c>
      <c r="W105" s="646">
        <f>+V105+P105+AB105</f>
        <v>46</v>
      </c>
      <c r="X105" s="330">
        <v>46</v>
      </c>
      <c r="Y105" s="330"/>
      <c r="Z105" s="330"/>
      <c r="AA105" s="330"/>
      <c r="AB105" s="330">
        <f t="shared" si="62"/>
        <v>46</v>
      </c>
      <c r="AC105" s="318"/>
      <c r="AD105" s="319"/>
      <c r="AE105" s="319">
        <v>1</v>
      </c>
      <c r="AF105" s="319"/>
      <c r="AG105" s="319"/>
      <c r="AH105" s="319">
        <f t="shared" si="64"/>
        <v>0.25</v>
      </c>
      <c r="AI105" s="319"/>
      <c r="AJ105" s="319"/>
      <c r="AK105" s="319">
        <v>1</v>
      </c>
      <c r="AL105" s="319"/>
      <c r="AM105" s="319">
        <f t="shared" si="72"/>
        <v>0</v>
      </c>
      <c r="AN105" s="319">
        <f t="shared" si="67"/>
        <v>0.25</v>
      </c>
      <c r="AO105" s="577" t="s">
        <v>1850</v>
      </c>
      <c r="AP105" s="579" t="s">
        <v>1901</v>
      </c>
      <c r="AQ105" s="579" t="s">
        <v>2264</v>
      </c>
      <c r="AR105" s="897" t="s">
        <v>2289</v>
      </c>
      <c r="AS105" s="897" t="s">
        <v>2402</v>
      </c>
      <c r="AT105" s="897" t="s">
        <v>2436</v>
      </c>
      <c r="AU105" s="603" t="s">
        <v>2493</v>
      </c>
      <c r="AV105" s="603" t="s">
        <v>1893</v>
      </c>
    </row>
    <row r="106" spans="1:48" ht="127.8" customHeight="1" thickBot="1" x14ac:dyDescent="0.55000000000000004">
      <c r="A106" s="302"/>
      <c r="B106" s="1548" t="s">
        <v>1658</v>
      </c>
      <c r="C106" s="1549"/>
      <c r="D106" s="350"/>
      <c r="E106" s="307">
        <v>0.3</v>
      </c>
      <c r="F106" s="311"/>
      <c r="G106" s="330"/>
      <c r="H106" s="809"/>
      <c r="I106" s="331"/>
      <c r="J106" s="327">
        <f>+AVERAGE(J107:J118)</f>
        <v>0.625</v>
      </c>
      <c r="K106" s="327">
        <f>+AVERAGE(K107:K118)</f>
        <v>0.63047619047619041</v>
      </c>
      <c r="L106" s="327">
        <f>+AVERAGE(L107:L118)</f>
        <v>0.57985761904761901</v>
      </c>
      <c r="M106" s="328">
        <f>+M107+M108+M109+M110+M111+M112+M113+M114+M115+M116+M117+M118</f>
        <v>0.125</v>
      </c>
      <c r="N106" s="328">
        <f>+N107+N108+N109+N110+N111+N112+N113+N114+N115+N116+N117+N118</f>
        <v>0.21633333333333332</v>
      </c>
      <c r="O106" s="328"/>
      <c r="P106" s="316"/>
      <c r="Q106" s="329"/>
      <c r="R106" s="329"/>
      <c r="S106" s="329"/>
      <c r="T106" s="329"/>
      <c r="U106" s="329"/>
      <c r="V106" s="329"/>
      <c r="W106" s="329"/>
      <c r="X106" s="1087"/>
      <c r="Y106" s="1087"/>
      <c r="Z106" s="1087"/>
      <c r="AA106" s="1087"/>
      <c r="AB106" s="1087"/>
      <c r="AC106" s="521">
        <f>+AVERAGE(AC107:AC118)</f>
        <v>0.9</v>
      </c>
      <c r="AD106" s="521">
        <f>+AVERAGE(AD107:AD118)</f>
        <v>0.60785353535353537</v>
      </c>
      <c r="AE106" s="521">
        <f>+AVERAGE(AE107:AE118)</f>
        <v>0.42345172335863096</v>
      </c>
      <c r="AF106" s="348">
        <f>+(AF107+AF108+AF109+AF110+AF111+AF112+AF113+AF114+AF115+AF116+AF117+AF118)*E106</f>
        <v>5.4000000000000006E-2</v>
      </c>
      <c r="AG106" s="348">
        <f>+(AG107+AG108+AG109+AG110+AG111+AG112+AG113+AG114+AG115+AG116+AG117+AG118)*E106</f>
        <v>8.9913636363636362E-2</v>
      </c>
      <c r="AH106" s="348">
        <f>+(AH107+AH108+AH109+AH110+AH111+AH112+AH113+AH114+AH115+AH116+AH117+AH118)*E106</f>
        <v>0.10162841360607144</v>
      </c>
      <c r="AI106" s="309">
        <v>0.125</v>
      </c>
      <c r="AJ106" s="309">
        <v>0.32765694444444443</v>
      </c>
      <c r="AK106" s="309">
        <f>+AVERAGE(AK107:AK118)</f>
        <v>0.44274027777777775</v>
      </c>
      <c r="AL106" s="309">
        <f>+(AL107+AL108+AL109+AL110+AL111+AL112+AL113+AL114+AL115+AL116+AL117+AL118)*E106</f>
        <v>3.6000000000000004E-2</v>
      </c>
      <c r="AM106" s="1097">
        <f>+(AM107+AM108+AM109+AM110+AM111+AM112+AM113+AM114+AM115+AM116+AM117+AM118)</f>
        <v>0.35318833333333338</v>
      </c>
      <c r="AN106" s="309">
        <f>+(AN107+AN108+AN109+AN110+AN111+AN112+AN113+AN114+AN115+AN116+AN117+AN118)</f>
        <v>0.49128833333333338</v>
      </c>
      <c r="AO106" s="388" t="s">
        <v>1590</v>
      </c>
      <c r="AP106" s="308"/>
      <c r="AQ106" s="308"/>
      <c r="AR106" s="308"/>
      <c r="AS106" s="308"/>
      <c r="AT106" s="898"/>
      <c r="AU106" s="895"/>
      <c r="AV106" s="898"/>
    </row>
    <row r="107" spans="1:48" ht="122.4" customHeight="1" thickBot="1" x14ac:dyDescent="0.55000000000000004">
      <c r="A107" s="302"/>
      <c r="B107" s="1452" t="s">
        <v>525</v>
      </c>
      <c r="C107" s="1427" t="s">
        <v>526</v>
      </c>
      <c r="D107" s="350" t="s">
        <v>516</v>
      </c>
      <c r="E107" s="310">
        <v>0.1</v>
      </c>
      <c r="F107" s="311">
        <v>1</v>
      </c>
      <c r="G107" s="330">
        <v>1</v>
      </c>
      <c r="H107" s="809">
        <v>1</v>
      </c>
      <c r="I107" s="331">
        <v>0</v>
      </c>
      <c r="J107" s="320">
        <f>+G107/F107</f>
        <v>1</v>
      </c>
      <c r="K107" s="320">
        <f t="shared" si="60"/>
        <v>1</v>
      </c>
      <c r="L107" s="320"/>
      <c r="M107" s="321">
        <f>+(G107/F107)*E107</f>
        <v>0.1</v>
      </c>
      <c r="N107" s="321"/>
      <c r="O107" s="321"/>
      <c r="P107" s="316">
        <v>1</v>
      </c>
      <c r="Q107" s="323"/>
      <c r="R107" s="317"/>
      <c r="S107" s="317"/>
      <c r="T107" s="317"/>
      <c r="U107" s="317"/>
      <c r="V107" s="646">
        <f>+Q107+R107+S107+T107+U107</f>
        <v>0</v>
      </c>
      <c r="W107" s="646">
        <f>+V107+P107+AB107</f>
        <v>1</v>
      </c>
      <c r="X107" s="330"/>
      <c r="Y107" s="330"/>
      <c r="Z107" s="330"/>
      <c r="AA107" s="330"/>
      <c r="AB107" s="330">
        <f t="shared" si="62"/>
        <v>0</v>
      </c>
      <c r="AC107" s="318">
        <f>+(P107/G107)</f>
        <v>1</v>
      </c>
      <c r="AD107" s="319"/>
      <c r="AE107" s="319"/>
      <c r="AF107" s="319">
        <f>+AC107*E107</f>
        <v>0.1</v>
      </c>
      <c r="AG107" s="319"/>
      <c r="AH107" s="319">
        <f t="shared" si="64"/>
        <v>0</v>
      </c>
      <c r="AI107" s="319">
        <f>+P107/F107</f>
        <v>1</v>
      </c>
      <c r="AJ107" s="319">
        <v>1</v>
      </c>
      <c r="AK107" s="319">
        <f t="shared" si="65"/>
        <v>1</v>
      </c>
      <c r="AL107" s="319">
        <f>+AI107*E107</f>
        <v>0.1</v>
      </c>
      <c r="AM107" s="319">
        <f t="shared" ref="AM107:AM118" si="74">+AJ107*E107</f>
        <v>0.1</v>
      </c>
      <c r="AN107" s="319">
        <f t="shared" si="67"/>
        <v>0.1</v>
      </c>
      <c r="AO107" s="889"/>
      <c r="AP107" s="579" t="s">
        <v>1943</v>
      </c>
      <c r="AQ107" s="308"/>
      <c r="AR107" s="644" t="s">
        <v>1865</v>
      </c>
      <c r="AS107" s="897" t="s">
        <v>2402</v>
      </c>
      <c r="AT107" s="897" t="s">
        <v>2436</v>
      </c>
      <c r="AU107" s="895"/>
      <c r="AV107" s="603" t="s">
        <v>1893</v>
      </c>
    </row>
    <row r="108" spans="1:48" ht="122.4" customHeight="1" thickBot="1" x14ac:dyDescent="0.55000000000000004">
      <c r="A108" s="302"/>
      <c r="B108" s="1450" t="s">
        <v>527</v>
      </c>
      <c r="C108" s="1430" t="s">
        <v>528</v>
      </c>
      <c r="D108" s="350" t="s">
        <v>516</v>
      </c>
      <c r="E108" s="310">
        <v>0.1</v>
      </c>
      <c r="F108" s="311">
        <v>4</v>
      </c>
      <c r="G108" s="330">
        <v>1</v>
      </c>
      <c r="H108" s="809">
        <v>1</v>
      </c>
      <c r="I108" s="331">
        <v>1</v>
      </c>
      <c r="J108" s="320">
        <f>+G108/F108</f>
        <v>0.25</v>
      </c>
      <c r="K108" s="320">
        <f t="shared" si="60"/>
        <v>0.25</v>
      </c>
      <c r="L108" s="320">
        <f t="shared" si="68"/>
        <v>0.25</v>
      </c>
      <c r="M108" s="321">
        <f>+(G108/F108)*E108</f>
        <v>2.5000000000000001E-2</v>
      </c>
      <c r="N108" s="321">
        <f t="shared" si="61"/>
        <v>2.5000000000000001E-2</v>
      </c>
      <c r="O108" s="321"/>
      <c r="P108" s="646">
        <v>0.8</v>
      </c>
      <c r="Q108" s="323">
        <v>0</v>
      </c>
      <c r="R108" s="317">
        <v>1</v>
      </c>
      <c r="S108" s="317">
        <v>0</v>
      </c>
      <c r="T108" s="317">
        <v>0</v>
      </c>
      <c r="U108" s="317">
        <v>0.2</v>
      </c>
      <c r="V108" s="646">
        <f t="shared" ref="V108:V118" si="75">+Q108+R108+S108+T108+U108</f>
        <v>1.2</v>
      </c>
      <c r="W108" s="857">
        <f t="shared" ref="W108:W117" si="76">+V108+P108+AB108</f>
        <v>3</v>
      </c>
      <c r="X108" s="330">
        <v>1</v>
      </c>
      <c r="Y108" s="330"/>
      <c r="Z108" s="330"/>
      <c r="AA108" s="330"/>
      <c r="AB108" s="330">
        <f t="shared" si="62"/>
        <v>1</v>
      </c>
      <c r="AC108" s="318">
        <f>+(P108/G108)</f>
        <v>0.8</v>
      </c>
      <c r="AD108" s="319">
        <f>+V108/H108</f>
        <v>1.2</v>
      </c>
      <c r="AE108" s="319">
        <f t="shared" si="63"/>
        <v>1</v>
      </c>
      <c r="AF108" s="319">
        <f>+AC108*E108</f>
        <v>8.0000000000000016E-2</v>
      </c>
      <c r="AG108" s="319">
        <f>+AD108*E108</f>
        <v>0.12</v>
      </c>
      <c r="AH108" s="319">
        <f t="shared" si="64"/>
        <v>0.1</v>
      </c>
      <c r="AI108" s="319">
        <f>+P108/F108</f>
        <v>0.2</v>
      </c>
      <c r="AJ108" s="319">
        <v>0.5</v>
      </c>
      <c r="AK108" s="319">
        <f>+W108/F108</f>
        <v>0.75</v>
      </c>
      <c r="AL108" s="319">
        <f>+AI108*E108</f>
        <v>2.0000000000000004E-2</v>
      </c>
      <c r="AM108" s="1096">
        <f t="shared" si="74"/>
        <v>0.05</v>
      </c>
      <c r="AN108" s="319">
        <f>+AK108*E108</f>
        <v>7.5000000000000011E-2</v>
      </c>
      <c r="AO108" s="889"/>
      <c r="AP108" s="579" t="s">
        <v>1901</v>
      </c>
      <c r="AQ108" s="308"/>
      <c r="AR108" s="897" t="s">
        <v>2289</v>
      </c>
      <c r="AS108" s="897" t="s">
        <v>2402</v>
      </c>
      <c r="AT108" s="897" t="s">
        <v>2436</v>
      </c>
      <c r="AU108" s="895"/>
      <c r="AV108" s="603" t="s">
        <v>1893</v>
      </c>
    </row>
    <row r="109" spans="1:48" ht="122.4" customHeight="1" thickBot="1" x14ac:dyDescent="0.55000000000000004">
      <c r="A109" s="302"/>
      <c r="B109" s="1450" t="s">
        <v>529</v>
      </c>
      <c r="C109" s="1430" t="s">
        <v>530</v>
      </c>
      <c r="D109" s="350" t="s">
        <v>516</v>
      </c>
      <c r="E109" s="310">
        <v>0.1</v>
      </c>
      <c r="F109" s="311">
        <v>1</v>
      </c>
      <c r="G109" s="330">
        <v>0</v>
      </c>
      <c r="H109" s="809">
        <v>0</v>
      </c>
      <c r="I109" s="331">
        <v>1</v>
      </c>
      <c r="J109" s="320"/>
      <c r="K109" s="320"/>
      <c r="L109" s="320"/>
      <c r="M109" s="321"/>
      <c r="N109" s="321"/>
      <c r="O109" s="321"/>
      <c r="P109" s="316"/>
      <c r="Q109" s="323"/>
      <c r="R109" s="317"/>
      <c r="S109" s="317"/>
      <c r="T109" s="317"/>
      <c r="U109" s="317">
        <v>1</v>
      </c>
      <c r="V109" s="646">
        <f t="shared" si="75"/>
        <v>1</v>
      </c>
      <c r="W109" s="646">
        <f t="shared" si="76"/>
        <v>2</v>
      </c>
      <c r="X109" s="330">
        <v>1</v>
      </c>
      <c r="Y109" s="330"/>
      <c r="Z109" s="330"/>
      <c r="AA109" s="330"/>
      <c r="AB109" s="330">
        <f t="shared" si="62"/>
        <v>1</v>
      </c>
      <c r="AC109" s="318"/>
      <c r="AD109" s="319"/>
      <c r="AE109" s="319">
        <f t="shared" si="63"/>
        <v>1</v>
      </c>
      <c r="AF109" s="319"/>
      <c r="AG109" s="319"/>
      <c r="AH109" s="319">
        <f t="shared" si="64"/>
        <v>0.1</v>
      </c>
      <c r="AI109" s="319"/>
      <c r="AJ109" s="523">
        <v>1</v>
      </c>
      <c r="AK109" s="523">
        <v>1</v>
      </c>
      <c r="AL109" s="319"/>
      <c r="AM109" s="319">
        <f t="shared" si="74"/>
        <v>0.1</v>
      </c>
      <c r="AN109" s="319">
        <f t="shared" si="67"/>
        <v>0.1</v>
      </c>
      <c r="AO109" s="577" t="s">
        <v>1850</v>
      </c>
      <c r="AP109" s="579" t="s">
        <v>1901</v>
      </c>
      <c r="AQ109" s="308"/>
      <c r="AR109" s="897" t="s">
        <v>2289</v>
      </c>
      <c r="AS109" s="897" t="s">
        <v>2402</v>
      </c>
      <c r="AT109" s="897" t="s">
        <v>2436</v>
      </c>
      <c r="AU109" s="895"/>
      <c r="AV109" s="603" t="s">
        <v>1893</v>
      </c>
    </row>
    <row r="110" spans="1:48" ht="122.4" customHeight="1" thickBot="1" x14ac:dyDescent="0.55000000000000004">
      <c r="A110" s="302"/>
      <c r="B110" s="1450" t="s">
        <v>531</v>
      </c>
      <c r="C110" s="1430" t="s">
        <v>532</v>
      </c>
      <c r="D110" s="350" t="s">
        <v>516</v>
      </c>
      <c r="E110" s="310">
        <v>0.1</v>
      </c>
      <c r="F110" s="311">
        <v>1</v>
      </c>
      <c r="G110" s="330">
        <v>0</v>
      </c>
      <c r="H110" s="809">
        <v>0</v>
      </c>
      <c r="I110" s="331">
        <v>0</v>
      </c>
      <c r="J110" s="320"/>
      <c r="K110" s="320"/>
      <c r="L110" s="320"/>
      <c r="M110" s="321"/>
      <c r="N110" s="321"/>
      <c r="O110" s="321"/>
      <c r="P110" s="316"/>
      <c r="Q110" s="323"/>
      <c r="R110" s="317"/>
      <c r="S110" s="317"/>
      <c r="T110" s="317"/>
      <c r="U110" s="317"/>
      <c r="V110" s="646">
        <f t="shared" si="75"/>
        <v>0</v>
      </c>
      <c r="W110" s="646">
        <f>+V110+P110+AB110</f>
        <v>0</v>
      </c>
      <c r="X110" s="330"/>
      <c r="Y110" s="330"/>
      <c r="Z110" s="330"/>
      <c r="AA110" s="330"/>
      <c r="AB110" s="330">
        <f t="shared" si="62"/>
        <v>0</v>
      </c>
      <c r="AC110" s="318"/>
      <c r="AD110" s="319"/>
      <c r="AE110" s="319"/>
      <c r="AF110" s="319"/>
      <c r="AG110" s="319"/>
      <c r="AH110" s="319">
        <f t="shared" si="64"/>
        <v>0</v>
      </c>
      <c r="AI110" s="319"/>
      <c r="AJ110" s="319">
        <v>0</v>
      </c>
      <c r="AK110" s="319">
        <f t="shared" si="65"/>
        <v>0</v>
      </c>
      <c r="AL110" s="319"/>
      <c r="AM110" s="319">
        <f t="shared" si="74"/>
        <v>0</v>
      </c>
      <c r="AN110" s="319">
        <f t="shared" si="67"/>
        <v>0</v>
      </c>
      <c r="AO110" s="577" t="s">
        <v>1850</v>
      </c>
      <c r="AP110" s="579" t="s">
        <v>1901</v>
      </c>
      <c r="AQ110" s="308"/>
      <c r="AR110" s="897" t="s">
        <v>2289</v>
      </c>
      <c r="AS110" s="897" t="s">
        <v>2402</v>
      </c>
      <c r="AT110" s="897" t="s">
        <v>2436</v>
      </c>
      <c r="AU110" s="895"/>
      <c r="AV110" s="603" t="s">
        <v>1893</v>
      </c>
    </row>
    <row r="111" spans="1:48" ht="122.4" customHeight="1" thickBot="1" x14ac:dyDescent="0.55000000000000004">
      <c r="A111" s="302"/>
      <c r="B111" s="1450" t="s">
        <v>533</v>
      </c>
      <c r="C111" s="1430" t="s">
        <v>534</v>
      </c>
      <c r="D111" s="350" t="s">
        <v>516</v>
      </c>
      <c r="E111" s="310">
        <v>0.1</v>
      </c>
      <c r="F111" s="311">
        <v>1</v>
      </c>
      <c r="G111" s="330">
        <v>0</v>
      </c>
      <c r="H111" s="809">
        <v>0</v>
      </c>
      <c r="I111" s="331">
        <v>1</v>
      </c>
      <c r="J111" s="320"/>
      <c r="K111" s="320"/>
      <c r="L111" s="320">
        <f t="shared" si="68"/>
        <v>1</v>
      </c>
      <c r="M111" s="321"/>
      <c r="N111" s="321"/>
      <c r="O111" s="321"/>
      <c r="P111" s="352"/>
      <c r="Q111" s="323"/>
      <c r="R111" s="799"/>
      <c r="S111" s="799"/>
      <c r="T111" s="799"/>
      <c r="U111" s="799"/>
      <c r="V111" s="646">
        <f t="shared" si="75"/>
        <v>0</v>
      </c>
      <c r="W111" s="646">
        <f t="shared" si="76"/>
        <v>0</v>
      </c>
      <c r="X111" s="646">
        <v>0</v>
      </c>
      <c r="Y111" s="1091"/>
      <c r="Z111" s="1091"/>
      <c r="AA111" s="1091"/>
      <c r="AB111" s="330">
        <f t="shared" si="62"/>
        <v>0</v>
      </c>
      <c r="AC111" s="318"/>
      <c r="AD111" s="319"/>
      <c r="AE111" s="319">
        <f t="shared" si="63"/>
        <v>0</v>
      </c>
      <c r="AF111" s="319"/>
      <c r="AG111" s="319"/>
      <c r="AH111" s="319">
        <f t="shared" si="64"/>
        <v>0</v>
      </c>
      <c r="AI111" s="319"/>
      <c r="AJ111" s="319">
        <v>0</v>
      </c>
      <c r="AK111" s="319">
        <f t="shared" si="65"/>
        <v>0</v>
      </c>
      <c r="AL111" s="319"/>
      <c r="AM111" s="319">
        <f t="shared" si="74"/>
        <v>0</v>
      </c>
      <c r="AN111" s="319">
        <f t="shared" si="67"/>
        <v>0</v>
      </c>
      <c r="AO111" s="577" t="s">
        <v>1850</v>
      </c>
      <c r="AP111" s="579" t="s">
        <v>1901</v>
      </c>
      <c r="AQ111" s="308"/>
      <c r="AR111" s="897" t="s">
        <v>2289</v>
      </c>
      <c r="AS111" s="897" t="s">
        <v>2402</v>
      </c>
      <c r="AT111" s="897" t="s">
        <v>2436</v>
      </c>
      <c r="AU111" s="895"/>
      <c r="AV111" s="603" t="s">
        <v>1893</v>
      </c>
    </row>
    <row r="112" spans="1:48" ht="122.4" customHeight="1" thickBot="1" x14ac:dyDescent="0.55000000000000004">
      <c r="A112" s="302"/>
      <c r="B112" s="1450" t="s">
        <v>535</v>
      </c>
      <c r="C112" s="1430" t="s">
        <v>536</v>
      </c>
      <c r="D112" s="350" t="s">
        <v>516</v>
      </c>
      <c r="E112" s="310">
        <v>0.1</v>
      </c>
      <c r="F112" s="311">
        <v>4</v>
      </c>
      <c r="G112" s="330">
        <v>0</v>
      </c>
      <c r="H112" s="809">
        <v>0</v>
      </c>
      <c r="I112" s="331">
        <v>2</v>
      </c>
      <c r="J112" s="320"/>
      <c r="K112" s="320"/>
      <c r="L112" s="320">
        <f t="shared" si="68"/>
        <v>0.5</v>
      </c>
      <c r="M112" s="321"/>
      <c r="N112" s="321"/>
      <c r="O112" s="321"/>
      <c r="P112" s="352"/>
      <c r="Q112" s="323"/>
      <c r="R112" s="799"/>
      <c r="S112" s="799"/>
      <c r="T112" s="799"/>
      <c r="U112" s="799"/>
      <c r="V112" s="646">
        <f t="shared" si="75"/>
        <v>0</v>
      </c>
      <c r="W112" s="646">
        <f t="shared" si="76"/>
        <v>8</v>
      </c>
      <c r="X112" s="646">
        <v>8</v>
      </c>
      <c r="Y112" s="1091"/>
      <c r="Z112" s="1091"/>
      <c r="AA112" s="1091"/>
      <c r="AB112" s="330">
        <f t="shared" si="62"/>
        <v>8</v>
      </c>
      <c r="AC112" s="318"/>
      <c r="AD112" s="319"/>
      <c r="AE112" s="319">
        <v>1</v>
      </c>
      <c r="AF112" s="319"/>
      <c r="AG112" s="319"/>
      <c r="AH112" s="319">
        <f t="shared" si="64"/>
        <v>0.1</v>
      </c>
      <c r="AI112" s="319"/>
      <c r="AJ112" s="319">
        <v>0</v>
      </c>
      <c r="AK112" s="319">
        <v>1</v>
      </c>
      <c r="AL112" s="319"/>
      <c r="AM112" s="319">
        <f t="shared" si="74"/>
        <v>0</v>
      </c>
      <c r="AN112" s="319">
        <f t="shared" si="67"/>
        <v>0.1</v>
      </c>
      <c r="AO112" s="577" t="s">
        <v>1850</v>
      </c>
      <c r="AP112" s="579" t="s">
        <v>1901</v>
      </c>
      <c r="AQ112" s="308"/>
      <c r="AR112" s="897" t="s">
        <v>2289</v>
      </c>
      <c r="AS112" s="897" t="s">
        <v>2402</v>
      </c>
      <c r="AT112" s="897" t="s">
        <v>2436</v>
      </c>
      <c r="AU112" s="895"/>
      <c r="AV112" s="603" t="s">
        <v>1893</v>
      </c>
    </row>
    <row r="113" spans="1:48" ht="122.4" customHeight="1" thickBot="1" x14ac:dyDescent="0.55000000000000004">
      <c r="A113" s="302"/>
      <c r="B113" s="1450" t="s">
        <v>537</v>
      </c>
      <c r="C113" s="1430" t="s">
        <v>538</v>
      </c>
      <c r="D113" s="350" t="s">
        <v>516</v>
      </c>
      <c r="E113" s="310">
        <v>0.05</v>
      </c>
      <c r="F113" s="311">
        <v>1</v>
      </c>
      <c r="G113" s="330">
        <v>0</v>
      </c>
      <c r="H113" s="809"/>
      <c r="I113" s="331">
        <v>1</v>
      </c>
      <c r="J113" s="320"/>
      <c r="K113" s="320"/>
      <c r="L113" s="320">
        <f t="shared" si="68"/>
        <v>1</v>
      </c>
      <c r="M113" s="321"/>
      <c r="N113" s="321"/>
      <c r="O113" s="321"/>
      <c r="P113" s="316"/>
      <c r="Q113" s="323"/>
      <c r="R113" s="317"/>
      <c r="S113" s="317"/>
      <c r="T113" s="317"/>
      <c r="U113" s="317"/>
      <c r="V113" s="646">
        <f t="shared" si="75"/>
        <v>0</v>
      </c>
      <c r="W113" s="646">
        <f t="shared" si="76"/>
        <v>0</v>
      </c>
      <c r="X113" s="330">
        <v>0</v>
      </c>
      <c r="Y113" s="330"/>
      <c r="Z113" s="330"/>
      <c r="AA113" s="330"/>
      <c r="AB113" s="330">
        <f t="shared" si="62"/>
        <v>0</v>
      </c>
      <c r="AC113" s="318"/>
      <c r="AD113" s="319"/>
      <c r="AE113" s="319">
        <f t="shared" si="63"/>
        <v>0</v>
      </c>
      <c r="AF113" s="319"/>
      <c r="AG113" s="319"/>
      <c r="AH113" s="319">
        <f t="shared" si="64"/>
        <v>0</v>
      </c>
      <c r="AI113" s="319"/>
      <c r="AJ113" s="319">
        <v>0</v>
      </c>
      <c r="AK113" s="319">
        <f t="shared" si="65"/>
        <v>0</v>
      </c>
      <c r="AL113" s="319"/>
      <c r="AM113" s="319">
        <f t="shared" si="74"/>
        <v>0</v>
      </c>
      <c r="AN113" s="319">
        <f t="shared" si="67"/>
        <v>0</v>
      </c>
      <c r="AO113" s="577" t="s">
        <v>1850</v>
      </c>
      <c r="AP113" s="579" t="s">
        <v>1901</v>
      </c>
      <c r="AQ113" s="308"/>
      <c r="AR113" s="897" t="s">
        <v>2289</v>
      </c>
      <c r="AS113" s="897" t="s">
        <v>2402</v>
      </c>
      <c r="AT113" s="897" t="s">
        <v>2436</v>
      </c>
      <c r="AU113" s="895"/>
      <c r="AV113" s="603" t="s">
        <v>1893</v>
      </c>
    </row>
    <row r="114" spans="1:48" ht="122.4" customHeight="1" thickBot="1" x14ac:dyDescent="0.55000000000000004">
      <c r="A114" s="302"/>
      <c r="B114" s="1450" t="s">
        <v>539</v>
      </c>
      <c r="C114" s="1430" t="s">
        <v>540</v>
      </c>
      <c r="D114" s="350" t="s">
        <v>516</v>
      </c>
      <c r="E114" s="310">
        <v>0.1</v>
      </c>
      <c r="F114" s="311">
        <v>24</v>
      </c>
      <c r="G114" s="330">
        <v>0</v>
      </c>
      <c r="H114" s="809">
        <v>8</v>
      </c>
      <c r="I114" s="331">
        <v>8</v>
      </c>
      <c r="J114" s="320"/>
      <c r="K114" s="320">
        <f t="shared" si="60"/>
        <v>0.33333333333333331</v>
      </c>
      <c r="L114" s="320">
        <f t="shared" si="68"/>
        <v>0.33333333333333331</v>
      </c>
      <c r="M114" s="321"/>
      <c r="N114" s="321">
        <f t="shared" si="61"/>
        <v>3.3333333333333333E-2</v>
      </c>
      <c r="O114" s="321"/>
      <c r="P114" s="316"/>
      <c r="Q114" s="323">
        <v>2</v>
      </c>
      <c r="R114" s="317">
        <v>0</v>
      </c>
      <c r="S114" s="317">
        <v>0</v>
      </c>
      <c r="T114" s="317">
        <v>4</v>
      </c>
      <c r="U114" s="317">
        <v>8</v>
      </c>
      <c r="V114" s="646">
        <f t="shared" si="75"/>
        <v>14</v>
      </c>
      <c r="W114" s="646">
        <f t="shared" si="76"/>
        <v>17</v>
      </c>
      <c r="X114" s="330">
        <v>3</v>
      </c>
      <c r="Y114" s="330"/>
      <c r="Z114" s="330"/>
      <c r="AA114" s="330"/>
      <c r="AB114" s="330">
        <f t="shared" si="62"/>
        <v>3</v>
      </c>
      <c r="AC114" s="318"/>
      <c r="AD114" s="319">
        <v>1</v>
      </c>
      <c r="AE114" s="319">
        <f t="shared" si="63"/>
        <v>0.375</v>
      </c>
      <c r="AF114" s="319"/>
      <c r="AG114" s="319">
        <f>+AD114*E114</f>
        <v>0.1</v>
      </c>
      <c r="AH114" s="319">
        <f t="shared" si="64"/>
        <v>3.7500000000000006E-2</v>
      </c>
      <c r="AI114" s="319"/>
      <c r="AJ114" s="319">
        <v>0.58333333333333337</v>
      </c>
      <c r="AK114" s="319">
        <f t="shared" si="65"/>
        <v>0.70833333333333337</v>
      </c>
      <c r="AL114" s="319"/>
      <c r="AM114" s="319">
        <f t="shared" si="74"/>
        <v>5.8333333333333341E-2</v>
      </c>
      <c r="AN114" s="319">
        <f t="shared" si="67"/>
        <v>7.0833333333333345E-2</v>
      </c>
      <c r="AO114" s="577" t="s">
        <v>1850</v>
      </c>
      <c r="AP114" s="899" t="s">
        <v>1944</v>
      </c>
      <c r="AQ114" s="308"/>
      <c r="AR114" s="897" t="s">
        <v>2289</v>
      </c>
      <c r="AS114" s="897" t="s">
        <v>2402</v>
      </c>
      <c r="AT114" s="897" t="s">
        <v>2436</v>
      </c>
      <c r="AU114" s="895"/>
      <c r="AV114" s="603" t="s">
        <v>1893</v>
      </c>
    </row>
    <row r="115" spans="1:48" ht="122.4" customHeight="1" thickBot="1" x14ac:dyDescent="0.55000000000000004">
      <c r="A115" s="302"/>
      <c r="B115" s="1450" t="s">
        <v>541</v>
      </c>
      <c r="C115" s="1430" t="s">
        <v>542</v>
      </c>
      <c r="D115" s="350" t="s">
        <v>516</v>
      </c>
      <c r="E115" s="310">
        <v>0.1</v>
      </c>
      <c r="F115" s="311">
        <v>100000</v>
      </c>
      <c r="G115" s="330">
        <v>0</v>
      </c>
      <c r="H115" s="809">
        <v>33000</v>
      </c>
      <c r="I115" s="331">
        <v>47567</v>
      </c>
      <c r="J115" s="320"/>
      <c r="K115" s="320">
        <f t="shared" si="60"/>
        <v>0.33</v>
      </c>
      <c r="L115" s="320">
        <f t="shared" si="68"/>
        <v>0.47566999999999998</v>
      </c>
      <c r="M115" s="321"/>
      <c r="N115" s="321">
        <f t="shared" si="61"/>
        <v>3.3000000000000002E-2</v>
      </c>
      <c r="O115" s="321"/>
      <c r="P115" s="316"/>
      <c r="Q115" s="323">
        <v>0</v>
      </c>
      <c r="R115" s="317">
        <v>0</v>
      </c>
      <c r="S115" s="317">
        <v>2500</v>
      </c>
      <c r="T115" s="317">
        <v>1963</v>
      </c>
      <c r="U115" s="317">
        <v>392</v>
      </c>
      <c r="V115" s="646">
        <f t="shared" si="75"/>
        <v>4855</v>
      </c>
      <c r="W115" s="646">
        <f t="shared" si="76"/>
        <v>5455</v>
      </c>
      <c r="X115" s="330">
        <v>600</v>
      </c>
      <c r="Y115" s="330"/>
      <c r="Z115" s="330"/>
      <c r="AA115" s="330"/>
      <c r="AB115" s="330">
        <f t="shared" si="62"/>
        <v>600</v>
      </c>
      <c r="AC115" s="318"/>
      <c r="AD115" s="319">
        <f>+V115/H115</f>
        <v>0.14712121212121212</v>
      </c>
      <c r="AE115" s="319">
        <f t="shared" si="63"/>
        <v>1.2613786869047868E-2</v>
      </c>
      <c r="AF115" s="319"/>
      <c r="AG115" s="319">
        <f>+AD115*E115</f>
        <v>1.4712121212121213E-2</v>
      </c>
      <c r="AH115" s="319">
        <f t="shared" si="64"/>
        <v>1.261378686904787E-3</v>
      </c>
      <c r="AI115" s="319"/>
      <c r="AJ115" s="523">
        <v>4.8550000000000003E-2</v>
      </c>
      <c r="AK115" s="523">
        <f t="shared" si="65"/>
        <v>5.4550000000000001E-2</v>
      </c>
      <c r="AL115" s="319"/>
      <c r="AM115" s="319">
        <f t="shared" si="74"/>
        <v>4.8550000000000008E-3</v>
      </c>
      <c r="AN115" s="319">
        <f t="shared" si="67"/>
        <v>5.4550000000000006E-3</v>
      </c>
      <c r="AO115" s="577" t="s">
        <v>1850</v>
      </c>
      <c r="AP115" s="899" t="s">
        <v>1944</v>
      </c>
      <c r="AQ115" s="308"/>
      <c r="AR115" s="897" t="s">
        <v>2289</v>
      </c>
      <c r="AS115" s="897" t="s">
        <v>2402</v>
      </c>
      <c r="AT115" s="897" t="s">
        <v>2436</v>
      </c>
      <c r="AU115" s="895"/>
      <c r="AV115" s="603" t="s">
        <v>1893</v>
      </c>
    </row>
    <row r="116" spans="1:48" ht="122.4" customHeight="1" thickBot="1" x14ac:dyDescent="0.55000000000000004">
      <c r="A116" s="302"/>
      <c r="B116" s="1450" t="s">
        <v>543</v>
      </c>
      <c r="C116" s="1430" t="s">
        <v>544</v>
      </c>
      <c r="D116" s="350" t="s">
        <v>516</v>
      </c>
      <c r="E116" s="310">
        <v>0.05</v>
      </c>
      <c r="F116" s="311">
        <v>1</v>
      </c>
      <c r="G116" s="330">
        <v>0</v>
      </c>
      <c r="H116" s="809">
        <v>1</v>
      </c>
      <c r="I116" s="331">
        <v>0</v>
      </c>
      <c r="J116" s="320"/>
      <c r="K116" s="320">
        <f t="shared" si="60"/>
        <v>1</v>
      </c>
      <c r="L116" s="320"/>
      <c r="M116" s="321"/>
      <c r="N116" s="321">
        <f t="shared" si="61"/>
        <v>0.05</v>
      </c>
      <c r="O116" s="321"/>
      <c r="P116" s="316"/>
      <c r="Q116" s="323">
        <v>0</v>
      </c>
      <c r="R116" s="317">
        <v>0</v>
      </c>
      <c r="S116" s="317">
        <v>0.3</v>
      </c>
      <c r="T116" s="317"/>
      <c r="U116" s="317"/>
      <c r="V116" s="857">
        <f t="shared" si="75"/>
        <v>0.3</v>
      </c>
      <c r="W116" s="646">
        <f t="shared" si="76"/>
        <v>0.3</v>
      </c>
      <c r="X116" s="330"/>
      <c r="Y116" s="330"/>
      <c r="Z116" s="330"/>
      <c r="AA116" s="330"/>
      <c r="AB116" s="330">
        <f t="shared" si="62"/>
        <v>0</v>
      </c>
      <c r="AC116" s="318"/>
      <c r="AD116" s="319">
        <f>+V116/H116</f>
        <v>0.3</v>
      </c>
      <c r="AE116" s="319"/>
      <c r="AF116" s="319"/>
      <c r="AG116" s="319">
        <f>+AD116*E116</f>
        <v>1.4999999999999999E-2</v>
      </c>
      <c r="AH116" s="319">
        <f t="shared" si="64"/>
        <v>0</v>
      </c>
      <c r="AI116" s="319"/>
      <c r="AJ116" s="523">
        <v>0.3</v>
      </c>
      <c r="AK116" s="523">
        <f t="shared" si="65"/>
        <v>0.3</v>
      </c>
      <c r="AL116" s="319"/>
      <c r="AM116" s="319">
        <f t="shared" si="74"/>
        <v>1.4999999999999999E-2</v>
      </c>
      <c r="AN116" s="319">
        <f t="shared" si="67"/>
        <v>1.4999999999999999E-2</v>
      </c>
      <c r="AO116" s="577" t="s">
        <v>1850</v>
      </c>
      <c r="AP116" s="899" t="s">
        <v>1945</v>
      </c>
      <c r="AQ116" s="308"/>
      <c r="AR116" s="897" t="s">
        <v>2289</v>
      </c>
      <c r="AS116" s="897" t="s">
        <v>2402</v>
      </c>
      <c r="AT116" s="897" t="s">
        <v>2436</v>
      </c>
      <c r="AU116" s="895"/>
      <c r="AV116" s="603" t="s">
        <v>1893</v>
      </c>
    </row>
    <row r="117" spans="1:48" ht="122.4" customHeight="1" thickBot="1" x14ac:dyDescent="0.55000000000000004">
      <c r="A117" s="302"/>
      <c r="B117" s="1450" t="s">
        <v>545</v>
      </c>
      <c r="C117" s="1430" t="s">
        <v>546</v>
      </c>
      <c r="D117" s="350" t="s">
        <v>516</v>
      </c>
      <c r="E117" s="310">
        <v>0.05</v>
      </c>
      <c r="F117" s="311">
        <v>2</v>
      </c>
      <c r="G117" s="330">
        <v>0</v>
      </c>
      <c r="H117" s="809">
        <v>1</v>
      </c>
      <c r="I117" s="331">
        <v>1</v>
      </c>
      <c r="J117" s="320"/>
      <c r="K117" s="320">
        <f t="shared" si="60"/>
        <v>0.5</v>
      </c>
      <c r="L117" s="320">
        <f t="shared" si="68"/>
        <v>0.5</v>
      </c>
      <c r="M117" s="321"/>
      <c r="N117" s="321">
        <f t="shared" si="61"/>
        <v>2.5000000000000001E-2</v>
      </c>
      <c r="O117" s="321"/>
      <c r="P117" s="316"/>
      <c r="Q117" s="323">
        <v>0</v>
      </c>
      <c r="R117" s="317">
        <v>0</v>
      </c>
      <c r="S117" s="317">
        <v>0</v>
      </c>
      <c r="T117" s="317">
        <v>0</v>
      </c>
      <c r="U117" s="317">
        <v>1</v>
      </c>
      <c r="V117" s="646">
        <f t="shared" si="75"/>
        <v>1</v>
      </c>
      <c r="W117" s="646">
        <f t="shared" si="76"/>
        <v>1</v>
      </c>
      <c r="X117" s="330">
        <v>0</v>
      </c>
      <c r="Y117" s="330"/>
      <c r="Z117" s="330"/>
      <c r="AA117" s="330"/>
      <c r="AB117" s="330">
        <f t="shared" si="62"/>
        <v>0</v>
      </c>
      <c r="AC117" s="318"/>
      <c r="AD117" s="319">
        <f>+V117/H117</f>
        <v>1</v>
      </c>
      <c r="AE117" s="319">
        <f t="shared" si="63"/>
        <v>0</v>
      </c>
      <c r="AF117" s="319"/>
      <c r="AG117" s="319">
        <f>+AD117*E117</f>
        <v>0.05</v>
      </c>
      <c r="AH117" s="319">
        <f t="shared" si="64"/>
        <v>0</v>
      </c>
      <c r="AI117" s="319"/>
      <c r="AJ117" s="523">
        <v>0.5</v>
      </c>
      <c r="AK117" s="523">
        <f t="shared" si="65"/>
        <v>0.5</v>
      </c>
      <c r="AL117" s="319"/>
      <c r="AM117" s="319">
        <f t="shared" si="74"/>
        <v>2.5000000000000001E-2</v>
      </c>
      <c r="AN117" s="319">
        <f t="shared" si="67"/>
        <v>2.5000000000000001E-2</v>
      </c>
      <c r="AO117" s="577" t="s">
        <v>1850</v>
      </c>
      <c r="AP117" s="899" t="s">
        <v>1946</v>
      </c>
      <c r="AQ117" s="308"/>
      <c r="AR117" s="897" t="s">
        <v>2289</v>
      </c>
      <c r="AS117" s="897" t="s">
        <v>2402</v>
      </c>
      <c r="AT117" s="897" t="s">
        <v>2436</v>
      </c>
      <c r="AU117" s="895"/>
      <c r="AV117" s="603" t="s">
        <v>1893</v>
      </c>
    </row>
    <row r="118" spans="1:48" ht="122.4" customHeight="1" thickBot="1" x14ac:dyDescent="0.55000000000000004">
      <c r="A118" s="302"/>
      <c r="B118" s="1450" t="s">
        <v>547</v>
      </c>
      <c r="C118" s="1430" t="s">
        <v>548</v>
      </c>
      <c r="D118" s="350" t="s">
        <v>516</v>
      </c>
      <c r="E118" s="310">
        <v>0.05</v>
      </c>
      <c r="F118" s="311">
        <v>1</v>
      </c>
      <c r="G118" s="330">
        <v>0</v>
      </c>
      <c r="H118" s="809">
        <v>1</v>
      </c>
      <c r="I118" s="331">
        <v>0</v>
      </c>
      <c r="J118" s="320"/>
      <c r="K118" s="320">
        <f t="shared" si="60"/>
        <v>1</v>
      </c>
      <c r="L118" s="320"/>
      <c r="M118" s="321"/>
      <c r="N118" s="321">
        <f t="shared" si="61"/>
        <v>0.05</v>
      </c>
      <c r="O118" s="321"/>
      <c r="P118" s="316"/>
      <c r="Q118" s="323">
        <v>0</v>
      </c>
      <c r="R118" s="317">
        <v>0</v>
      </c>
      <c r="S118" s="317">
        <v>0</v>
      </c>
      <c r="T118" s="317">
        <v>0</v>
      </c>
      <c r="U118" s="317">
        <v>0</v>
      </c>
      <c r="V118" s="646">
        <f t="shared" si="75"/>
        <v>0</v>
      </c>
      <c r="W118" s="646">
        <f>+V118+P118+AB118</f>
        <v>0</v>
      </c>
      <c r="X118" s="330"/>
      <c r="Y118" s="330"/>
      <c r="Z118" s="330"/>
      <c r="AA118" s="330"/>
      <c r="AB118" s="330">
        <f t="shared" si="62"/>
        <v>0</v>
      </c>
      <c r="AC118" s="318"/>
      <c r="AD118" s="319">
        <f>+V118/H118</f>
        <v>0</v>
      </c>
      <c r="AE118" s="319"/>
      <c r="AF118" s="319"/>
      <c r="AG118" s="319">
        <f>+AD118*E118</f>
        <v>0</v>
      </c>
      <c r="AH118" s="319">
        <f t="shared" si="64"/>
        <v>0</v>
      </c>
      <c r="AI118" s="319"/>
      <c r="AJ118" s="523">
        <v>0</v>
      </c>
      <c r="AK118" s="523">
        <f t="shared" si="65"/>
        <v>0</v>
      </c>
      <c r="AL118" s="319"/>
      <c r="AM118" s="319">
        <f t="shared" si="74"/>
        <v>0</v>
      </c>
      <c r="AN118" s="319">
        <f t="shared" si="67"/>
        <v>0</v>
      </c>
      <c r="AO118" s="577" t="s">
        <v>1850</v>
      </c>
      <c r="AP118" s="899" t="s">
        <v>1947</v>
      </c>
      <c r="AQ118" s="308"/>
      <c r="AR118" s="897" t="s">
        <v>2289</v>
      </c>
      <c r="AS118" s="897" t="s">
        <v>2402</v>
      </c>
      <c r="AT118" s="897" t="s">
        <v>2436</v>
      </c>
      <c r="AU118" s="895"/>
      <c r="AV118" s="603" t="s">
        <v>1893</v>
      </c>
    </row>
    <row r="119" spans="1:48" ht="122.4" customHeight="1" thickBot="1" x14ac:dyDescent="0.55000000000000004">
      <c r="A119" s="302"/>
      <c r="B119" s="1553" t="s">
        <v>1659</v>
      </c>
      <c r="C119" s="1549"/>
      <c r="D119" s="303"/>
      <c r="E119" s="342">
        <v>0.1</v>
      </c>
      <c r="F119" s="343">
        <f>+E119*AF119</f>
        <v>7.759166666666667E-2</v>
      </c>
      <c r="G119" s="326"/>
      <c r="H119" s="1079">
        <f>+E119*AG119</f>
        <v>8.2150789473684205E-2</v>
      </c>
      <c r="I119" s="304">
        <f>E119*AH119</f>
        <v>1.9068921339153084E-3</v>
      </c>
      <c r="J119" s="353">
        <f>+(J120+J122+J124+J126)/4</f>
        <v>0.17725490196078431</v>
      </c>
      <c r="K119" s="353">
        <f>+(K120+K122+K124+K126)/4</f>
        <v>0.1495081699346405</v>
      </c>
      <c r="L119" s="353">
        <f>+(L120+L122+L124+L126)/4</f>
        <v>0.34533562091503267</v>
      </c>
      <c r="M119" s="354">
        <f>+(M120+M122+M124+M126)/4</f>
        <v>0.16792156862745097</v>
      </c>
      <c r="N119" s="354">
        <f>+(N120+N122+N124+N126)/4</f>
        <v>0.15253039215686273</v>
      </c>
      <c r="O119" s="354"/>
      <c r="P119" s="316"/>
      <c r="Q119" s="316"/>
      <c r="R119" s="316"/>
      <c r="S119" s="316"/>
      <c r="T119" s="316"/>
      <c r="U119" s="316"/>
      <c r="V119" s="316"/>
      <c r="W119" s="316"/>
      <c r="X119" s="330"/>
      <c r="Y119" s="330"/>
      <c r="Z119" s="330"/>
      <c r="AA119" s="330"/>
      <c r="AB119" s="330"/>
      <c r="AC119" s="347">
        <f>+(AC120+AC122+AC124+AC126)/4</f>
        <v>0.84770833333333329</v>
      </c>
      <c r="AD119" s="347">
        <f>+(AD120+AD122+AD124+AD126)/4</f>
        <v>0.78501096491228073</v>
      </c>
      <c r="AE119" s="347">
        <f>+(AE120+AE122+AE124+AE126)/4</f>
        <v>0.27728498276195812</v>
      </c>
      <c r="AF119" s="355">
        <f>+AF120+AF122+AF124+AF126</f>
        <v>0.7759166666666667</v>
      </c>
      <c r="AG119" s="355">
        <f>+AG120+AG122+AG124+AG126</f>
        <v>0.82150789473684205</v>
      </c>
      <c r="AH119" s="355">
        <f>+AH120+AH122+AH124+AH126</f>
        <v>1.9068921339153083E-2</v>
      </c>
      <c r="AI119" s="306">
        <f>(AI120+AI122+AI124+AI126)/4</f>
        <v>0.14324852941176469</v>
      </c>
      <c r="AJ119" s="306">
        <v>0.2397588235294118</v>
      </c>
      <c r="AK119" s="306">
        <f>(AK120+AK122+AK124+AK126)/4</f>
        <v>0.25251470588235292</v>
      </c>
      <c r="AL119" s="355">
        <f>(AL120+AL122+AL124+AL126)</f>
        <v>0.13347823529411765</v>
      </c>
      <c r="AM119" s="355">
        <f>(AM120*E120)+(AM122*E122)+(AM124*E124)+(AM126*E126)</f>
        <v>0.22248258823529413</v>
      </c>
      <c r="AN119" s="355">
        <f>(AN120*E120)+(AN122*E122)+(AN124*E124)+(AN126*E126)</f>
        <v>0.23122964705882354</v>
      </c>
      <c r="AO119" s="890"/>
      <c r="AP119" s="308"/>
      <c r="AQ119" s="308"/>
      <c r="AR119" s="308"/>
      <c r="AS119" s="308"/>
      <c r="AT119" s="898"/>
      <c r="AU119" s="895"/>
      <c r="AV119" s="898"/>
    </row>
    <row r="120" spans="1:48" ht="122.4" customHeight="1" thickBot="1" x14ac:dyDescent="0.55000000000000004">
      <c r="A120" s="302"/>
      <c r="B120" s="1548" t="s">
        <v>1660</v>
      </c>
      <c r="C120" s="1549"/>
      <c r="D120" s="303"/>
      <c r="E120" s="307">
        <v>0.3</v>
      </c>
      <c r="F120" s="325"/>
      <c r="G120" s="326"/>
      <c r="H120" s="1077"/>
      <c r="I120" s="308"/>
      <c r="J120" s="327">
        <f>+AVERAGE(J121)</f>
        <v>0.04</v>
      </c>
      <c r="K120" s="327">
        <f>+AVERAGE(K121)</f>
        <v>4.4999999999999998E-2</v>
      </c>
      <c r="L120" s="327">
        <f>+AVERAGE(L121)</f>
        <v>0.45960000000000001</v>
      </c>
      <c r="M120" s="328">
        <f>+M121</f>
        <v>0.04</v>
      </c>
      <c r="N120" s="328">
        <f>+N121</f>
        <v>4.4999999999999998E-2</v>
      </c>
      <c r="O120" s="328"/>
      <c r="P120" s="316"/>
      <c r="Q120" s="329"/>
      <c r="R120" s="329"/>
      <c r="S120" s="329"/>
      <c r="T120" s="329"/>
      <c r="U120" s="964"/>
      <c r="V120" s="329"/>
      <c r="W120" s="329"/>
      <c r="X120" s="1087"/>
      <c r="Y120" s="1087"/>
      <c r="Z120" s="1087"/>
      <c r="AA120" s="1087"/>
      <c r="AB120" s="1087"/>
      <c r="AC120" s="521">
        <f>+AVERAGE(AC121)</f>
        <v>0.89749999999999996</v>
      </c>
      <c r="AD120" s="521">
        <v>1</v>
      </c>
      <c r="AE120" s="521">
        <v>1</v>
      </c>
      <c r="AF120" s="348">
        <f>+(AF121)*E120</f>
        <v>0.26924999999999999</v>
      </c>
      <c r="AG120" s="348">
        <f>+(AG121)*E120</f>
        <v>0.3</v>
      </c>
      <c r="AH120" s="348">
        <f>+(AH121)*E120</f>
        <v>9.138381201044387E-4</v>
      </c>
      <c r="AI120" s="309">
        <f>+AVERAGE(AI121)</f>
        <v>3.5900000000000001E-2</v>
      </c>
      <c r="AJ120" s="309">
        <v>8.6300000000000002E-2</v>
      </c>
      <c r="AK120" s="309">
        <f>+AVERAGE(AK121)</f>
        <v>8.6699999999999999E-2</v>
      </c>
      <c r="AL120" s="309">
        <f>+(AL121)*E120</f>
        <v>1.077E-2</v>
      </c>
      <c r="AM120" s="309">
        <f>+(AM121)</f>
        <v>8.6300000000000002E-2</v>
      </c>
      <c r="AN120" s="309">
        <f>+(AN121)</f>
        <v>8.6699999999999999E-2</v>
      </c>
      <c r="AO120" s="685"/>
      <c r="AP120" s="308"/>
      <c r="AQ120" s="308"/>
      <c r="AR120" s="308"/>
      <c r="AS120" s="308"/>
      <c r="AT120" s="898"/>
      <c r="AU120" s="895"/>
      <c r="AV120" s="898"/>
    </row>
    <row r="121" spans="1:48" ht="122.4" customHeight="1" thickBot="1" x14ac:dyDescent="0.45">
      <c r="A121" s="302"/>
      <c r="B121" s="1450" t="s">
        <v>549</v>
      </c>
      <c r="C121" s="1430" t="s">
        <v>550</v>
      </c>
      <c r="D121" s="350" t="s">
        <v>551</v>
      </c>
      <c r="E121" s="310">
        <v>1</v>
      </c>
      <c r="F121" s="311">
        <v>10000</v>
      </c>
      <c r="G121" s="330">
        <v>400</v>
      </c>
      <c r="H121" s="809">
        <v>450</v>
      </c>
      <c r="I121" s="331">
        <v>4596</v>
      </c>
      <c r="J121" s="320">
        <f>+G121/F121</f>
        <v>0.04</v>
      </c>
      <c r="K121" s="320">
        <f>+H121/F121</f>
        <v>4.4999999999999998E-2</v>
      </c>
      <c r="L121" s="320">
        <f t="shared" ref="L121:L129" si="77">+I121/F121</f>
        <v>0.45960000000000001</v>
      </c>
      <c r="M121" s="321">
        <f>+(G121/F121)*E121</f>
        <v>0.04</v>
      </c>
      <c r="N121" s="321">
        <f t="shared" ref="N121" si="78">+(H121/F121)*E121</f>
        <v>4.4999999999999998E-2</v>
      </c>
      <c r="O121" s="321"/>
      <c r="P121" s="316">
        <v>359</v>
      </c>
      <c r="Q121" s="323">
        <v>52</v>
      </c>
      <c r="R121" s="323">
        <v>142</v>
      </c>
      <c r="S121" s="317">
        <v>273</v>
      </c>
      <c r="T121" s="317">
        <v>26</v>
      </c>
      <c r="U121" s="317">
        <v>1</v>
      </c>
      <c r="V121" s="322">
        <f>+Q121+R121+S121+T121+U121</f>
        <v>494</v>
      </c>
      <c r="W121" s="322">
        <f>+V121+P121+AB121</f>
        <v>867</v>
      </c>
      <c r="X121" s="1185">
        <v>14</v>
      </c>
      <c r="Y121" s="330"/>
      <c r="Z121" s="330"/>
      <c r="AA121" s="330"/>
      <c r="AB121" s="330">
        <f t="shared" ref="AB121" si="79">+X121+Y121+Z121+AA121</f>
        <v>14</v>
      </c>
      <c r="AC121" s="318">
        <f>+(P121/G121)</f>
        <v>0.89749999999999996</v>
      </c>
      <c r="AD121" s="319">
        <v>1</v>
      </c>
      <c r="AE121" s="319">
        <f>+AB121/I121</f>
        <v>3.0461270670147957E-3</v>
      </c>
      <c r="AF121" s="319">
        <f>+AC121*E121</f>
        <v>0.89749999999999996</v>
      </c>
      <c r="AG121" s="319">
        <f>+AD121*E121</f>
        <v>1</v>
      </c>
      <c r="AH121" s="319">
        <f t="shared" ref="AH121" si="80">+AE121*E121</f>
        <v>3.0461270670147957E-3</v>
      </c>
      <c r="AI121" s="319">
        <f>+P121/F121</f>
        <v>3.5900000000000001E-2</v>
      </c>
      <c r="AJ121" s="319">
        <v>8.6300000000000002E-2</v>
      </c>
      <c r="AK121" s="319">
        <f t="shared" ref="AK121:AK129" si="81">+W121/F121</f>
        <v>8.6699999999999999E-2</v>
      </c>
      <c r="AL121" s="319">
        <f>+AI121*E121</f>
        <v>3.5900000000000001E-2</v>
      </c>
      <c r="AM121" s="319">
        <f>+AJ121*E121</f>
        <v>8.6300000000000002E-2</v>
      </c>
      <c r="AN121" s="319">
        <f t="shared" ref="AN121" si="82">+AK121*E121</f>
        <v>8.6699999999999999E-2</v>
      </c>
      <c r="AO121" s="577" t="s">
        <v>1850</v>
      </c>
      <c r="AP121" s="579" t="s">
        <v>1901</v>
      </c>
      <c r="AQ121" s="579" t="s">
        <v>2264</v>
      </c>
      <c r="AR121" s="897" t="s">
        <v>2289</v>
      </c>
      <c r="AS121" s="574" t="s">
        <v>2345</v>
      </c>
      <c r="AT121" s="603" t="s">
        <v>2436</v>
      </c>
      <c r="AU121" s="603" t="s">
        <v>2493</v>
      </c>
      <c r="AV121" s="603" t="s">
        <v>1893</v>
      </c>
    </row>
    <row r="122" spans="1:48" ht="122.4" customHeight="1" thickBot="1" x14ac:dyDescent="0.55000000000000004">
      <c r="A122" s="302"/>
      <c r="B122" s="1548" t="s">
        <v>1661</v>
      </c>
      <c r="C122" s="1549"/>
      <c r="D122" s="303"/>
      <c r="E122" s="307">
        <v>0.3</v>
      </c>
      <c r="F122" s="311"/>
      <c r="G122" s="330"/>
      <c r="H122" s="809"/>
      <c r="I122" s="331"/>
      <c r="J122" s="327">
        <f>+AVERAGE(J123)</f>
        <v>0.21568627450980393</v>
      </c>
      <c r="K122" s="327">
        <f>+AVERAGE(K123)</f>
        <v>5.7254901960784317E-2</v>
      </c>
      <c r="L122" s="327">
        <f>+AVERAGE(L123)</f>
        <v>0.35843137254901963</v>
      </c>
      <c r="M122" s="328">
        <f>+M123</f>
        <v>0.21568627450980393</v>
      </c>
      <c r="N122" s="328">
        <f>+N123</f>
        <v>5.7254901960784317E-2</v>
      </c>
      <c r="O122" s="328"/>
      <c r="P122" s="316"/>
      <c r="Q122" s="316"/>
      <c r="R122" s="316"/>
      <c r="S122" s="316"/>
      <c r="T122" s="316"/>
      <c r="U122" s="963"/>
      <c r="V122" s="316"/>
      <c r="W122" s="316"/>
      <c r="X122" s="330"/>
      <c r="Y122" s="330"/>
      <c r="Z122" s="330"/>
      <c r="AA122" s="330"/>
      <c r="AB122" s="330"/>
      <c r="AC122" s="521">
        <f>+AVERAGE(AC123)</f>
        <v>1</v>
      </c>
      <c r="AD122" s="521">
        <f>+AVERAGE(AD123)</f>
        <v>1</v>
      </c>
      <c r="AE122" s="521">
        <f>+AVERAGE(AE123)</f>
        <v>4.3763676148796501E-4</v>
      </c>
      <c r="AF122" s="348">
        <f>+(AF123)*E122</f>
        <v>0.3</v>
      </c>
      <c r="AG122" s="348">
        <f>+(AG123)*E122</f>
        <v>0.3</v>
      </c>
      <c r="AH122" s="348">
        <f>+(AH123)*E122</f>
        <v>1.3129102844638949E-4</v>
      </c>
      <c r="AI122" s="309">
        <f>+AVERAGE(AI123)</f>
        <v>0.22596078431372549</v>
      </c>
      <c r="AJ122" s="309">
        <v>0.28556862745098038</v>
      </c>
      <c r="AK122" s="309">
        <f>+AVERAGE(AK123)</f>
        <v>0.28572549019607846</v>
      </c>
      <c r="AL122" s="309">
        <f>+(AL123)*E122</f>
        <v>6.7788235294117649E-2</v>
      </c>
      <c r="AM122" s="309">
        <f>+(AM123)</f>
        <v>0.28556862745098038</v>
      </c>
      <c r="AN122" s="309">
        <f>+(AN123)</f>
        <v>0.28572549019607846</v>
      </c>
      <c r="AO122" s="685"/>
      <c r="AP122" s="308"/>
      <c r="AQ122" s="308"/>
      <c r="AR122" s="308"/>
      <c r="AS122" s="308"/>
      <c r="AT122" s="898"/>
      <c r="AU122" s="895"/>
      <c r="AV122" s="898"/>
    </row>
    <row r="123" spans="1:48" ht="122.4" customHeight="1" thickBot="1" x14ac:dyDescent="0.45">
      <c r="A123" s="302"/>
      <c r="B123" s="1450" t="s">
        <v>552</v>
      </c>
      <c r="C123" s="1430" t="s">
        <v>553</v>
      </c>
      <c r="D123" s="350" t="s">
        <v>551</v>
      </c>
      <c r="E123" s="310">
        <v>1</v>
      </c>
      <c r="F123" s="311">
        <v>12750</v>
      </c>
      <c r="G123" s="330">
        <v>2750</v>
      </c>
      <c r="H123" s="809">
        <v>730</v>
      </c>
      <c r="I123" s="331">
        <v>4570</v>
      </c>
      <c r="J123" s="356">
        <f>+G123/F123</f>
        <v>0.21568627450980393</v>
      </c>
      <c r="K123" s="356">
        <f t="shared" ref="K123" si="83">+H123/F123</f>
        <v>5.7254901960784317E-2</v>
      </c>
      <c r="L123" s="356">
        <f t="shared" si="77"/>
        <v>0.35843137254901963</v>
      </c>
      <c r="M123" s="357">
        <f>+(G123/F123)*E123</f>
        <v>0.21568627450980393</v>
      </c>
      <c r="N123" s="357">
        <f t="shared" ref="N123" si="84">+(H123/F123)*E123</f>
        <v>5.7254901960784317E-2</v>
      </c>
      <c r="O123" s="357"/>
      <c r="P123" s="316">
        <v>2881</v>
      </c>
      <c r="Q123" s="317">
        <v>223</v>
      </c>
      <c r="R123" s="317">
        <f>610-Q123</f>
        <v>387</v>
      </c>
      <c r="S123" s="317">
        <v>109</v>
      </c>
      <c r="T123" s="317">
        <v>0</v>
      </c>
      <c r="U123" s="317">
        <v>41</v>
      </c>
      <c r="V123" s="316">
        <f>+Q123+R123+S123+T123+U123</f>
        <v>760</v>
      </c>
      <c r="W123" s="316">
        <f>+V123+P12+AB123+P123</f>
        <v>3643</v>
      </c>
      <c r="X123" s="1185">
        <v>2</v>
      </c>
      <c r="Y123" s="330"/>
      <c r="Z123" s="330"/>
      <c r="AA123" s="330"/>
      <c r="AB123" s="330">
        <f t="shared" ref="AB123" si="85">+X123+Y123+Z123+AA123</f>
        <v>2</v>
      </c>
      <c r="AC123" s="318">
        <v>1</v>
      </c>
      <c r="AD123" s="319">
        <v>1</v>
      </c>
      <c r="AE123" s="319">
        <f>+AB123/I123</f>
        <v>4.3763676148796501E-4</v>
      </c>
      <c r="AF123" s="319">
        <f>+AC123*E123</f>
        <v>1</v>
      </c>
      <c r="AG123" s="319">
        <f>+AD123*E123</f>
        <v>1</v>
      </c>
      <c r="AH123" s="319">
        <f t="shared" ref="AH123" si="86">+AE123*E123</f>
        <v>4.3763676148796501E-4</v>
      </c>
      <c r="AI123" s="319">
        <f>+P123/F123</f>
        <v>0.22596078431372549</v>
      </c>
      <c r="AJ123" s="319">
        <v>0.28556862745098038</v>
      </c>
      <c r="AK123" s="319">
        <f t="shared" si="81"/>
        <v>0.28572549019607846</v>
      </c>
      <c r="AL123" s="319">
        <f>+AI123*E123</f>
        <v>0.22596078431372549</v>
      </c>
      <c r="AM123" s="319">
        <f>+AJ123*E123</f>
        <v>0.28556862745098038</v>
      </c>
      <c r="AN123" s="319">
        <f t="shared" ref="AN123" si="87">+AK123*E123</f>
        <v>0.28572549019607846</v>
      </c>
      <c r="AO123" s="577" t="s">
        <v>1850</v>
      </c>
      <c r="AP123" s="579" t="s">
        <v>1901</v>
      </c>
      <c r="AQ123" s="579" t="s">
        <v>2264</v>
      </c>
      <c r="AR123" s="897" t="s">
        <v>2289</v>
      </c>
      <c r="AS123" s="574" t="s">
        <v>2346</v>
      </c>
      <c r="AT123" s="603" t="s">
        <v>2436</v>
      </c>
      <c r="AU123" s="603" t="s">
        <v>2493</v>
      </c>
      <c r="AV123" s="934" t="s">
        <v>1893</v>
      </c>
    </row>
    <row r="124" spans="1:48" ht="122.4" customHeight="1" thickBot="1" x14ac:dyDescent="0.55000000000000004">
      <c r="A124" s="302"/>
      <c r="B124" s="1548" t="s">
        <v>1662</v>
      </c>
      <c r="C124" s="1549"/>
      <c r="D124" s="350"/>
      <c r="E124" s="307">
        <v>0.2</v>
      </c>
      <c r="F124" s="311"/>
      <c r="G124" s="330"/>
      <c r="H124" s="809"/>
      <c r="I124" s="331"/>
      <c r="J124" s="327">
        <f>+AVERAGE(J125)</f>
        <v>0.33</v>
      </c>
      <c r="K124" s="327">
        <f>+AVERAGE(K125)</f>
        <v>0.2</v>
      </c>
      <c r="L124" s="327">
        <f>+AVERAGE(L125)</f>
        <v>0.30220000000000002</v>
      </c>
      <c r="M124" s="328">
        <f>+M125</f>
        <v>0.33</v>
      </c>
      <c r="N124" s="328">
        <f>+N125</f>
        <v>0.2</v>
      </c>
      <c r="O124" s="328"/>
      <c r="P124" s="316"/>
      <c r="Q124" s="316"/>
      <c r="R124" s="316"/>
      <c r="S124" s="316"/>
      <c r="T124" s="316"/>
      <c r="U124" s="963"/>
      <c r="V124" s="316"/>
      <c r="W124" s="316"/>
      <c r="X124" s="330"/>
      <c r="Y124" s="330"/>
      <c r="Z124" s="330"/>
      <c r="AA124" s="330"/>
      <c r="AB124" s="330"/>
      <c r="AC124" s="521">
        <f>+AVERAGE(AC125)</f>
        <v>0.59333333333333338</v>
      </c>
      <c r="AD124" s="521">
        <f>+AVERAGE(AD125)</f>
        <v>0.48899999999999999</v>
      </c>
      <c r="AE124" s="521">
        <f>+AVERAGE(AE125)</f>
        <v>1.7868960953011249E-2</v>
      </c>
      <c r="AF124" s="348">
        <f>+(AF125)*E124</f>
        <v>0.11866666666666668</v>
      </c>
      <c r="AG124" s="348">
        <f>+(AG125)*E124</f>
        <v>9.7799999999999998E-2</v>
      </c>
      <c r="AH124" s="348">
        <f>+(AH125)*E124</f>
        <v>3.5737921906022502E-3</v>
      </c>
      <c r="AI124" s="309">
        <f>+AVERAGE(AI125)</f>
        <v>0.1958</v>
      </c>
      <c r="AJ124" s="309">
        <v>0.29360000000000003</v>
      </c>
      <c r="AK124" s="309">
        <f>+AVERAGE(AK125)</f>
        <v>0.31440000000000001</v>
      </c>
      <c r="AL124" s="309">
        <f>+(AL125)*E124</f>
        <v>3.916E-2</v>
      </c>
      <c r="AM124" s="309">
        <f>+(AM125)</f>
        <v>0.29360000000000003</v>
      </c>
      <c r="AN124" s="309">
        <f>+(AN125)</f>
        <v>0.31440000000000001</v>
      </c>
      <c r="AO124" s="685"/>
      <c r="AP124" s="308"/>
      <c r="AQ124" s="308"/>
      <c r="AR124" s="308"/>
      <c r="AS124" s="308"/>
      <c r="AT124" s="898"/>
      <c r="AU124" s="895"/>
      <c r="AV124" s="898"/>
    </row>
    <row r="125" spans="1:48" ht="122.4" customHeight="1" thickBot="1" x14ac:dyDescent="0.45">
      <c r="A125" s="302"/>
      <c r="B125" s="788" t="s">
        <v>554</v>
      </c>
      <c r="C125" s="409" t="s">
        <v>555</v>
      </c>
      <c r="D125" s="350" t="s">
        <v>551</v>
      </c>
      <c r="E125" s="310">
        <v>1</v>
      </c>
      <c r="F125" s="311">
        <v>5000</v>
      </c>
      <c r="G125" s="330">
        <v>1650</v>
      </c>
      <c r="H125" s="809">
        <v>1000</v>
      </c>
      <c r="I125" s="331">
        <v>1511</v>
      </c>
      <c r="J125" s="320">
        <f>+G125/F125</f>
        <v>0.33</v>
      </c>
      <c r="K125" s="320">
        <f t="shared" ref="K125" si="88">+H125/F125</f>
        <v>0.2</v>
      </c>
      <c r="L125" s="320">
        <f t="shared" si="77"/>
        <v>0.30220000000000002</v>
      </c>
      <c r="M125" s="321">
        <f>+(G125/F125)*E125</f>
        <v>0.33</v>
      </c>
      <c r="N125" s="321">
        <f t="shared" ref="N125" si="89">+(H125/F125)*E125</f>
        <v>0.2</v>
      </c>
      <c r="O125" s="321"/>
      <c r="P125" s="316">
        <v>979</v>
      </c>
      <c r="Q125" s="317">
        <v>226</v>
      </c>
      <c r="R125" s="317">
        <v>35</v>
      </c>
      <c r="S125" s="317">
        <v>99</v>
      </c>
      <c r="T125" s="317">
        <v>129</v>
      </c>
      <c r="U125" s="317"/>
      <c r="V125" s="316">
        <f>+Q125+R125+S125+T125+U125</f>
        <v>489</v>
      </c>
      <c r="W125" s="316">
        <f>+V125+P125+AB125+77</f>
        <v>1572</v>
      </c>
      <c r="X125" s="1185">
        <v>27</v>
      </c>
      <c r="Y125" s="330"/>
      <c r="Z125" s="330"/>
      <c r="AA125" s="330"/>
      <c r="AB125" s="330">
        <f t="shared" ref="AB125" si="90">+X125+Y125+Z125+AA125</f>
        <v>27</v>
      </c>
      <c r="AC125" s="318">
        <f>+(P125/G125)</f>
        <v>0.59333333333333338</v>
      </c>
      <c r="AD125" s="319">
        <f>+V125/H125</f>
        <v>0.48899999999999999</v>
      </c>
      <c r="AE125" s="319">
        <f t="shared" ref="AE125" si="91">+AB125/I125</f>
        <v>1.7868960953011249E-2</v>
      </c>
      <c r="AF125" s="319">
        <f>+AC125*E125</f>
        <v>0.59333333333333338</v>
      </c>
      <c r="AG125" s="319">
        <f>+AD125*E125</f>
        <v>0.48899999999999999</v>
      </c>
      <c r="AH125" s="319">
        <f>+AE125*E125</f>
        <v>1.7868960953011249E-2</v>
      </c>
      <c r="AI125" s="319">
        <f>+P125/F125</f>
        <v>0.1958</v>
      </c>
      <c r="AJ125" s="319">
        <v>0.29360000000000003</v>
      </c>
      <c r="AK125" s="319">
        <f t="shared" si="81"/>
        <v>0.31440000000000001</v>
      </c>
      <c r="AL125" s="319">
        <f>+AI125*E125</f>
        <v>0.1958</v>
      </c>
      <c r="AM125" s="319">
        <f>+AJ125*E125</f>
        <v>0.29360000000000003</v>
      </c>
      <c r="AN125" s="319">
        <f t="shared" ref="AN125" si="92">+AK125*E125</f>
        <v>0.31440000000000001</v>
      </c>
      <c r="AO125" s="577" t="s">
        <v>1850</v>
      </c>
      <c r="AP125" s="579" t="s">
        <v>1901</v>
      </c>
      <c r="AQ125" s="579" t="s">
        <v>2264</v>
      </c>
      <c r="AR125" s="897" t="s">
        <v>2289</v>
      </c>
      <c r="AS125" s="574" t="s">
        <v>2347</v>
      </c>
      <c r="AT125" s="603" t="s">
        <v>2436</v>
      </c>
      <c r="AU125" s="644" t="s">
        <v>2517</v>
      </c>
      <c r="AV125" s="644" t="s">
        <v>1865</v>
      </c>
    </row>
    <row r="126" spans="1:48" ht="122.4" customHeight="1" thickBot="1" x14ac:dyDescent="0.55000000000000004">
      <c r="A126" s="302"/>
      <c r="B126" s="1548" t="s">
        <v>1663</v>
      </c>
      <c r="C126" s="1549"/>
      <c r="D126" s="350"/>
      <c r="E126" s="307">
        <v>0.2</v>
      </c>
      <c r="F126" s="311"/>
      <c r="G126" s="330"/>
      <c r="H126" s="809"/>
      <c r="I126" s="331"/>
      <c r="J126" s="327">
        <f>+AVERAGE(J127:J129)</f>
        <v>0.12333333333333334</v>
      </c>
      <c r="K126" s="327">
        <f>+AVERAGE(K127:K129)</f>
        <v>0.29577777777777775</v>
      </c>
      <c r="L126" s="327">
        <f>+AVERAGE(L127:L129)</f>
        <v>0.26111111111111113</v>
      </c>
      <c r="M126" s="328">
        <f>+M127+M128+M129</f>
        <v>8.5999999999999993E-2</v>
      </c>
      <c r="N126" s="328">
        <f>+N127+N128+N129</f>
        <v>0.30786666666666662</v>
      </c>
      <c r="O126" s="328"/>
      <c r="P126" s="316"/>
      <c r="Q126" s="329"/>
      <c r="R126" s="329"/>
      <c r="S126" s="329"/>
      <c r="T126" s="329"/>
      <c r="U126" s="964"/>
      <c r="V126" s="329"/>
      <c r="W126" s="329"/>
      <c r="X126" s="1087"/>
      <c r="Y126" s="1087"/>
      <c r="Z126" s="1087"/>
      <c r="AA126" s="1087"/>
      <c r="AB126" s="1087"/>
      <c r="AC126" s="521">
        <f>+AVERAGE(AC127:AC129)</f>
        <v>0.9</v>
      </c>
      <c r="AD126" s="521">
        <f>+AVERAGE(AD127:AD129)</f>
        <v>0.65104385964912281</v>
      </c>
      <c r="AE126" s="521">
        <f>+AVERAGE(AE127:AE129)</f>
        <v>9.0833333333333335E-2</v>
      </c>
      <c r="AF126" s="348">
        <f>+(AF127+AF128+AF129)*E126</f>
        <v>8.8000000000000009E-2</v>
      </c>
      <c r="AG126" s="348">
        <f>+(AG127+AG128+AG129)*E126</f>
        <v>0.1237078947368421</v>
      </c>
      <c r="AH126" s="348">
        <f>+(AH127+AH128+AH129)*E126</f>
        <v>1.4450000000000003E-2</v>
      </c>
      <c r="AI126" s="309">
        <f>+AVERAGE(AI127:AI129)</f>
        <v>0.11533333333333333</v>
      </c>
      <c r="AJ126" s="309">
        <v>0.2935666666666667</v>
      </c>
      <c r="AK126" s="309">
        <f>+AVERAGE(AK127:AK129)</f>
        <v>0.32323333333333332</v>
      </c>
      <c r="AL126" s="309">
        <f>+(AL127+AL128+AL129)*E126</f>
        <v>1.5760000000000003E-2</v>
      </c>
      <c r="AM126" s="309">
        <f>+(AM127+AM128+AM129)</f>
        <v>0.26100999999999996</v>
      </c>
      <c r="AN126" s="309">
        <f>+(AN127+AN128+AN129)</f>
        <v>0.28311000000000003</v>
      </c>
      <c r="AO126" s="685"/>
      <c r="AP126" s="308"/>
      <c r="AQ126" s="308"/>
      <c r="AR126" s="308"/>
      <c r="AS126" s="308"/>
      <c r="AT126" s="898"/>
      <c r="AU126" s="895"/>
      <c r="AV126" s="898"/>
    </row>
    <row r="127" spans="1:48" ht="122.4" customHeight="1" thickBot="1" x14ac:dyDescent="0.45">
      <c r="A127" s="302"/>
      <c r="B127" s="788" t="s">
        <v>556</v>
      </c>
      <c r="C127" s="409" t="s">
        <v>557</v>
      </c>
      <c r="D127" s="350" t="s">
        <v>551</v>
      </c>
      <c r="E127" s="310">
        <v>0.3</v>
      </c>
      <c r="F127" s="311">
        <v>5</v>
      </c>
      <c r="G127" s="330">
        <v>0.6</v>
      </c>
      <c r="H127" s="809">
        <v>1.52</v>
      </c>
      <c r="I127" s="331">
        <v>1</v>
      </c>
      <c r="J127" s="320">
        <f>+G127/F127</f>
        <v>0.12</v>
      </c>
      <c r="K127" s="320">
        <f t="shared" ref="K127:K129" si="93">+H127/F127</f>
        <v>0.30399999999999999</v>
      </c>
      <c r="L127" s="320">
        <f t="shared" si="77"/>
        <v>0.2</v>
      </c>
      <c r="M127" s="321">
        <f>+(G127/F127)*E127</f>
        <v>3.5999999999999997E-2</v>
      </c>
      <c r="N127" s="321">
        <f t="shared" ref="N127:N129" si="94">+(H127/F127)*E127</f>
        <v>9.1199999999999989E-2</v>
      </c>
      <c r="O127" s="321"/>
      <c r="P127" s="316">
        <v>0.48</v>
      </c>
      <c r="Q127" s="317">
        <v>0</v>
      </c>
      <c r="R127" s="317">
        <v>0.24</v>
      </c>
      <c r="S127" s="317">
        <v>6.4000000000000001E-2</v>
      </c>
      <c r="T127" s="317">
        <v>9.9000000000000032E-2</v>
      </c>
      <c r="U127" s="317">
        <v>3.7999999999999978E-2</v>
      </c>
      <c r="V127" s="315">
        <f>+Q127+R127+S127+T127+U127</f>
        <v>0.441</v>
      </c>
      <c r="W127" s="322">
        <f>+V127+P127+AB127</f>
        <v>1.0310000000000001</v>
      </c>
      <c r="X127" s="1186">
        <v>0.11</v>
      </c>
      <c r="Y127" s="1092"/>
      <c r="Z127" s="1092"/>
      <c r="AA127" s="1092"/>
      <c r="AB127" s="1092">
        <f t="shared" ref="AB127:AB129" si="95">+X127+Y127+Z127+AA127</f>
        <v>0.11</v>
      </c>
      <c r="AC127" s="318">
        <f>+(P127/G127)</f>
        <v>0.8</v>
      </c>
      <c r="AD127" s="319">
        <f>+V127/H127</f>
        <v>0.29013157894736841</v>
      </c>
      <c r="AE127" s="319">
        <f>+AB127/I127</f>
        <v>0.11</v>
      </c>
      <c r="AF127" s="319">
        <f>+AC127*E127</f>
        <v>0.24</v>
      </c>
      <c r="AG127" s="319">
        <f>+AD127*E127</f>
        <v>8.7039473684210514E-2</v>
      </c>
      <c r="AH127" s="319">
        <f>+AE127*E127</f>
        <v>3.3000000000000002E-2</v>
      </c>
      <c r="AI127" s="319">
        <f>+P127/F127</f>
        <v>9.6000000000000002E-2</v>
      </c>
      <c r="AJ127" s="319">
        <v>0.1842</v>
      </c>
      <c r="AK127" s="319">
        <f t="shared" si="81"/>
        <v>0.20620000000000002</v>
      </c>
      <c r="AL127" s="319">
        <f>+AI127*E127</f>
        <v>2.8799999999999999E-2</v>
      </c>
      <c r="AM127" s="319">
        <f>+AJ127*E127</f>
        <v>5.5259999999999997E-2</v>
      </c>
      <c r="AN127" s="319">
        <f t="shared" ref="AN127:AN129" si="96">+AK127*E127</f>
        <v>6.1860000000000005E-2</v>
      </c>
      <c r="AO127" s="577" t="s">
        <v>1850</v>
      </c>
      <c r="AP127" s="579" t="s">
        <v>1901</v>
      </c>
      <c r="AQ127" s="579" t="s">
        <v>2264</v>
      </c>
      <c r="AR127" s="897" t="s">
        <v>2289</v>
      </c>
      <c r="AS127" s="897" t="s">
        <v>2402</v>
      </c>
      <c r="AT127" s="603" t="s">
        <v>2436</v>
      </c>
      <c r="AU127" s="644" t="s">
        <v>2517</v>
      </c>
      <c r="AV127" s="644" t="s">
        <v>1865</v>
      </c>
    </row>
    <row r="128" spans="1:48" ht="122.4" customHeight="1" thickBot="1" x14ac:dyDescent="0.45">
      <c r="A128" s="302"/>
      <c r="B128" s="1452" t="s">
        <v>558</v>
      </c>
      <c r="C128" s="1427" t="s">
        <v>559</v>
      </c>
      <c r="D128" s="350" t="s">
        <v>560</v>
      </c>
      <c r="E128" s="310">
        <v>0.5</v>
      </c>
      <c r="F128" s="311">
        <v>6</v>
      </c>
      <c r="G128" s="330">
        <v>0</v>
      </c>
      <c r="H128" s="809">
        <v>2</v>
      </c>
      <c r="I128" s="331">
        <v>2</v>
      </c>
      <c r="J128" s="356">
        <v>0</v>
      </c>
      <c r="K128" s="356">
        <f t="shared" si="93"/>
        <v>0.33333333333333331</v>
      </c>
      <c r="L128" s="356">
        <f>+I128/F128</f>
        <v>0.33333333333333331</v>
      </c>
      <c r="M128" s="321"/>
      <c r="N128" s="321">
        <f t="shared" si="94"/>
        <v>0.16666666666666666</v>
      </c>
      <c r="O128" s="321"/>
      <c r="P128" s="316"/>
      <c r="Q128" s="317">
        <v>0</v>
      </c>
      <c r="R128" s="317">
        <v>1.24</v>
      </c>
      <c r="S128" s="317">
        <v>0.03</v>
      </c>
      <c r="T128" s="317">
        <v>1.4E-2</v>
      </c>
      <c r="U128" s="317">
        <v>4.4999999999999998E-2</v>
      </c>
      <c r="V128" s="316">
        <v>1.3260000000000001</v>
      </c>
      <c r="W128" s="315">
        <f>+V128+P128+AB128</f>
        <v>1.371</v>
      </c>
      <c r="X128" s="527">
        <v>4.4999999999999998E-2</v>
      </c>
      <c r="Y128" s="331"/>
      <c r="Z128" s="331"/>
      <c r="AA128" s="331"/>
      <c r="AB128" s="331">
        <f t="shared" si="95"/>
        <v>4.4999999999999998E-2</v>
      </c>
      <c r="AC128" s="364"/>
      <c r="AD128" s="319">
        <f>+V128/H128</f>
        <v>0.66300000000000003</v>
      </c>
      <c r="AE128" s="319">
        <f>+AB128/I128</f>
        <v>2.2499999999999999E-2</v>
      </c>
      <c r="AF128" s="319"/>
      <c r="AG128" s="319">
        <f>+AD128*E128</f>
        <v>0.33150000000000002</v>
      </c>
      <c r="AH128" s="319">
        <f>+AE128*E128</f>
        <v>1.125E-2</v>
      </c>
      <c r="AI128" s="523">
        <v>0</v>
      </c>
      <c r="AJ128" s="319">
        <v>0.2215</v>
      </c>
      <c r="AK128" s="319">
        <f t="shared" si="81"/>
        <v>0.22850000000000001</v>
      </c>
      <c r="AL128" s="319"/>
      <c r="AM128" s="319">
        <f>+AJ128*E128</f>
        <v>0.11075</v>
      </c>
      <c r="AN128" s="319">
        <f t="shared" si="96"/>
        <v>0.11425</v>
      </c>
      <c r="AO128" s="577" t="s">
        <v>1850</v>
      </c>
      <c r="AP128" s="644" t="s">
        <v>1919</v>
      </c>
      <c r="AQ128" s="308"/>
      <c r="AR128" s="897" t="s">
        <v>2289</v>
      </c>
      <c r="AS128" s="574" t="s">
        <v>2369</v>
      </c>
      <c r="AT128" s="603" t="s">
        <v>2436</v>
      </c>
      <c r="AU128" s="603" t="s">
        <v>2493</v>
      </c>
      <c r="AV128" s="603" t="s">
        <v>1893</v>
      </c>
    </row>
    <row r="129" spans="1:48" ht="122.4" customHeight="1" thickBot="1" x14ac:dyDescent="0.45">
      <c r="A129" s="302"/>
      <c r="B129" s="1452" t="s">
        <v>561</v>
      </c>
      <c r="C129" s="1427" t="s">
        <v>562</v>
      </c>
      <c r="D129" s="613" t="s">
        <v>551</v>
      </c>
      <c r="E129" s="310">
        <v>0.2</v>
      </c>
      <c r="F129" s="311">
        <v>4</v>
      </c>
      <c r="G129" s="330">
        <v>1</v>
      </c>
      <c r="H129" s="809">
        <v>1</v>
      </c>
      <c r="I129" s="331">
        <v>1</v>
      </c>
      <c r="J129" s="320">
        <f>+G129/F129</f>
        <v>0.25</v>
      </c>
      <c r="K129" s="320">
        <f t="shared" si="93"/>
        <v>0.25</v>
      </c>
      <c r="L129" s="371">
        <f t="shared" si="77"/>
        <v>0.25</v>
      </c>
      <c r="M129" s="372">
        <f>+(G129/F129)*E129</f>
        <v>0.05</v>
      </c>
      <c r="N129" s="372">
        <f t="shared" si="94"/>
        <v>0.05</v>
      </c>
      <c r="O129" s="372"/>
      <c r="P129" s="358">
        <v>1</v>
      </c>
      <c r="Q129" s="522">
        <v>0</v>
      </c>
      <c r="R129" s="522">
        <v>0.22</v>
      </c>
      <c r="S129" s="522">
        <v>0.12</v>
      </c>
      <c r="T129" s="522">
        <v>0.21000000000000013</v>
      </c>
      <c r="U129" s="522">
        <v>0.45</v>
      </c>
      <c r="V129" s="358">
        <f t="shared" ref="V129" si="97">+Q129+R129+S129+T129+U129</f>
        <v>1</v>
      </c>
      <c r="W129" s="1108">
        <f t="shared" ref="W129" si="98">+V129+P129+AB129</f>
        <v>2.14</v>
      </c>
      <c r="X129" s="1187">
        <v>0.14000000000000001</v>
      </c>
      <c r="Y129" s="331"/>
      <c r="Z129" s="331"/>
      <c r="AA129" s="331"/>
      <c r="AB129" s="331">
        <f t="shared" si="95"/>
        <v>0.14000000000000001</v>
      </c>
      <c r="AC129" s="364">
        <f>+(P129/G129)</f>
        <v>1</v>
      </c>
      <c r="AD129" s="319">
        <f>+V129/H129</f>
        <v>1</v>
      </c>
      <c r="AE129" s="319">
        <f>+AB129/I129</f>
        <v>0.14000000000000001</v>
      </c>
      <c r="AF129" s="319">
        <f>+AC129*E129</f>
        <v>0.2</v>
      </c>
      <c r="AG129" s="319">
        <f>+AD129*E129</f>
        <v>0.2</v>
      </c>
      <c r="AH129" s="319">
        <f>+AE129*E129</f>
        <v>2.8000000000000004E-2</v>
      </c>
      <c r="AI129" s="319">
        <f>+P129/F129</f>
        <v>0.25</v>
      </c>
      <c r="AJ129" s="319">
        <v>0.47499999999999998</v>
      </c>
      <c r="AK129" s="319">
        <f t="shared" si="81"/>
        <v>0.53500000000000003</v>
      </c>
      <c r="AL129" s="319">
        <f>+AI129*E129</f>
        <v>0.05</v>
      </c>
      <c r="AM129" s="319">
        <f>+AJ129*E129</f>
        <v>9.5000000000000001E-2</v>
      </c>
      <c r="AN129" s="319">
        <f t="shared" si="96"/>
        <v>0.10700000000000001</v>
      </c>
      <c r="AO129" s="577" t="s">
        <v>1850</v>
      </c>
      <c r="AP129" s="579" t="s">
        <v>1901</v>
      </c>
      <c r="AQ129" s="579" t="s">
        <v>2264</v>
      </c>
      <c r="AR129" s="897" t="s">
        <v>2289</v>
      </c>
      <c r="AS129" s="897" t="s">
        <v>2402</v>
      </c>
      <c r="AT129" s="603" t="s">
        <v>2436</v>
      </c>
      <c r="AU129" s="644" t="s">
        <v>2517</v>
      </c>
      <c r="AV129" s="603" t="s">
        <v>1893</v>
      </c>
    </row>
    <row r="130" spans="1:48" ht="150.6" customHeight="1" thickBot="1" x14ac:dyDescent="0.55000000000000004">
      <c r="A130" s="302"/>
      <c r="B130" s="1553" t="s">
        <v>1664</v>
      </c>
      <c r="C130" s="1549"/>
      <c r="D130" s="359"/>
      <c r="E130" s="342">
        <v>0.15</v>
      </c>
      <c r="F130" s="343">
        <f>+E130*AF130</f>
        <v>0.12345</v>
      </c>
      <c r="G130" s="326"/>
      <c r="H130" s="1079">
        <f>+E130*AG130</f>
        <v>0.11834000541795665</v>
      </c>
      <c r="I130" s="304">
        <f>E130*AH130</f>
        <v>3.3128120566926475E-2</v>
      </c>
      <c r="J130" s="353">
        <f>+(J131+J140+J145+J148+J154+J160)/5</f>
        <v>0.22655250131358057</v>
      </c>
      <c r="K130" s="360">
        <f>+(K131+K140+K145+K148+K154+K160)/6</f>
        <v>0.40396612216494382</v>
      </c>
      <c r="L130" s="306">
        <f>+(L131+L140+L145+L148+L154+L160)/6</f>
        <v>0.29090906847916592</v>
      </c>
      <c r="M130" s="361">
        <f>+(M131+M140+M145+M148+M154+M160)/5</f>
        <v>0.2503571688629197</v>
      </c>
      <c r="N130" s="361">
        <f>+(N131+N140+N145+N148+N154+N160)/6</f>
        <v>0.34713104798682154</v>
      </c>
      <c r="O130" s="361"/>
      <c r="P130" s="331"/>
      <c r="Q130" s="331"/>
      <c r="R130" s="331"/>
      <c r="S130" s="331"/>
      <c r="T130" s="331"/>
      <c r="U130" s="965"/>
      <c r="V130" s="331"/>
      <c r="W130" s="331"/>
      <c r="X130" s="331"/>
      <c r="Y130" s="331"/>
      <c r="Z130" s="331"/>
      <c r="AA130" s="331"/>
      <c r="AB130" s="331"/>
      <c r="AC130" s="360">
        <f>+(AC131+AC140+AC145+AC148+AC154+AC160)/5</f>
        <v>0.95500000000000007</v>
      </c>
      <c r="AD130" s="306">
        <f>+(AD131+AD140+AD145+AD148+AD154+AD160)/6</f>
        <v>0.77299867847723902</v>
      </c>
      <c r="AE130" s="306">
        <f>+(AE131+AE140+AE145+AE148+AE154+AE160)/6</f>
        <v>0.18142593292338735</v>
      </c>
      <c r="AF130" s="361">
        <f>+AF131+AF140+AF145+AF148+AF154+AF160</f>
        <v>0.82300000000000006</v>
      </c>
      <c r="AG130" s="361">
        <f>+AG131+AG140+AG145+AG148+AG154+AG160</f>
        <v>0.78893336945304438</v>
      </c>
      <c r="AH130" s="361">
        <f>+AH131+AH140+AH145+AH148+AH154+AH160</f>
        <v>0.22085413711284319</v>
      </c>
      <c r="AI130" s="306">
        <f>(AI131+AI140+AI145+AI148+AI154+AI160)/5</f>
        <v>0.22548244629073172</v>
      </c>
      <c r="AJ130" s="306">
        <v>0.67944991280412703</v>
      </c>
      <c r="AK130" s="306">
        <f>(AK131+AK140+AK145+AK148+AK154+AK160)/5</f>
        <v>0.68989500147009652</v>
      </c>
      <c r="AL130" s="361">
        <f>(AL131+AL140+AL145+AL148+AL154+AL160)</f>
        <v>0.19044610699286973</v>
      </c>
      <c r="AM130" s="361">
        <f>(AM131*E131)+(AM140*E140)+(AM145*E145)+(AM148*E148)+(AM154*E154)+(AM160*E160)</f>
        <v>0.53503946200167696</v>
      </c>
      <c r="AN130" s="361">
        <f>(AN131*E131)+(AN140*E140)+(AN145*E145)+(AN148*E148)+(AN154*E154)+(AN160*E160)</f>
        <v>0.54159010199257906</v>
      </c>
      <c r="AO130" s="890"/>
      <c r="AP130" s="900" t="s">
        <v>1967</v>
      </c>
      <c r="AQ130" s="308"/>
      <c r="AR130" s="308"/>
      <c r="AS130" s="308"/>
      <c r="AT130" s="898"/>
      <c r="AU130" s="895"/>
      <c r="AV130" s="900" t="s">
        <v>1967</v>
      </c>
    </row>
    <row r="131" spans="1:48" ht="122.4" customHeight="1" thickBot="1" x14ac:dyDescent="0.55000000000000004">
      <c r="A131" s="302"/>
      <c r="B131" s="1548" t="s">
        <v>1665</v>
      </c>
      <c r="C131" s="1549"/>
      <c r="D131" s="620"/>
      <c r="E131" s="307">
        <v>0.3</v>
      </c>
      <c r="F131" s="325"/>
      <c r="G131" s="326"/>
      <c r="H131" s="1077"/>
      <c r="I131" s="308"/>
      <c r="J131" s="327">
        <f>+AVERAGE(J132:J139)</f>
        <v>0.10484583990123605</v>
      </c>
      <c r="K131" s="378">
        <f>+AVERAGE(K132:K139)</f>
        <v>0.29872381632299655</v>
      </c>
      <c r="L131" s="309">
        <f>+AVERAGE(L132:L139)</f>
        <v>0.17201691087499532</v>
      </c>
      <c r="M131" s="309">
        <f>+M132+M133+M134+M135+M136+M137+M138+M139</f>
        <v>6.9160844314598499E-2</v>
      </c>
      <c r="N131" s="309">
        <f>+N132+N133+N134+N135+N136+N137+N138+N139</f>
        <v>0.33846857958759585</v>
      </c>
      <c r="O131" s="309"/>
      <c r="P131" s="331"/>
      <c r="Q131" s="362"/>
      <c r="R131" s="362"/>
      <c r="S131" s="362"/>
      <c r="T131" s="362"/>
      <c r="U131" s="966"/>
      <c r="V131" s="362"/>
      <c r="W131" s="362"/>
      <c r="X131" s="362"/>
      <c r="Y131" s="362"/>
      <c r="Z131" s="362"/>
      <c r="AA131" s="362"/>
      <c r="AB131" s="362"/>
      <c r="AC131" s="524">
        <f>+AVERAGE(AC132:AC139)</f>
        <v>1.5</v>
      </c>
      <c r="AD131" s="348">
        <f>+AVERAGE(AD132:AD139)</f>
        <v>0.9198774509803922</v>
      </c>
      <c r="AE131" s="348">
        <f>+AVERAGE(AE132:AE139)</f>
        <v>0.30629580780624849</v>
      </c>
      <c r="AF131" s="348">
        <f>+(AF132+AF133+AF134+AF135+AF136+AF137+AF138+AF139)*E131</f>
        <v>0.435</v>
      </c>
      <c r="AG131" s="348">
        <f>+(AG132+AG133+AG134+AG135+AG136+AG137+AG138+AG139)*E131</f>
        <v>0.25696617647058823</v>
      </c>
      <c r="AH131" s="348">
        <f>+(AH132+AH133+AH134+AH135+AH136+AH137+AH138+AH139)*E131</f>
        <v>5.6152728331148705E-2</v>
      </c>
      <c r="AI131" s="309">
        <f>+AVERAGE(AI132:AI139)</f>
        <v>0.15817612034254738</v>
      </c>
      <c r="AJ131" s="309">
        <v>0.58670067513174595</v>
      </c>
      <c r="AK131" s="309">
        <f>+AVERAGE(AK132:AK139)</f>
        <v>0.60702611846159371</v>
      </c>
      <c r="AL131" s="309">
        <f>+(AL132+AL133+AL134+AL135+AL136+AL137+AL138+AL139)*E131</f>
        <v>3.4655134770647515E-2</v>
      </c>
      <c r="AM131" s="309">
        <f>+(AM132+AM133+AM134+AM135+AM136+AM137+AM138+AM139)</f>
        <v>0.51559228074633057</v>
      </c>
      <c r="AN131" s="309">
        <f>+(AN132+AN133+AN134+AN135+AN136+AN137+AN138+AN139)</f>
        <v>0.53086108071600402</v>
      </c>
      <c r="AO131" s="685"/>
      <c r="AP131" s="308"/>
      <c r="AQ131" s="308"/>
      <c r="AR131" s="308"/>
      <c r="AS131" s="308"/>
      <c r="AT131" s="898"/>
      <c r="AU131" s="895"/>
      <c r="AV131" s="898"/>
    </row>
    <row r="132" spans="1:48" ht="122.4" customHeight="1" thickBot="1" x14ac:dyDescent="0.45">
      <c r="A132" s="302"/>
      <c r="B132" s="1450" t="s">
        <v>563</v>
      </c>
      <c r="C132" s="1463" t="s">
        <v>564</v>
      </c>
      <c r="D132" s="489" t="s">
        <v>565</v>
      </c>
      <c r="E132" s="310">
        <v>0.15</v>
      </c>
      <c r="F132" s="311">
        <v>306059</v>
      </c>
      <c r="G132" s="718">
        <v>40000</v>
      </c>
      <c r="H132" s="809">
        <v>88693</v>
      </c>
      <c r="I132" s="331">
        <v>65498.5</v>
      </c>
      <c r="J132" s="320">
        <f t="shared" ref="J132:J137" si="99">+G132/F132</f>
        <v>0.13069375512564571</v>
      </c>
      <c r="K132" s="373">
        <f t="shared" ref="K132:K163" si="100">+H132/F132</f>
        <v>0.28979053058397236</v>
      </c>
      <c r="L132" s="374">
        <f t="shared" ref="L132:L139" si="101">+I132/F132</f>
        <v>0.21400612300242763</v>
      </c>
      <c r="M132" s="374">
        <f t="shared" ref="M132:M137" si="102">+(G132/F132)*E132</f>
        <v>1.9604063268846856E-2</v>
      </c>
      <c r="N132" s="374">
        <f t="shared" ref="N132:N163" si="103">+(H132/F132)*E132</f>
        <v>4.3468579587595854E-2</v>
      </c>
      <c r="O132" s="374"/>
      <c r="P132" s="363">
        <v>47985</v>
      </c>
      <c r="Q132" s="527">
        <v>3268</v>
      </c>
      <c r="R132" s="789">
        <v>18520</v>
      </c>
      <c r="S132" s="789">
        <v>87295</v>
      </c>
      <c r="T132" s="789">
        <v>17994</v>
      </c>
      <c r="U132" s="789">
        <f>17994-T132</f>
        <v>0</v>
      </c>
      <c r="V132" s="363">
        <f t="shared" ref="V132:V138" si="104">+Q132+R132+S132+T132+U132</f>
        <v>127077</v>
      </c>
      <c r="W132" s="363">
        <f>+V132+P132+AB132</f>
        <v>210413</v>
      </c>
      <c r="X132" s="789">
        <v>35351</v>
      </c>
      <c r="Y132" s="363"/>
      <c r="Z132" s="363"/>
      <c r="AA132" s="363"/>
      <c r="AB132" s="363">
        <f t="shared" ref="AB132:AB143" si="105">+X132+Y132+Z132+AA132</f>
        <v>35351</v>
      </c>
      <c r="AC132" s="364">
        <v>1</v>
      </c>
      <c r="AD132" s="319">
        <v>1</v>
      </c>
      <c r="AE132" s="319">
        <f t="shared" ref="AE132:AE163" si="106">+AB132/I132</f>
        <v>0.53972228371642095</v>
      </c>
      <c r="AF132" s="319">
        <f t="shared" ref="AF132:AF137" si="107">+AC132*E132</f>
        <v>0.15</v>
      </c>
      <c r="AG132" s="319">
        <f t="shared" ref="AG132:AG139" si="108">+AD132*E132</f>
        <v>0.15</v>
      </c>
      <c r="AH132" s="319">
        <f t="shared" ref="AH132:AH139" si="109">+AE132*E132</f>
        <v>8.0958342557463134E-2</v>
      </c>
      <c r="AI132" s="319">
        <f t="shared" ref="AI132:AI137" si="110">+P132/F132</f>
        <v>0.15678349599260274</v>
      </c>
      <c r="AJ132" s="319">
        <v>0.57198775399514468</v>
      </c>
      <c r="AK132" s="319">
        <f t="shared" ref="AK132:AK138" si="111">+W132/F132</f>
        <v>0.68749162743131231</v>
      </c>
      <c r="AL132" s="319">
        <f t="shared" ref="AL132:AL137" si="112">+AI132*E132</f>
        <v>2.3517524398890412E-2</v>
      </c>
      <c r="AM132" s="319">
        <f t="shared" ref="AM132:AM139" si="113">+AJ132*E132</f>
        <v>8.5798163099271699E-2</v>
      </c>
      <c r="AN132" s="319">
        <f t="shared" ref="AN132:AN163" si="114">+AK132*E132</f>
        <v>0.10312374411469684</v>
      </c>
      <c r="AO132" s="577" t="s">
        <v>1850</v>
      </c>
      <c r="AP132" s="574" t="s">
        <v>1892</v>
      </c>
      <c r="AQ132" s="574" t="s">
        <v>2264</v>
      </c>
      <c r="AR132" s="897" t="s">
        <v>2289</v>
      </c>
      <c r="AS132" s="897" t="s">
        <v>2402</v>
      </c>
      <c r="AT132" s="603" t="s">
        <v>2436</v>
      </c>
      <c r="AU132" s="603" t="s">
        <v>2493</v>
      </c>
      <c r="AV132" s="603" t="s">
        <v>1893</v>
      </c>
    </row>
    <row r="133" spans="1:48" ht="132.6" customHeight="1" thickBot="1" x14ac:dyDescent="0.45">
      <c r="A133" s="302"/>
      <c r="B133" s="1450" t="s">
        <v>566</v>
      </c>
      <c r="C133" s="1463" t="s">
        <v>567</v>
      </c>
      <c r="D133" s="565" t="s">
        <v>565</v>
      </c>
      <c r="E133" s="310">
        <v>0.1</v>
      </c>
      <c r="F133" s="311">
        <f>18*4</f>
        <v>72</v>
      </c>
      <c r="G133" s="330">
        <v>4</v>
      </c>
      <c r="H133" s="809">
        <v>18</v>
      </c>
      <c r="I133" s="331">
        <v>18</v>
      </c>
      <c r="J133" s="320">
        <f t="shared" si="99"/>
        <v>5.5555555555555552E-2</v>
      </c>
      <c r="K133" s="373">
        <f t="shared" si="100"/>
        <v>0.25</v>
      </c>
      <c r="L133" s="374">
        <f t="shared" si="101"/>
        <v>0.25</v>
      </c>
      <c r="M133" s="374">
        <f t="shared" si="102"/>
        <v>5.5555555555555558E-3</v>
      </c>
      <c r="N133" s="374">
        <f t="shared" si="103"/>
        <v>2.5000000000000001E-2</v>
      </c>
      <c r="O133" s="374"/>
      <c r="P133" s="366">
        <v>2</v>
      </c>
      <c r="Q133" s="527">
        <v>4</v>
      </c>
      <c r="R133" s="527">
        <v>14</v>
      </c>
      <c r="S133" s="527">
        <v>0</v>
      </c>
      <c r="T133" s="527">
        <v>10</v>
      </c>
      <c r="U133" s="527">
        <v>0</v>
      </c>
      <c r="V133" s="331">
        <f>+Q133+R133+S133+T133+U133</f>
        <v>28</v>
      </c>
      <c r="W133" s="363">
        <f>+V133+P133+AB133</f>
        <v>30</v>
      </c>
      <c r="X133" s="527">
        <v>0</v>
      </c>
      <c r="Y133" s="331"/>
      <c r="Z133" s="331"/>
      <c r="AA133" s="331"/>
      <c r="AB133" s="331">
        <f t="shared" si="105"/>
        <v>0</v>
      </c>
      <c r="AC133" s="364">
        <f>+(P133/G133)</f>
        <v>0.5</v>
      </c>
      <c r="AD133" s="319">
        <v>1</v>
      </c>
      <c r="AE133" s="319">
        <f t="shared" si="106"/>
        <v>0</v>
      </c>
      <c r="AF133" s="319">
        <f t="shared" si="107"/>
        <v>0.05</v>
      </c>
      <c r="AG133" s="319">
        <f t="shared" si="108"/>
        <v>0.1</v>
      </c>
      <c r="AH133" s="319">
        <f t="shared" si="109"/>
        <v>0</v>
      </c>
      <c r="AI133" s="319">
        <f t="shared" si="110"/>
        <v>2.7777777777777776E-2</v>
      </c>
      <c r="AJ133" s="319">
        <v>0.5</v>
      </c>
      <c r="AK133" s="319">
        <f>+AJ133+(AB133/I133)</f>
        <v>0.5</v>
      </c>
      <c r="AL133" s="319">
        <f t="shared" si="112"/>
        <v>2.7777777777777779E-3</v>
      </c>
      <c r="AM133" s="319">
        <f t="shared" si="113"/>
        <v>0.05</v>
      </c>
      <c r="AN133" s="319">
        <f t="shared" si="114"/>
        <v>0.05</v>
      </c>
      <c r="AO133" s="577" t="s">
        <v>1850</v>
      </c>
      <c r="AP133" s="901" t="s">
        <v>1925</v>
      </c>
      <c r="AQ133" s="902" t="s">
        <v>2295</v>
      </c>
      <c r="AR133" s="897" t="s">
        <v>2289</v>
      </c>
      <c r="AS133" s="578" t="s">
        <v>2406</v>
      </c>
      <c r="AT133" s="603" t="s">
        <v>2436</v>
      </c>
      <c r="AU133" s="603" t="s">
        <v>2493</v>
      </c>
      <c r="AV133" s="603" t="s">
        <v>1893</v>
      </c>
    </row>
    <row r="134" spans="1:48" ht="122.4" customHeight="1" thickBot="1" x14ac:dyDescent="0.45">
      <c r="A134" s="302"/>
      <c r="B134" s="788" t="s">
        <v>568</v>
      </c>
      <c r="C134" s="1206" t="s">
        <v>569</v>
      </c>
      <c r="D134" s="627" t="s">
        <v>565</v>
      </c>
      <c r="E134" s="310">
        <v>0.05</v>
      </c>
      <c r="F134" s="311">
        <f>1800*4</f>
        <v>7200</v>
      </c>
      <c r="G134" s="365">
        <v>375</v>
      </c>
      <c r="H134" s="809">
        <v>1800</v>
      </c>
      <c r="I134" s="331">
        <v>840</v>
      </c>
      <c r="J134" s="320">
        <f t="shared" si="99"/>
        <v>5.2083333333333336E-2</v>
      </c>
      <c r="K134" s="373">
        <f t="shared" si="100"/>
        <v>0.25</v>
      </c>
      <c r="L134" s="374">
        <f t="shared" si="101"/>
        <v>0.11666666666666667</v>
      </c>
      <c r="M134" s="374">
        <f t="shared" si="102"/>
        <v>2.604166666666667E-3</v>
      </c>
      <c r="N134" s="374">
        <f t="shared" si="103"/>
        <v>1.2500000000000001E-2</v>
      </c>
      <c r="O134" s="374"/>
      <c r="P134" s="366">
        <v>375</v>
      </c>
      <c r="Q134" s="527">
        <v>9</v>
      </c>
      <c r="R134" s="527">
        <v>591</v>
      </c>
      <c r="S134" s="527">
        <v>728</v>
      </c>
      <c r="T134" s="527">
        <v>205</v>
      </c>
      <c r="U134" s="527">
        <v>0</v>
      </c>
      <c r="V134" s="366">
        <f t="shared" si="104"/>
        <v>1533</v>
      </c>
      <c r="W134" s="363">
        <f t="shared" ref="W134:W136" si="115">+V134+P134+AB134</f>
        <v>1993</v>
      </c>
      <c r="X134" s="527">
        <v>85</v>
      </c>
      <c r="Y134" s="366"/>
      <c r="Z134" s="366"/>
      <c r="AA134" s="366"/>
      <c r="AB134" s="366">
        <f>+X134+Y134+Z134+AA134</f>
        <v>85</v>
      </c>
      <c r="AC134" s="364">
        <v>1</v>
      </c>
      <c r="AD134" s="319">
        <f>+V134/H134</f>
        <v>0.85166666666666668</v>
      </c>
      <c r="AE134" s="319">
        <f t="shared" si="106"/>
        <v>0.10119047619047619</v>
      </c>
      <c r="AF134" s="324">
        <f t="shared" si="107"/>
        <v>0.05</v>
      </c>
      <c r="AG134" s="324">
        <f t="shared" si="108"/>
        <v>4.2583333333333334E-2</v>
      </c>
      <c r="AH134" s="324">
        <f t="shared" si="109"/>
        <v>5.0595238095238098E-3</v>
      </c>
      <c r="AI134" s="319">
        <f t="shared" si="110"/>
        <v>5.2083333333333336E-2</v>
      </c>
      <c r="AJ134" s="319">
        <v>0.26500000000000001</v>
      </c>
      <c r="AK134" s="319">
        <f>+W134/F134</f>
        <v>0.27680555555555558</v>
      </c>
      <c r="AL134" s="319">
        <f t="shared" si="112"/>
        <v>2.604166666666667E-3</v>
      </c>
      <c r="AM134" s="319">
        <f t="shared" si="113"/>
        <v>1.3250000000000001E-2</v>
      </c>
      <c r="AN134" s="319">
        <f t="shared" si="114"/>
        <v>1.3840277777777779E-2</v>
      </c>
      <c r="AO134" s="577" t="s">
        <v>1850</v>
      </c>
      <c r="AP134" s="901" t="s">
        <v>1926</v>
      </c>
      <c r="AQ134" s="902" t="s">
        <v>2295</v>
      </c>
      <c r="AR134" s="897" t="s">
        <v>2289</v>
      </c>
      <c r="AS134" s="897" t="s">
        <v>2402</v>
      </c>
      <c r="AT134" s="603" t="s">
        <v>2436</v>
      </c>
      <c r="AU134" s="603" t="s">
        <v>2493</v>
      </c>
      <c r="AV134" s="578" t="s">
        <v>1865</v>
      </c>
    </row>
    <row r="135" spans="1:48" ht="122.4" customHeight="1" thickBot="1" x14ac:dyDescent="0.45">
      <c r="A135" s="302"/>
      <c r="B135" s="1450" t="s">
        <v>570</v>
      </c>
      <c r="C135" s="1463" t="s">
        <v>571</v>
      </c>
      <c r="D135" s="628" t="s">
        <v>565</v>
      </c>
      <c r="E135" s="310">
        <v>0.1</v>
      </c>
      <c r="F135" s="311">
        <v>1</v>
      </c>
      <c r="G135" s="1088">
        <v>0.2</v>
      </c>
      <c r="H135" s="809">
        <v>0.3</v>
      </c>
      <c r="I135" s="331">
        <v>0.25</v>
      </c>
      <c r="J135" s="371">
        <f t="shared" si="99"/>
        <v>0.2</v>
      </c>
      <c r="K135" s="373">
        <f t="shared" si="100"/>
        <v>0.3</v>
      </c>
      <c r="L135" s="374"/>
      <c r="M135" s="374">
        <f t="shared" si="102"/>
        <v>2.0000000000000004E-2</v>
      </c>
      <c r="N135" s="374">
        <f t="shared" si="103"/>
        <v>0.03</v>
      </c>
      <c r="O135" s="374"/>
      <c r="P135" s="366">
        <v>0.2</v>
      </c>
      <c r="Q135" s="527">
        <v>0</v>
      </c>
      <c r="R135" s="527">
        <v>0.625</v>
      </c>
      <c r="S135" s="527">
        <v>3.7499999999999999E-2</v>
      </c>
      <c r="T135" s="527">
        <v>0.54</v>
      </c>
      <c r="U135" s="527">
        <v>0</v>
      </c>
      <c r="V135" s="366">
        <f>+Q135+R135+S135+T135+U135-0.2</f>
        <v>1.0025000000000002</v>
      </c>
      <c r="W135" s="1111">
        <f>+V135+P135+AB135</f>
        <v>1.3325</v>
      </c>
      <c r="X135" s="527">
        <v>0.13</v>
      </c>
      <c r="Y135" s="366"/>
      <c r="Z135" s="366"/>
      <c r="AA135" s="366"/>
      <c r="AB135" s="366">
        <f t="shared" si="105"/>
        <v>0.13</v>
      </c>
      <c r="AC135" s="364">
        <f>+P135/G135</f>
        <v>1</v>
      </c>
      <c r="AD135" s="319">
        <v>1</v>
      </c>
      <c r="AE135" s="319">
        <f>+AB135/I135</f>
        <v>0.52</v>
      </c>
      <c r="AF135" s="319">
        <f t="shared" si="107"/>
        <v>0.1</v>
      </c>
      <c r="AG135" s="319">
        <f t="shared" si="108"/>
        <v>0.1</v>
      </c>
      <c r="AH135" s="319">
        <f t="shared" si="109"/>
        <v>5.2000000000000005E-2</v>
      </c>
      <c r="AI135" s="319">
        <f t="shared" si="110"/>
        <v>0.2</v>
      </c>
      <c r="AJ135" s="319">
        <v>1</v>
      </c>
      <c r="AK135" s="319">
        <v>1</v>
      </c>
      <c r="AL135" s="319">
        <f t="shared" si="112"/>
        <v>2.0000000000000004E-2</v>
      </c>
      <c r="AM135" s="319">
        <f t="shared" si="113"/>
        <v>0.1</v>
      </c>
      <c r="AN135" s="319">
        <f t="shared" si="114"/>
        <v>0.1</v>
      </c>
      <c r="AO135" s="577" t="s">
        <v>1850</v>
      </c>
      <c r="AP135" s="578" t="s">
        <v>1927</v>
      </c>
      <c r="AQ135" s="308"/>
      <c r="AR135" s="897" t="s">
        <v>2289</v>
      </c>
      <c r="AS135" s="897" t="s">
        <v>2402</v>
      </c>
      <c r="AT135" s="603" t="s">
        <v>2458</v>
      </c>
      <c r="AU135" s="603" t="s">
        <v>2493</v>
      </c>
      <c r="AV135" s="603" t="s">
        <v>1893</v>
      </c>
    </row>
    <row r="136" spans="1:48" ht="122.4" customHeight="1" thickBot="1" x14ac:dyDescent="0.45">
      <c r="A136" s="302"/>
      <c r="B136" s="1452" t="s">
        <v>572</v>
      </c>
      <c r="C136" s="1446" t="s">
        <v>573</v>
      </c>
      <c r="D136" s="628" t="s">
        <v>565</v>
      </c>
      <c r="E136" s="310">
        <v>0.05</v>
      </c>
      <c r="F136" s="311">
        <v>1</v>
      </c>
      <c r="G136" s="1088">
        <v>0.2</v>
      </c>
      <c r="H136" s="809">
        <v>0.3</v>
      </c>
      <c r="I136" s="331">
        <v>0.25</v>
      </c>
      <c r="J136" s="389">
        <f t="shared" si="99"/>
        <v>0.2</v>
      </c>
      <c r="K136" s="1084">
        <f t="shared" si="100"/>
        <v>0.3</v>
      </c>
      <c r="L136" s="374"/>
      <c r="M136" s="374">
        <f t="shared" si="102"/>
        <v>1.0000000000000002E-2</v>
      </c>
      <c r="N136" s="374">
        <f t="shared" si="103"/>
        <v>1.4999999999999999E-2</v>
      </c>
      <c r="O136" s="374"/>
      <c r="P136" s="366">
        <v>0.2</v>
      </c>
      <c r="Q136" s="527"/>
      <c r="R136" s="527">
        <v>0.625</v>
      </c>
      <c r="S136" s="527">
        <v>3.7499999999999999E-2</v>
      </c>
      <c r="T136" s="527">
        <v>0</v>
      </c>
      <c r="U136" s="527">
        <v>0.33750000000000002</v>
      </c>
      <c r="V136" s="366">
        <f t="shared" si="104"/>
        <v>1</v>
      </c>
      <c r="W136" s="1110">
        <f t="shared" si="115"/>
        <v>1.33</v>
      </c>
      <c r="X136" s="527">
        <v>0.13</v>
      </c>
      <c r="Y136" s="366"/>
      <c r="Z136" s="366"/>
      <c r="AA136" s="366"/>
      <c r="AB136" s="366">
        <f t="shared" si="105"/>
        <v>0.13</v>
      </c>
      <c r="AC136" s="364">
        <f>+P136/G136</f>
        <v>1</v>
      </c>
      <c r="AD136" s="319">
        <v>1</v>
      </c>
      <c r="AE136" s="319">
        <f t="shared" si="106"/>
        <v>0.52</v>
      </c>
      <c r="AF136" s="319">
        <f t="shared" si="107"/>
        <v>0.05</v>
      </c>
      <c r="AG136" s="319">
        <f t="shared" si="108"/>
        <v>0.05</v>
      </c>
      <c r="AH136" s="319">
        <f t="shared" si="109"/>
        <v>2.6000000000000002E-2</v>
      </c>
      <c r="AI136" s="319">
        <f t="shared" si="110"/>
        <v>0.2</v>
      </c>
      <c r="AJ136" s="319">
        <v>1</v>
      </c>
      <c r="AK136" s="319">
        <v>1</v>
      </c>
      <c r="AL136" s="319">
        <f t="shared" si="112"/>
        <v>1.0000000000000002E-2</v>
      </c>
      <c r="AM136" s="319">
        <f t="shared" si="113"/>
        <v>0.05</v>
      </c>
      <c r="AN136" s="319">
        <f t="shared" si="114"/>
        <v>0.05</v>
      </c>
      <c r="AO136" s="577" t="s">
        <v>1850</v>
      </c>
      <c r="AP136" s="578" t="s">
        <v>1927</v>
      </c>
      <c r="AQ136" s="308"/>
      <c r="AR136" s="897" t="s">
        <v>2289</v>
      </c>
      <c r="AS136" s="897" t="s">
        <v>2402</v>
      </c>
      <c r="AT136" s="603" t="s">
        <v>2471</v>
      </c>
      <c r="AU136" s="603" t="s">
        <v>2493</v>
      </c>
      <c r="AV136" s="603" t="s">
        <v>1893</v>
      </c>
    </row>
    <row r="137" spans="1:48" ht="122.4" customHeight="1" thickBot="1" x14ac:dyDescent="0.45">
      <c r="A137" s="302"/>
      <c r="B137" s="1452" t="s">
        <v>574</v>
      </c>
      <c r="C137" s="1446" t="s">
        <v>575</v>
      </c>
      <c r="D137" s="628" t="s">
        <v>565</v>
      </c>
      <c r="E137" s="310">
        <v>0.2</v>
      </c>
      <c r="F137" s="311">
        <f>34*4</f>
        <v>136</v>
      </c>
      <c r="G137" s="330">
        <v>6</v>
      </c>
      <c r="H137" s="330">
        <v>34</v>
      </c>
      <c r="I137" s="331">
        <v>19</v>
      </c>
      <c r="J137" s="389">
        <f t="shared" si="99"/>
        <v>4.4117647058823532E-2</v>
      </c>
      <c r="K137" s="1098">
        <f t="shared" si="100"/>
        <v>0.25</v>
      </c>
      <c r="L137" s="374">
        <f t="shared" si="101"/>
        <v>0.13970588235294118</v>
      </c>
      <c r="M137" s="374">
        <f t="shared" si="102"/>
        <v>8.8235294117647075E-3</v>
      </c>
      <c r="N137" s="374">
        <f t="shared" si="103"/>
        <v>0.05</v>
      </c>
      <c r="O137" s="374"/>
      <c r="P137" s="366">
        <v>30</v>
      </c>
      <c r="Q137" s="527">
        <v>1</v>
      </c>
      <c r="R137" s="527">
        <v>0</v>
      </c>
      <c r="S137" s="527">
        <v>19</v>
      </c>
      <c r="T137" s="527">
        <v>10</v>
      </c>
      <c r="U137" s="527">
        <v>0</v>
      </c>
      <c r="V137" s="331">
        <f t="shared" si="104"/>
        <v>30</v>
      </c>
      <c r="W137" s="363">
        <f>+V137+P137+AB137</f>
        <v>60</v>
      </c>
      <c r="X137" s="527">
        <v>0</v>
      </c>
      <c r="Y137" s="331"/>
      <c r="Z137" s="331"/>
      <c r="AA137" s="331"/>
      <c r="AB137" s="331">
        <f t="shared" si="105"/>
        <v>0</v>
      </c>
      <c r="AC137" s="364">
        <f>+(P137/G137)</f>
        <v>5</v>
      </c>
      <c r="AD137" s="319">
        <f>+V137/H137</f>
        <v>0.88235294117647056</v>
      </c>
      <c r="AE137" s="319">
        <f t="shared" si="106"/>
        <v>0</v>
      </c>
      <c r="AF137" s="319">
        <f t="shared" si="107"/>
        <v>1</v>
      </c>
      <c r="AG137" s="319">
        <f t="shared" si="108"/>
        <v>0.17647058823529413</v>
      </c>
      <c r="AH137" s="319">
        <f t="shared" si="109"/>
        <v>0</v>
      </c>
      <c r="AI137" s="319">
        <f t="shared" si="110"/>
        <v>0.22058823529411764</v>
      </c>
      <c r="AJ137" s="319">
        <v>0.47058823529411764</v>
      </c>
      <c r="AK137" s="319">
        <f t="shared" si="111"/>
        <v>0.44117647058823528</v>
      </c>
      <c r="AL137" s="319">
        <f t="shared" si="112"/>
        <v>4.4117647058823532E-2</v>
      </c>
      <c r="AM137" s="319">
        <f t="shared" si="113"/>
        <v>9.4117647058823528E-2</v>
      </c>
      <c r="AN137" s="319">
        <f t="shared" si="114"/>
        <v>8.8235294117647065E-2</v>
      </c>
      <c r="AO137" s="577" t="s">
        <v>1850</v>
      </c>
      <c r="AP137" s="901" t="s">
        <v>1926</v>
      </c>
      <c r="AQ137" s="902" t="s">
        <v>2295</v>
      </c>
      <c r="AR137" s="897" t="s">
        <v>2289</v>
      </c>
      <c r="AS137" s="897" t="s">
        <v>2402</v>
      </c>
      <c r="AT137" s="603" t="s">
        <v>2436</v>
      </c>
      <c r="AU137" s="603" t="s">
        <v>2493</v>
      </c>
      <c r="AV137" s="603" t="s">
        <v>1893</v>
      </c>
    </row>
    <row r="138" spans="1:48" ht="122.4" customHeight="1" thickBot="1" x14ac:dyDescent="0.45">
      <c r="A138" s="302"/>
      <c r="B138" s="1452" t="s">
        <v>576</v>
      </c>
      <c r="C138" s="1446" t="s">
        <v>577</v>
      </c>
      <c r="D138" s="628" t="s">
        <v>565</v>
      </c>
      <c r="E138" s="310">
        <v>0.3</v>
      </c>
      <c r="F138" s="311">
        <v>2</v>
      </c>
      <c r="G138" s="330">
        <v>0</v>
      </c>
      <c r="H138" s="809">
        <v>1</v>
      </c>
      <c r="I138" s="331">
        <v>0</v>
      </c>
      <c r="J138" s="382"/>
      <c r="K138" s="1083">
        <f t="shared" si="100"/>
        <v>0.5</v>
      </c>
      <c r="L138" s="374"/>
      <c r="M138" s="374"/>
      <c r="N138" s="374">
        <f t="shared" si="103"/>
        <v>0.15</v>
      </c>
      <c r="O138" s="374"/>
      <c r="P138" s="331"/>
      <c r="Q138" s="527">
        <v>0.57499999999999996</v>
      </c>
      <c r="R138" s="527">
        <v>0.05</v>
      </c>
      <c r="S138" s="527">
        <v>0</v>
      </c>
      <c r="T138" s="527"/>
      <c r="U138" s="527"/>
      <c r="V138" s="331">
        <f t="shared" si="104"/>
        <v>0.625</v>
      </c>
      <c r="W138" s="331">
        <f>+V138+P138+AB138</f>
        <v>0.625</v>
      </c>
      <c r="X138" s="527"/>
      <c r="Y138" s="331"/>
      <c r="Z138" s="331"/>
      <c r="AA138" s="331"/>
      <c r="AB138" s="331">
        <f t="shared" si="105"/>
        <v>0</v>
      </c>
      <c r="AC138" s="364"/>
      <c r="AD138" s="319">
        <f>+V138/H138</f>
        <v>0.625</v>
      </c>
      <c r="AE138" s="319"/>
      <c r="AF138" s="319"/>
      <c r="AG138" s="319">
        <f t="shared" si="108"/>
        <v>0.1875</v>
      </c>
      <c r="AH138" s="319"/>
      <c r="AI138" s="319"/>
      <c r="AJ138" s="319">
        <v>0.3125</v>
      </c>
      <c r="AK138" s="319">
        <f t="shared" si="111"/>
        <v>0.3125</v>
      </c>
      <c r="AL138" s="319"/>
      <c r="AM138" s="319">
        <f t="shared" si="113"/>
        <v>9.375E-2</v>
      </c>
      <c r="AN138" s="319">
        <f t="shared" si="114"/>
        <v>9.375E-2</v>
      </c>
      <c r="AO138" s="577" t="s">
        <v>1850</v>
      </c>
      <c r="AP138" s="574" t="s">
        <v>1892</v>
      </c>
      <c r="AQ138" s="574" t="s">
        <v>2264</v>
      </c>
      <c r="AR138" s="897" t="s">
        <v>2289</v>
      </c>
      <c r="AS138" s="578" t="s">
        <v>2407</v>
      </c>
      <c r="AT138" s="578" t="s">
        <v>2459</v>
      </c>
      <c r="AU138" s="578" t="s">
        <v>2498</v>
      </c>
      <c r="AV138" s="578" t="s">
        <v>1865</v>
      </c>
    </row>
    <row r="139" spans="1:48" ht="122.4" customHeight="1" thickBot="1" x14ac:dyDescent="0.45">
      <c r="A139" s="302"/>
      <c r="B139" s="788" t="s">
        <v>578</v>
      </c>
      <c r="C139" s="1206" t="s">
        <v>579</v>
      </c>
      <c r="D139" s="629" t="s">
        <v>565</v>
      </c>
      <c r="E139" s="310">
        <v>0.05</v>
      </c>
      <c r="F139" s="311">
        <f>34*4</f>
        <v>136</v>
      </c>
      <c r="G139" s="330">
        <v>7</v>
      </c>
      <c r="H139" s="809">
        <v>34</v>
      </c>
      <c r="I139" s="331">
        <v>19</v>
      </c>
      <c r="J139" s="320">
        <f>+G139/F139</f>
        <v>5.1470588235294115E-2</v>
      </c>
      <c r="K139" s="373">
        <f t="shared" si="100"/>
        <v>0.25</v>
      </c>
      <c r="L139" s="374">
        <f t="shared" si="101"/>
        <v>0.13970588235294118</v>
      </c>
      <c r="M139" s="374">
        <f>+(G139/F139)*E139</f>
        <v>2.5735294117647058E-3</v>
      </c>
      <c r="N139" s="374">
        <f t="shared" si="103"/>
        <v>1.2500000000000001E-2</v>
      </c>
      <c r="O139" s="374"/>
      <c r="P139" s="331">
        <v>34</v>
      </c>
      <c r="Q139" s="527">
        <v>18</v>
      </c>
      <c r="R139" s="527">
        <v>2</v>
      </c>
      <c r="S139" s="527">
        <v>6</v>
      </c>
      <c r="T139" s="527">
        <v>18</v>
      </c>
      <c r="U139" s="527">
        <v>0</v>
      </c>
      <c r="V139" s="331">
        <f>+Q139+R139+S139+T139+U139</f>
        <v>44</v>
      </c>
      <c r="W139" s="331">
        <f>+V139+P139+AB139</f>
        <v>86.8</v>
      </c>
      <c r="X139" s="527">
        <v>8.8000000000000007</v>
      </c>
      <c r="Y139" s="331"/>
      <c r="Z139" s="331"/>
      <c r="AA139" s="331"/>
      <c r="AB139" s="331">
        <f t="shared" si="105"/>
        <v>8.8000000000000007</v>
      </c>
      <c r="AC139" s="364">
        <v>1</v>
      </c>
      <c r="AD139" s="319">
        <v>1</v>
      </c>
      <c r="AE139" s="319">
        <f t="shared" si="106"/>
        <v>0.46315789473684216</v>
      </c>
      <c r="AF139" s="319">
        <f>+AC139*E139</f>
        <v>0.05</v>
      </c>
      <c r="AG139" s="319">
        <f t="shared" si="108"/>
        <v>0.05</v>
      </c>
      <c r="AH139" s="319">
        <f t="shared" si="109"/>
        <v>2.315789473684211E-2</v>
      </c>
      <c r="AI139" s="319">
        <f>+P139/F139</f>
        <v>0.25</v>
      </c>
      <c r="AJ139" s="319">
        <v>0.57352941176470584</v>
      </c>
      <c r="AK139" s="319">
        <f>+W139/F139</f>
        <v>0.63823529411764701</v>
      </c>
      <c r="AL139" s="319">
        <f>+AI139*E139</f>
        <v>1.2500000000000001E-2</v>
      </c>
      <c r="AM139" s="319">
        <f t="shared" si="113"/>
        <v>2.8676470588235293E-2</v>
      </c>
      <c r="AN139" s="319">
        <f t="shared" si="114"/>
        <v>3.1911764705882355E-2</v>
      </c>
      <c r="AO139" s="577" t="s">
        <v>1850</v>
      </c>
      <c r="AP139" s="578" t="s">
        <v>1928</v>
      </c>
      <c r="AQ139" s="902" t="s">
        <v>2295</v>
      </c>
      <c r="AR139" s="897" t="s">
        <v>2289</v>
      </c>
      <c r="AS139" s="578" t="s">
        <v>2408</v>
      </c>
      <c r="AT139" s="898"/>
      <c r="AU139" s="603" t="s">
        <v>2493</v>
      </c>
      <c r="AV139" s="578" t="s">
        <v>1865</v>
      </c>
    </row>
    <row r="140" spans="1:48" ht="122.4" customHeight="1" thickBot="1" x14ac:dyDescent="0.55000000000000004">
      <c r="A140" s="302"/>
      <c r="B140" s="1548" t="s">
        <v>1666</v>
      </c>
      <c r="C140" s="1549"/>
      <c r="D140" s="619"/>
      <c r="E140" s="307">
        <v>0.1</v>
      </c>
      <c r="F140" s="311"/>
      <c r="G140" s="330"/>
      <c r="H140" s="809"/>
      <c r="I140" s="331"/>
      <c r="J140" s="327">
        <f>+AVERAGE(J141:J144)</f>
        <v>0.22499999999999998</v>
      </c>
      <c r="K140" s="378">
        <f>+AVERAGE(K141:K144)</f>
        <v>0.29166666666666663</v>
      </c>
      <c r="L140" s="309">
        <f>+AVERAGE(L141:L144)</f>
        <v>0.15</v>
      </c>
      <c r="M140" s="309">
        <f>+M141+M142+M143+M144</f>
        <v>0.23583333333333334</v>
      </c>
      <c r="N140" s="309">
        <f>+N141+N142+N143+N144</f>
        <v>0.27083333333333331</v>
      </c>
      <c r="O140" s="309"/>
      <c r="P140" s="331"/>
      <c r="Q140" s="362"/>
      <c r="R140" s="362"/>
      <c r="S140" s="362"/>
      <c r="T140" s="362"/>
      <c r="U140" s="362"/>
      <c r="V140" s="362"/>
      <c r="W140" s="362"/>
      <c r="X140" s="362"/>
      <c r="Y140" s="362"/>
      <c r="Z140" s="362"/>
      <c r="AA140" s="362"/>
      <c r="AB140" s="362"/>
      <c r="AC140" s="524">
        <f>+AVERAGE(AC141:AC144)</f>
        <v>0.75</v>
      </c>
      <c r="AD140" s="348">
        <f>+AVERAGE(AD141:AD144)</f>
        <v>1</v>
      </c>
      <c r="AE140" s="348">
        <f>+AVERAGE(AE141:AE144)</f>
        <v>0.26666666666666666</v>
      </c>
      <c r="AF140" s="348">
        <f>+(AF141+AF142+AF143+AF144)*E140</f>
        <v>9.0000000000000011E-2</v>
      </c>
      <c r="AG140" s="348">
        <f>+(AG141+AG142+AG143+AG144)*E140</f>
        <v>0.1</v>
      </c>
      <c r="AH140" s="348">
        <f>+(AH141+AH142+AH143+AH144)*E140</f>
        <v>1.6666666666666666E-2</v>
      </c>
      <c r="AI140" s="309">
        <f>+AVERAGE(AI141:AI144)</f>
        <v>0.36958333333333332</v>
      </c>
      <c r="AJ140" s="309">
        <v>0.98750000000000004</v>
      </c>
      <c r="AK140" s="309">
        <f>+AVERAGE(AK141:AK144)</f>
        <v>0.99</v>
      </c>
      <c r="AL140" s="309">
        <f>+(AL141+AL142+AL143+AL144)*E140</f>
        <v>4.7750000000000001E-2</v>
      </c>
      <c r="AM140" s="309">
        <f>+(AM141+AM142+AM143+AM144)</f>
        <v>0.98750000000000004</v>
      </c>
      <c r="AN140" s="309">
        <f>+(AN141+AN142+AN143+AN144)</f>
        <v>0.99</v>
      </c>
      <c r="AO140" s="685"/>
      <c r="AP140" s="308"/>
      <c r="AQ140" s="308"/>
      <c r="AR140" s="308"/>
      <c r="AS140" s="308"/>
      <c r="AT140" s="898"/>
      <c r="AU140" s="895"/>
      <c r="AV140" s="898"/>
    </row>
    <row r="141" spans="1:48" ht="122.4" customHeight="1" thickBot="1" x14ac:dyDescent="0.45">
      <c r="A141" s="302"/>
      <c r="B141" s="788" t="s">
        <v>580</v>
      </c>
      <c r="C141" s="409" t="s">
        <v>581</v>
      </c>
      <c r="D141" s="630" t="s">
        <v>565</v>
      </c>
      <c r="E141" s="310">
        <v>0.5</v>
      </c>
      <c r="F141" s="311">
        <v>1000</v>
      </c>
      <c r="G141" s="330">
        <v>250</v>
      </c>
      <c r="H141" s="809">
        <v>250</v>
      </c>
      <c r="I141" s="331">
        <v>250</v>
      </c>
      <c r="J141" s="320">
        <f>+G141/F141</f>
        <v>0.25</v>
      </c>
      <c r="K141" s="373">
        <f t="shared" si="100"/>
        <v>0.25</v>
      </c>
      <c r="L141" s="374"/>
      <c r="M141" s="374">
        <f>+(G141/F141)*E141</f>
        <v>0.125</v>
      </c>
      <c r="N141" s="374">
        <f t="shared" si="103"/>
        <v>0.125</v>
      </c>
      <c r="O141" s="374"/>
      <c r="P141" s="331">
        <v>565</v>
      </c>
      <c r="Q141" s="527">
        <v>186</v>
      </c>
      <c r="R141" s="527">
        <v>97</v>
      </c>
      <c r="S141" s="527">
        <v>259</v>
      </c>
      <c r="T141" s="527">
        <v>30</v>
      </c>
      <c r="U141" s="527">
        <v>0</v>
      </c>
      <c r="V141" s="331">
        <f>+Q141+R141+S141+T141+U141</f>
        <v>572</v>
      </c>
      <c r="W141" s="331">
        <f>+V141+P141+AB141</f>
        <v>1137</v>
      </c>
      <c r="X141" s="331"/>
      <c r="Y141" s="331"/>
      <c r="Z141" s="331"/>
      <c r="AA141" s="331"/>
      <c r="AB141" s="331">
        <f t="shared" si="105"/>
        <v>0</v>
      </c>
      <c r="AC141" s="364">
        <v>1</v>
      </c>
      <c r="AD141" s="319">
        <v>1</v>
      </c>
      <c r="AE141" s="319">
        <f t="shared" si="106"/>
        <v>0</v>
      </c>
      <c r="AF141" s="319">
        <f>+AC141*E141</f>
        <v>0.5</v>
      </c>
      <c r="AG141" s="319">
        <f>+AD141*E141</f>
        <v>0.5</v>
      </c>
      <c r="AH141" s="319">
        <f t="shared" ref="AH141:AH163" si="116">+AE141*E141</f>
        <v>0</v>
      </c>
      <c r="AI141" s="319">
        <f>+P141/F141</f>
        <v>0.56499999999999995</v>
      </c>
      <c r="AJ141" s="319">
        <v>1</v>
      </c>
      <c r="AK141" s="319">
        <v>1</v>
      </c>
      <c r="AL141" s="319">
        <f>+AI141*E141</f>
        <v>0.28249999999999997</v>
      </c>
      <c r="AM141" s="319">
        <f>+AJ141*E141</f>
        <v>0.5</v>
      </c>
      <c r="AN141" s="319">
        <f t="shared" si="114"/>
        <v>0.5</v>
      </c>
      <c r="AO141" s="577" t="s">
        <v>1850</v>
      </c>
      <c r="AP141" s="574" t="s">
        <v>1892</v>
      </c>
      <c r="AQ141" s="574" t="s">
        <v>2264</v>
      </c>
      <c r="AR141" s="897" t="s">
        <v>2289</v>
      </c>
      <c r="AS141" s="578" t="s">
        <v>2409</v>
      </c>
      <c r="AT141" s="603" t="s">
        <v>2471</v>
      </c>
      <c r="AU141" s="603" t="s">
        <v>2493</v>
      </c>
      <c r="AV141" s="578" t="s">
        <v>1865</v>
      </c>
    </row>
    <row r="142" spans="1:48" ht="122.4" customHeight="1" thickBot="1" x14ac:dyDescent="0.45">
      <c r="A142" s="302"/>
      <c r="B142" s="1450" t="s">
        <v>582</v>
      </c>
      <c r="C142" s="1427" t="s">
        <v>583</v>
      </c>
      <c r="D142" s="631" t="s">
        <v>565</v>
      </c>
      <c r="E142" s="336">
        <v>0.25</v>
      </c>
      <c r="F142" s="311">
        <v>100</v>
      </c>
      <c r="G142" s="330">
        <v>25</v>
      </c>
      <c r="H142" s="809">
        <v>25</v>
      </c>
      <c r="I142" s="331">
        <v>15</v>
      </c>
      <c r="J142" s="320">
        <f>+G142/F142</f>
        <v>0.25</v>
      </c>
      <c r="K142" s="373">
        <f t="shared" si="100"/>
        <v>0.25</v>
      </c>
      <c r="L142" s="374">
        <f>+I142/F142</f>
        <v>0.15</v>
      </c>
      <c r="M142" s="374">
        <f>+(G142/F142)*E142</f>
        <v>6.25E-2</v>
      </c>
      <c r="N142" s="374">
        <f t="shared" si="103"/>
        <v>6.25E-2</v>
      </c>
      <c r="O142" s="374"/>
      <c r="P142" s="331">
        <v>58</v>
      </c>
      <c r="Q142" s="527">
        <v>13</v>
      </c>
      <c r="R142" s="527">
        <v>1</v>
      </c>
      <c r="S142" s="527">
        <v>11</v>
      </c>
      <c r="T142" s="527">
        <v>12</v>
      </c>
      <c r="U142" s="527">
        <v>0</v>
      </c>
      <c r="V142" s="331">
        <f t="shared" ref="V142:V144" si="117">+Q142+R142+S142+T142+U142</f>
        <v>37</v>
      </c>
      <c r="W142" s="331">
        <f t="shared" ref="W142:W144" si="118">+V142+P142+AB142</f>
        <v>96</v>
      </c>
      <c r="X142" s="527">
        <v>1</v>
      </c>
      <c r="Y142" s="331"/>
      <c r="Z142" s="331"/>
      <c r="AA142" s="331"/>
      <c r="AB142" s="331">
        <f t="shared" si="105"/>
        <v>1</v>
      </c>
      <c r="AC142" s="364">
        <v>1</v>
      </c>
      <c r="AD142" s="319">
        <v>1</v>
      </c>
      <c r="AE142" s="319">
        <f t="shared" si="106"/>
        <v>6.6666666666666666E-2</v>
      </c>
      <c r="AF142" s="319">
        <f>+AC142*E142</f>
        <v>0.25</v>
      </c>
      <c r="AG142" s="319">
        <f>+AD142*E142</f>
        <v>0.25</v>
      </c>
      <c r="AH142" s="319">
        <f t="shared" si="116"/>
        <v>1.6666666666666666E-2</v>
      </c>
      <c r="AI142" s="319">
        <f>+P142/F142</f>
        <v>0.57999999999999996</v>
      </c>
      <c r="AJ142" s="319">
        <v>0.95</v>
      </c>
      <c r="AK142" s="319">
        <f>+W142/F142</f>
        <v>0.96</v>
      </c>
      <c r="AL142" s="319">
        <f>+AI142*E142</f>
        <v>0.14499999999999999</v>
      </c>
      <c r="AM142" s="319">
        <f>+AJ142*E142</f>
        <v>0.23749999999999999</v>
      </c>
      <c r="AN142" s="319">
        <f t="shared" si="114"/>
        <v>0.24</v>
      </c>
      <c r="AO142" s="577" t="s">
        <v>1850</v>
      </c>
      <c r="AP142" s="902" t="s">
        <v>1929</v>
      </c>
      <c r="AQ142" s="902" t="s">
        <v>2295</v>
      </c>
      <c r="AR142" s="897" t="s">
        <v>2289</v>
      </c>
      <c r="AS142" s="897" t="s">
        <v>2402</v>
      </c>
      <c r="AT142" s="603" t="s">
        <v>2436</v>
      </c>
      <c r="AU142" s="603" t="s">
        <v>2493</v>
      </c>
      <c r="AV142" s="603" t="s">
        <v>1893</v>
      </c>
    </row>
    <row r="143" spans="1:48" ht="122.4" customHeight="1" thickBot="1" x14ac:dyDescent="0.45">
      <c r="A143" s="302"/>
      <c r="B143" s="1450" t="s">
        <v>584</v>
      </c>
      <c r="C143" s="1430" t="s">
        <v>585</v>
      </c>
      <c r="D143" s="630" t="s">
        <v>565</v>
      </c>
      <c r="E143" s="310">
        <v>0.15</v>
      </c>
      <c r="F143" s="311">
        <v>6</v>
      </c>
      <c r="G143" s="330">
        <v>1</v>
      </c>
      <c r="H143" s="809">
        <v>2</v>
      </c>
      <c r="I143" s="331">
        <v>1</v>
      </c>
      <c r="J143" s="320">
        <f>+G143/F143</f>
        <v>0.16666666666666666</v>
      </c>
      <c r="K143" s="373">
        <f t="shared" si="100"/>
        <v>0.33333333333333331</v>
      </c>
      <c r="L143" s="374"/>
      <c r="M143" s="374">
        <f>+(G143/F143)*E143</f>
        <v>2.4999999999999998E-2</v>
      </c>
      <c r="N143" s="374">
        <f t="shared" si="103"/>
        <v>4.9999999999999996E-2</v>
      </c>
      <c r="O143" s="374"/>
      <c r="P143" s="331">
        <v>2</v>
      </c>
      <c r="Q143" s="527">
        <v>1</v>
      </c>
      <c r="R143" s="527">
        <v>1</v>
      </c>
      <c r="S143" s="527">
        <v>12</v>
      </c>
      <c r="T143" s="527">
        <v>4</v>
      </c>
      <c r="U143" s="527">
        <v>0</v>
      </c>
      <c r="V143" s="331">
        <f t="shared" si="117"/>
        <v>18</v>
      </c>
      <c r="W143" s="331">
        <f t="shared" si="118"/>
        <v>26</v>
      </c>
      <c r="X143" s="527">
        <v>6</v>
      </c>
      <c r="Y143" s="331"/>
      <c r="Z143" s="331"/>
      <c r="AA143" s="331"/>
      <c r="AB143" s="331">
        <f t="shared" si="105"/>
        <v>6</v>
      </c>
      <c r="AC143" s="364">
        <v>1</v>
      </c>
      <c r="AD143" s="319">
        <v>1</v>
      </c>
      <c r="AE143" s="319">
        <v>1</v>
      </c>
      <c r="AF143" s="319">
        <f>+AC143*E143</f>
        <v>0.15</v>
      </c>
      <c r="AG143" s="319">
        <f>+AD143*E143</f>
        <v>0.15</v>
      </c>
      <c r="AH143" s="319">
        <f t="shared" si="116"/>
        <v>0.15</v>
      </c>
      <c r="AI143" s="319">
        <f>+P143/F143</f>
        <v>0.33333333333333331</v>
      </c>
      <c r="AJ143" s="319">
        <v>1</v>
      </c>
      <c r="AK143" s="319">
        <v>1</v>
      </c>
      <c r="AL143" s="319">
        <f>+AI143*E143</f>
        <v>4.9999999999999996E-2</v>
      </c>
      <c r="AM143" s="319">
        <f>+AJ143*E143</f>
        <v>0.15</v>
      </c>
      <c r="AN143" s="319">
        <f t="shared" si="114"/>
        <v>0.15</v>
      </c>
      <c r="AO143" s="577" t="s">
        <v>1850</v>
      </c>
      <c r="AP143" s="574" t="s">
        <v>1892</v>
      </c>
      <c r="AQ143" s="574" t="s">
        <v>2264</v>
      </c>
      <c r="AR143" s="897" t="s">
        <v>2289</v>
      </c>
      <c r="AS143" s="897" t="s">
        <v>2402</v>
      </c>
      <c r="AT143" s="897" t="s">
        <v>2402</v>
      </c>
      <c r="AU143" s="603" t="s">
        <v>2493</v>
      </c>
      <c r="AV143" s="603" t="s">
        <v>1893</v>
      </c>
    </row>
    <row r="144" spans="1:48" ht="122.4" customHeight="1" thickBot="1" x14ac:dyDescent="0.45">
      <c r="A144" s="302"/>
      <c r="B144" s="1450" t="s">
        <v>586</v>
      </c>
      <c r="C144" s="1430" t="s">
        <v>587</v>
      </c>
      <c r="D144" s="630" t="s">
        <v>565</v>
      </c>
      <c r="E144" s="310">
        <v>0.1</v>
      </c>
      <c r="F144" s="311">
        <v>150</v>
      </c>
      <c r="G144" s="330">
        <v>35</v>
      </c>
      <c r="H144" s="809">
        <v>50</v>
      </c>
      <c r="I144" s="331">
        <v>25</v>
      </c>
      <c r="J144" s="320">
        <f>+G144/F144</f>
        <v>0.23333333333333334</v>
      </c>
      <c r="K144" s="373">
        <f t="shared" si="100"/>
        <v>0.33333333333333331</v>
      </c>
      <c r="L144" s="374"/>
      <c r="M144" s="374">
        <f>+(G144/F144)*E144</f>
        <v>2.3333333333333334E-2</v>
      </c>
      <c r="N144" s="374">
        <f t="shared" si="103"/>
        <v>3.3333333333333333E-2</v>
      </c>
      <c r="O144" s="374"/>
      <c r="P144" s="331">
        <v>0</v>
      </c>
      <c r="Q144" s="527">
        <v>0</v>
      </c>
      <c r="R144" s="527">
        <v>120</v>
      </c>
      <c r="S144" s="527">
        <v>0</v>
      </c>
      <c r="T144" s="527">
        <v>60</v>
      </c>
      <c r="U144" s="527">
        <v>0</v>
      </c>
      <c r="V144" s="331">
        <f t="shared" si="117"/>
        <v>180</v>
      </c>
      <c r="W144" s="331">
        <f t="shared" si="118"/>
        <v>180</v>
      </c>
      <c r="X144" s="527">
        <v>0</v>
      </c>
      <c r="Y144" s="331"/>
      <c r="Z144" s="331"/>
      <c r="AA144" s="331"/>
      <c r="AB144" s="331">
        <f>+X144+Y144+Z144+AA144</f>
        <v>0</v>
      </c>
      <c r="AC144" s="384">
        <f>+(P144/G144)</f>
        <v>0</v>
      </c>
      <c r="AD144" s="319">
        <v>1</v>
      </c>
      <c r="AE144" s="319">
        <f t="shared" si="106"/>
        <v>0</v>
      </c>
      <c r="AF144" s="319">
        <f>+AC144*E144</f>
        <v>0</v>
      </c>
      <c r="AG144" s="319">
        <f>+AD144*E144</f>
        <v>0.1</v>
      </c>
      <c r="AH144" s="319">
        <f t="shared" si="116"/>
        <v>0</v>
      </c>
      <c r="AI144" s="319">
        <f>+P144/F144</f>
        <v>0</v>
      </c>
      <c r="AJ144" s="319">
        <v>1</v>
      </c>
      <c r="AK144" s="319">
        <v>1</v>
      </c>
      <c r="AL144" s="319">
        <f>+AI144*E144</f>
        <v>0</v>
      </c>
      <c r="AM144" s="319">
        <f>+AJ144*E144</f>
        <v>0.1</v>
      </c>
      <c r="AN144" s="319">
        <f t="shared" si="114"/>
        <v>0.1</v>
      </c>
      <c r="AO144" s="577" t="s">
        <v>1850</v>
      </c>
      <c r="AP144" s="574" t="s">
        <v>1892</v>
      </c>
      <c r="AQ144" s="574" t="s">
        <v>2264</v>
      </c>
      <c r="AR144" s="897" t="s">
        <v>2289</v>
      </c>
      <c r="AS144" s="897" t="s">
        <v>2402</v>
      </c>
      <c r="AT144" s="897" t="s">
        <v>2458</v>
      </c>
      <c r="AU144" s="603" t="s">
        <v>2493</v>
      </c>
      <c r="AV144" s="603" t="s">
        <v>1893</v>
      </c>
    </row>
    <row r="145" spans="1:48" ht="122.4" customHeight="1" thickBot="1" x14ac:dyDescent="0.55000000000000004">
      <c r="A145" s="302"/>
      <c r="B145" s="1548" t="s">
        <v>1667</v>
      </c>
      <c r="C145" s="1549"/>
      <c r="D145" s="350"/>
      <c r="E145" s="307">
        <v>0.1</v>
      </c>
      <c r="F145" s="311"/>
      <c r="G145" s="330"/>
      <c r="H145" s="809"/>
      <c r="I145" s="331"/>
      <c r="J145" s="810">
        <f>+AVERAGE(J146:J147)</f>
        <v>0.15208333333333332</v>
      </c>
      <c r="K145" s="327">
        <f>+AVERAGE(K146:K147)</f>
        <v>0.25</v>
      </c>
      <c r="L145" s="1473">
        <f>+AVERAGE(L146:L147)</f>
        <v>0.25</v>
      </c>
      <c r="M145" s="309">
        <f>+M146+M147</f>
        <v>0.24379166666666666</v>
      </c>
      <c r="N145" s="309">
        <f>+N146+N147</f>
        <v>0.25</v>
      </c>
      <c r="O145" s="309"/>
      <c r="P145" s="331"/>
      <c r="Q145" s="362"/>
      <c r="R145" s="362"/>
      <c r="S145" s="362"/>
      <c r="T145" s="362"/>
      <c r="U145" s="362"/>
      <c r="V145" s="362"/>
      <c r="W145" s="362"/>
      <c r="X145" s="362"/>
      <c r="Y145" s="362"/>
      <c r="Z145" s="362"/>
      <c r="AA145" s="362"/>
      <c r="AB145" s="362"/>
      <c r="AC145" s="1099">
        <f>+AVERAGE(AC146:AC148)</f>
        <v>1</v>
      </c>
      <c r="AD145" s="524">
        <f>+AVERAGE(AD146:AD148)</f>
        <v>0.94944444444444454</v>
      </c>
      <c r="AE145" s="348">
        <f>+AVERAGE(AE146:AE148)</f>
        <v>7.489828076685219E-2</v>
      </c>
      <c r="AF145" s="348">
        <f>+(AF146+AF147)*E145</f>
        <v>0.1</v>
      </c>
      <c r="AG145" s="348">
        <f>+(AG146+AG147)*E145</f>
        <v>0.1</v>
      </c>
      <c r="AH145" s="348">
        <f>+(AH146+AH147)*E145</f>
        <v>0</v>
      </c>
      <c r="AI145" s="309">
        <f>+AVERAGE(AI146:AI147)</f>
        <v>0.1892361111111111</v>
      </c>
      <c r="AJ145" s="309">
        <v>0.67138888888888892</v>
      </c>
      <c r="AK145" s="309">
        <f>+AVERAGE(AK146:AK147)</f>
        <v>0.67138888888888892</v>
      </c>
      <c r="AL145" s="309">
        <f>+(AL146+AL147)*E145</f>
        <v>2.5790972222222222E-2</v>
      </c>
      <c r="AM145" s="309">
        <f>+(AM146+AM147)</f>
        <v>0.59612777777777781</v>
      </c>
      <c r="AN145" s="309">
        <f>+(AN146+AN147)</f>
        <v>0.59612777777777781</v>
      </c>
      <c r="AO145" s="685"/>
      <c r="AP145" s="308"/>
      <c r="AQ145" s="308"/>
      <c r="AR145" s="308"/>
      <c r="AS145" s="308"/>
      <c r="AT145" s="898"/>
      <c r="AU145" s="895"/>
      <c r="AV145" s="898"/>
    </row>
    <row r="146" spans="1:48" ht="122.4" customHeight="1" thickBot="1" x14ac:dyDescent="0.45">
      <c r="A146" s="302"/>
      <c r="B146" s="1450" t="s">
        <v>588</v>
      </c>
      <c r="C146" s="1430" t="s">
        <v>589</v>
      </c>
      <c r="D146" s="630" t="s">
        <v>565</v>
      </c>
      <c r="E146" s="310">
        <v>0.19</v>
      </c>
      <c r="F146" s="311">
        <f>1800*4</f>
        <v>7200</v>
      </c>
      <c r="G146" s="330">
        <v>30</v>
      </c>
      <c r="H146" s="330">
        <v>1800</v>
      </c>
      <c r="I146" s="331">
        <v>1800</v>
      </c>
      <c r="J146" s="389">
        <f>+G146/F146</f>
        <v>4.1666666666666666E-3</v>
      </c>
      <c r="K146" s="320">
        <f t="shared" si="100"/>
        <v>0.25</v>
      </c>
      <c r="L146" s="373">
        <f>+I146/F146</f>
        <v>0.25</v>
      </c>
      <c r="M146" s="374">
        <f>+(G146/F146)*E146</f>
        <v>7.9166666666666665E-4</v>
      </c>
      <c r="N146" s="374">
        <f t="shared" si="103"/>
        <v>4.7500000000000001E-2</v>
      </c>
      <c r="O146" s="374"/>
      <c r="P146" s="331">
        <v>565</v>
      </c>
      <c r="Q146" s="527">
        <v>0</v>
      </c>
      <c r="R146" s="527">
        <v>0</v>
      </c>
      <c r="S146" s="527">
        <v>2756</v>
      </c>
      <c r="T146" s="527">
        <v>0</v>
      </c>
      <c r="U146" s="527">
        <v>0</v>
      </c>
      <c r="V146" s="331">
        <f>+Q146+R146+S146+T146+U146</f>
        <v>2756</v>
      </c>
      <c r="W146" s="331">
        <f>+V146+P146+2502+AB146-115</f>
        <v>5708</v>
      </c>
      <c r="X146" s="527"/>
      <c r="Y146" s="331"/>
      <c r="Z146" s="331"/>
      <c r="AA146" s="331"/>
      <c r="AB146" s="331">
        <f t="shared" ref="AB146:AB163" si="119">+X146+Y146+Z146+AA146</f>
        <v>0</v>
      </c>
      <c r="AC146" s="525">
        <v>1</v>
      </c>
      <c r="AD146" s="319">
        <v>1</v>
      </c>
      <c r="AE146" s="319">
        <f t="shared" si="106"/>
        <v>0</v>
      </c>
      <c r="AF146" s="319">
        <f>+AC146*E146</f>
        <v>0.19</v>
      </c>
      <c r="AG146" s="319">
        <f>+AD146*E146</f>
        <v>0.19</v>
      </c>
      <c r="AH146" s="319">
        <f t="shared" si="116"/>
        <v>0</v>
      </c>
      <c r="AI146" s="319">
        <f>+P146/F146</f>
        <v>7.8472222222222221E-2</v>
      </c>
      <c r="AJ146" s="319">
        <v>0.7927777777777778</v>
      </c>
      <c r="AK146" s="319">
        <f t="shared" ref="AK146:AK163" si="120">+W146/F146</f>
        <v>0.7927777777777778</v>
      </c>
      <c r="AL146" s="319">
        <f>+AI146*E146</f>
        <v>1.4909722222222222E-2</v>
      </c>
      <c r="AM146" s="319">
        <f>+AJ146*E146</f>
        <v>0.15062777777777778</v>
      </c>
      <c r="AN146" s="319">
        <f t="shared" si="114"/>
        <v>0.15062777777777778</v>
      </c>
      <c r="AO146" s="577" t="s">
        <v>1850</v>
      </c>
      <c r="AP146" s="578" t="s">
        <v>1929</v>
      </c>
      <c r="AQ146" s="574" t="s">
        <v>2264</v>
      </c>
      <c r="AR146" s="902" t="s">
        <v>1929</v>
      </c>
      <c r="AS146" s="902" t="s">
        <v>2410</v>
      </c>
      <c r="AT146" s="897" t="s">
        <v>2402</v>
      </c>
      <c r="AU146" s="603" t="s">
        <v>2493</v>
      </c>
      <c r="AV146" s="578" t="s">
        <v>1865</v>
      </c>
    </row>
    <row r="147" spans="1:48" ht="122.4" customHeight="1" thickBot="1" x14ac:dyDescent="0.45">
      <c r="A147" s="302"/>
      <c r="B147" s="1450" t="s">
        <v>590</v>
      </c>
      <c r="C147" s="1430" t="s">
        <v>591</v>
      </c>
      <c r="D147" s="632" t="s">
        <v>565</v>
      </c>
      <c r="E147" s="310">
        <v>0.81</v>
      </c>
      <c r="F147" s="311">
        <v>1</v>
      </c>
      <c r="G147" s="330">
        <v>0.3</v>
      </c>
      <c r="H147" s="809">
        <v>0.25</v>
      </c>
      <c r="I147" s="331">
        <v>0.25</v>
      </c>
      <c r="J147" s="382">
        <f>+G147/F147</f>
        <v>0.3</v>
      </c>
      <c r="K147" s="320">
        <f t="shared" si="100"/>
        <v>0.25</v>
      </c>
      <c r="L147" s="373">
        <f t="shared" ref="L147:L163" si="121">+I147/F147</f>
        <v>0.25</v>
      </c>
      <c r="M147" s="374">
        <f>+(G147/F147)*E147</f>
        <v>0.24299999999999999</v>
      </c>
      <c r="N147" s="374">
        <f t="shared" si="103"/>
        <v>0.20250000000000001</v>
      </c>
      <c r="O147" s="374"/>
      <c r="P147" s="331">
        <v>0.3</v>
      </c>
      <c r="Q147" s="527">
        <v>6.25E-2</v>
      </c>
      <c r="R147" s="527">
        <v>0.185</v>
      </c>
      <c r="S147" s="527">
        <v>0</v>
      </c>
      <c r="T147" s="527">
        <v>0</v>
      </c>
      <c r="U147" s="527">
        <v>2.5000000000000001E-3</v>
      </c>
      <c r="V147" s="331">
        <f>+Q147+R147+S147+T147+U147</f>
        <v>0.25</v>
      </c>
      <c r="W147" s="331">
        <f>+V147+P147+AB147</f>
        <v>0.55000000000000004</v>
      </c>
      <c r="X147" s="527">
        <v>0</v>
      </c>
      <c r="Y147" s="331"/>
      <c r="Z147" s="331"/>
      <c r="AA147" s="331"/>
      <c r="AB147" s="331">
        <f t="shared" si="119"/>
        <v>0</v>
      </c>
      <c r="AC147" s="364">
        <v>1</v>
      </c>
      <c r="AD147" s="319">
        <f>+V147/H147</f>
        <v>1</v>
      </c>
      <c r="AE147" s="319">
        <f t="shared" si="106"/>
        <v>0</v>
      </c>
      <c r="AF147" s="319">
        <f>+AC147*E147</f>
        <v>0.81</v>
      </c>
      <c r="AG147" s="319">
        <f>+AD147*E147</f>
        <v>0.81</v>
      </c>
      <c r="AH147" s="319">
        <f t="shared" si="116"/>
        <v>0</v>
      </c>
      <c r="AI147" s="319">
        <f>+P147/F147</f>
        <v>0.3</v>
      </c>
      <c r="AJ147" s="319">
        <v>0.55000000000000004</v>
      </c>
      <c r="AK147" s="319">
        <f t="shared" si="120"/>
        <v>0.55000000000000004</v>
      </c>
      <c r="AL147" s="319">
        <f>+AI147*E147</f>
        <v>0.24299999999999999</v>
      </c>
      <c r="AM147" s="319">
        <f>+AJ147*E147</f>
        <v>0.44550000000000006</v>
      </c>
      <c r="AN147" s="319">
        <f t="shared" si="114"/>
        <v>0.44550000000000006</v>
      </c>
      <c r="AO147" s="577" t="s">
        <v>1850</v>
      </c>
      <c r="AP147" s="574" t="s">
        <v>1892</v>
      </c>
      <c r="AQ147" s="574" t="s">
        <v>2264</v>
      </c>
      <c r="AR147" s="897" t="s">
        <v>2289</v>
      </c>
      <c r="AS147" s="897" t="s">
        <v>2402</v>
      </c>
      <c r="AT147" s="897" t="s">
        <v>2402</v>
      </c>
      <c r="AU147" s="603" t="s">
        <v>2493</v>
      </c>
      <c r="AV147" s="603" t="s">
        <v>1893</v>
      </c>
    </row>
    <row r="148" spans="1:48" ht="122.4" customHeight="1" thickBot="1" x14ac:dyDescent="0.55000000000000004">
      <c r="A148" s="302"/>
      <c r="B148" s="1544" t="s">
        <v>1668</v>
      </c>
      <c r="C148" s="1545"/>
      <c r="D148" s="616"/>
      <c r="E148" s="307">
        <v>0.05</v>
      </c>
      <c r="F148" s="311"/>
      <c r="G148" s="330"/>
      <c r="H148" s="809"/>
      <c r="I148" s="331"/>
      <c r="J148" s="327">
        <f>+AVERAGE(J149:J153)</f>
        <v>0.21333333333333335</v>
      </c>
      <c r="K148" s="327">
        <f>+AVERAGE(K149:K153)</f>
        <v>0.57199999999999995</v>
      </c>
      <c r="L148" s="327">
        <f>+AVERAGE(L149:L153)</f>
        <v>0.3125</v>
      </c>
      <c r="M148" s="309">
        <f>+M149+M150+M151+M152+M153</f>
        <v>0.128</v>
      </c>
      <c r="N148" s="309">
        <f>+N149+N150+N151+N152+N153</f>
        <v>0.57200000000000006</v>
      </c>
      <c r="O148" s="309"/>
      <c r="P148" s="331"/>
      <c r="Q148" s="362"/>
      <c r="R148" s="362"/>
      <c r="S148" s="362"/>
      <c r="T148" s="362"/>
      <c r="U148" s="362"/>
      <c r="V148" s="362"/>
      <c r="W148" s="362"/>
      <c r="X148" s="362"/>
      <c r="Y148" s="362"/>
      <c r="Z148" s="362"/>
      <c r="AA148" s="362"/>
      <c r="AB148" s="362"/>
      <c r="AC148" s="524">
        <f>+AVERAGE(AC149:AC153)</f>
        <v>1</v>
      </c>
      <c r="AD148" s="348">
        <f>+AVERAGE(AD149:AD153)</f>
        <v>0.84833333333333338</v>
      </c>
      <c r="AE148" s="348">
        <f>+AVERAGE(AE149:AE153)</f>
        <v>0.22469484230055659</v>
      </c>
      <c r="AF148" s="348">
        <f>+(AF149+AF150+AF151+AF152+AF153)*E148</f>
        <v>3.0000000000000006E-2</v>
      </c>
      <c r="AG148" s="348">
        <f>+(AG149+AG150+AG151+AG152+AG153)*E148</f>
        <v>4.2416666666666665E-2</v>
      </c>
      <c r="AH148" s="348">
        <f>+(AH149+AH150+AH151+AH152+AH153)*E148</f>
        <v>1.1234742115027832E-2</v>
      </c>
      <c r="AI148" s="309">
        <f>+AVERAGE(AI149:AI153)</f>
        <v>0.21666666666666667</v>
      </c>
      <c r="AJ148" s="309">
        <v>0.64</v>
      </c>
      <c r="AK148" s="309">
        <f>+AVERAGE(AK149:AK153)</f>
        <v>0.6654000000000001</v>
      </c>
      <c r="AL148" s="309">
        <f>+(AL149+AL150+AL151+AL152+AL153)*E148</f>
        <v>6.5000000000000006E-3</v>
      </c>
      <c r="AM148" s="309">
        <f>+(AM149+AM150+AM151+AM152+AM153)</f>
        <v>0.64</v>
      </c>
      <c r="AN148" s="309">
        <f>+(AN149+AN150+AN151+AN152+AN153)</f>
        <v>0.66539999999999999</v>
      </c>
      <c r="AO148" s="685"/>
      <c r="AP148" s="308"/>
      <c r="AQ148" s="308"/>
      <c r="AR148" s="308"/>
      <c r="AS148" s="308"/>
      <c r="AT148" s="898"/>
      <c r="AU148" s="895"/>
      <c r="AV148" s="898"/>
    </row>
    <row r="149" spans="1:48" ht="122.4" customHeight="1" thickBot="1" x14ac:dyDescent="0.45">
      <c r="A149" s="302"/>
      <c r="B149" s="1457" t="s">
        <v>592</v>
      </c>
      <c r="C149" s="1461" t="s">
        <v>593</v>
      </c>
      <c r="D149" s="489" t="s">
        <v>565</v>
      </c>
      <c r="E149" s="310">
        <v>0.2</v>
      </c>
      <c r="F149" s="311">
        <v>1</v>
      </c>
      <c r="G149" s="330">
        <v>7.0000000000000007E-2</v>
      </c>
      <c r="H149" s="809">
        <v>0.48</v>
      </c>
      <c r="I149" s="331">
        <v>5.5E-2</v>
      </c>
      <c r="J149" s="320">
        <f>+G149/F149</f>
        <v>7.0000000000000007E-2</v>
      </c>
      <c r="K149" s="320">
        <f t="shared" si="100"/>
        <v>0.48</v>
      </c>
      <c r="L149" s="373">
        <f t="shared" si="121"/>
        <v>5.5E-2</v>
      </c>
      <c r="M149" s="374">
        <f>+(G149/F149)*E149</f>
        <v>1.4000000000000002E-2</v>
      </c>
      <c r="N149" s="374">
        <f t="shared" si="103"/>
        <v>9.6000000000000002E-2</v>
      </c>
      <c r="O149" s="374"/>
      <c r="P149" s="331">
        <v>0.08</v>
      </c>
      <c r="Q149" s="527">
        <v>0.12</v>
      </c>
      <c r="R149" s="527">
        <v>0.28000000000000003</v>
      </c>
      <c r="S149" s="527">
        <v>0</v>
      </c>
      <c r="T149" s="527">
        <v>0.41</v>
      </c>
      <c r="U149" s="527">
        <v>0</v>
      </c>
      <c r="V149" s="331">
        <f>+Q149+R149+S149+T149+U149</f>
        <v>0.81</v>
      </c>
      <c r="W149" s="331">
        <f>+V149+P149+AB149</f>
        <v>0.92700000000000005</v>
      </c>
      <c r="X149" s="527">
        <v>3.6999999999999998E-2</v>
      </c>
      <c r="Y149" s="331"/>
      <c r="Z149" s="331"/>
      <c r="AA149" s="331"/>
      <c r="AB149" s="331">
        <f t="shared" si="119"/>
        <v>3.6999999999999998E-2</v>
      </c>
      <c r="AC149" s="364">
        <v>1</v>
      </c>
      <c r="AD149" s="319">
        <v>1</v>
      </c>
      <c r="AE149" s="319">
        <f t="shared" si="106"/>
        <v>0.67272727272727273</v>
      </c>
      <c r="AF149" s="319">
        <f>+AC149*E149</f>
        <v>0.2</v>
      </c>
      <c r="AG149" s="319">
        <f>+AD149*E149</f>
        <v>0.2</v>
      </c>
      <c r="AH149" s="319">
        <f t="shared" si="116"/>
        <v>0.13454545454545455</v>
      </c>
      <c r="AI149" s="319">
        <f>+P149/F149</f>
        <v>0.08</v>
      </c>
      <c r="AJ149" s="319">
        <v>0.89</v>
      </c>
      <c r="AK149" s="319">
        <f t="shared" si="120"/>
        <v>0.92700000000000005</v>
      </c>
      <c r="AL149" s="319">
        <f>+AI149*E149</f>
        <v>1.6E-2</v>
      </c>
      <c r="AM149" s="319">
        <f>+AJ149*E149</f>
        <v>0.17800000000000002</v>
      </c>
      <c r="AN149" s="319">
        <f t="shared" si="114"/>
        <v>0.18540000000000001</v>
      </c>
      <c r="AO149" s="577" t="s">
        <v>1850</v>
      </c>
      <c r="AP149" s="574" t="s">
        <v>1892</v>
      </c>
      <c r="AQ149" s="574" t="s">
        <v>2264</v>
      </c>
      <c r="AR149" s="897" t="s">
        <v>2289</v>
      </c>
      <c r="AS149" s="897" t="s">
        <v>2402</v>
      </c>
      <c r="AT149" s="897" t="s">
        <v>2402</v>
      </c>
      <c r="AU149" s="603" t="s">
        <v>2493</v>
      </c>
      <c r="AV149" s="603" t="s">
        <v>1893</v>
      </c>
    </row>
    <row r="150" spans="1:48" ht="122.4" customHeight="1" thickBot="1" x14ac:dyDescent="0.45">
      <c r="A150" s="302"/>
      <c r="B150" s="1471" t="s">
        <v>594</v>
      </c>
      <c r="C150" s="1472" t="s">
        <v>595</v>
      </c>
      <c r="D150" s="633" t="s">
        <v>565</v>
      </c>
      <c r="E150" s="310">
        <v>0.2</v>
      </c>
      <c r="F150" s="311">
        <v>1</v>
      </c>
      <c r="G150" s="330">
        <v>7.0000000000000007E-2</v>
      </c>
      <c r="H150" s="809">
        <v>0.48</v>
      </c>
      <c r="I150" s="331">
        <v>0.245</v>
      </c>
      <c r="J150" s="320">
        <f>+G150/F150</f>
        <v>7.0000000000000007E-2</v>
      </c>
      <c r="K150" s="320">
        <f t="shared" si="100"/>
        <v>0.48</v>
      </c>
      <c r="L150" s="373">
        <f t="shared" si="121"/>
        <v>0.245</v>
      </c>
      <c r="M150" s="374">
        <f>+(G150/F150)*E150</f>
        <v>1.4000000000000002E-2</v>
      </c>
      <c r="N150" s="374">
        <f t="shared" si="103"/>
        <v>9.6000000000000002E-2</v>
      </c>
      <c r="O150" s="374"/>
      <c r="P150" s="331">
        <v>7.0000000000000007E-2</v>
      </c>
      <c r="Q150" s="527">
        <v>0.12</v>
      </c>
      <c r="R150" s="527">
        <v>0.18</v>
      </c>
      <c r="S150" s="527">
        <v>0</v>
      </c>
      <c r="T150" s="527">
        <v>0.14000000000000001</v>
      </c>
      <c r="U150" s="527">
        <v>0</v>
      </c>
      <c r="V150" s="331">
        <f t="shared" ref="V150:V153" si="122">+Q150+R150+S150+T150+U150</f>
        <v>0.44</v>
      </c>
      <c r="W150" s="331">
        <f t="shared" ref="W150:W153" si="123">+V150+P150+AB150</f>
        <v>0.6</v>
      </c>
      <c r="X150" s="527">
        <v>0.09</v>
      </c>
      <c r="Y150" s="331"/>
      <c r="Z150" s="331"/>
      <c r="AA150" s="331"/>
      <c r="AB150" s="331">
        <f t="shared" si="119"/>
        <v>0.09</v>
      </c>
      <c r="AC150" s="364">
        <f>+(P150/G150)</f>
        <v>1</v>
      </c>
      <c r="AD150" s="319">
        <f>+V150/H150</f>
        <v>0.91666666666666674</v>
      </c>
      <c r="AE150" s="319">
        <f t="shared" si="106"/>
        <v>0.36734693877551022</v>
      </c>
      <c r="AF150" s="319">
        <f>+AC150*E150</f>
        <v>0.2</v>
      </c>
      <c r="AG150" s="319">
        <f>+AD150*E150</f>
        <v>0.18333333333333335</v>
      </c>
      <c r="AH150" s="319">
        <f t="shared" si="116"/>
        <v>7.3469387755102047E-2</v>
      </c>
      <c r="AI150" s="319">
        <f>+P150/F150</f>
        <v>7.0000000000000007E-2</v>
      </c>
      <c r="AJ150" s="319">
        <v>0.51</v>
      </c>
      <c r="AK150" s="319">
        <f t="shared" si="120"/>
        <v>0.6</v>
      </c>
      <c r="AL150" s="319">
        <f>+AI150*E150</f>
        <v>1.4000000000000002E-2</v>
      </c>
      <c r="AM150" s="319">
        <f>+AJ150*E150</f>
        <v>0.10200000000000001</v>
      </c>
      <c r="AN150" s="319">
        <f t="shared" si="114"/>
        <v>0.12</v>
      </c>
      <c r="AO150" s="577" t="s">
        <v>1850</v>
      </c>
      <c r="AP150" s="574" t="s">
        <v>1892</v>
      </c>
      <c r="AQ150" s="574" t="s">
        <v>2264</v>
      </c>
      <c r="AR150" s="897" t="s">
        <v>2289</v>
      </c>
      <c r="AS150" s="897" t="s">
        <v>2402</v>
      </c>
      <c r="AT150" s="897" t="s">
        <v>2402</v>
      </c>
      <c r="AU150" s="603" t="s">
        <v>2493</v>
      </c>
      <c r="AV150" s="603" t="s">
        <v>1893</v>
      </c>
    </row>
    <row r="151" spans="1:48" ht="122.4" customHeight="1" thickBot="1" x14ac:dyDescent="0.45">
      <c r="A151" s="302"/>
      <c r="B151" s="1457" t="s">
        <v>596</v>
      </c>
      <c r="C151" s="1461" t="s">
        <v>597</v>
      </c>
      <c r="D151" s="489" t="s">
        <v>565</v>
      </c>
      <c r="E151" s="310">
        <v>0.2</v>
      </c>
      <c r="F151" s="311">
        <v>1</v>
      </c>
      <c r="G151" s="330">
        <v>0.5</v>
      </c>
      <c r="H151" s="809">
        <v>0.5</v>
      </c>
      <c r="I151" s="331">
        <v>0.5</v>
      </c>
      <c r="J151" s="320">
        <f>+G151/F151</f>
        <v>0.5</v>
      </c>
      <c r="K151" s="320">
        <f t="shared" si="100"/>
        <v>0.5</v>
      </c>
      <c r="L151" s="373"/>
      <c r="M151" s="374">
        <f>+(G151/F151)*E151</f>
        <v>0.1</v>
      </c>
      <c r="N151" s="374">
        <f t="shared" si="103"/>
        <v>0.1</v>
      </c>
      <c r="O151" s="374"/>
      <c r="P151" s="331">
        <v>0.5</v>
      </c>
      <c r="Q151" s="527">
        <v>0.25</v>
      </c>
      <c r="R151" s="527">
        <v>0.33</v>
      </c>
      <c r="S151" s="527">
        <v>0</v>
      </c>
      <c r="T151" s="527">
        <v>0.1</v>
      </c>
      <c r="U151" s="527">
        <v>0</v>
      </c>
      <c r="V151" s="331">
        <f t="shared" si="122"/>
        <v>0.68</v>
      </c>
      <c r="W151" s="331">
        <f>+V151+P151+AB151</f>
        <v>1.2217000000000002</v>
      </c>
      <c r="X151" s="527">
        <v>4.1700000000000001E-2</v>
      </c>
      <c r="Y151" s="331"/>
      <c r="Z151" s="331"/>
      <c r="AA151" s="331"/>
      <c r="AB151" s="331">
        <f>+X151+Y151+Z151+AA151</f>
        <v>4.1700000000000001E-2</v>
      </c>
      <c r="AC151" s="364">
        <f>+(P151/G151)</f>
        <v>1</v>
      </c>
      <c r="AD151" s="319">
        <v>1</v>
      </c>
      <c r="AE151" s="319">
        <f>+AB151/I151</f>
        <v>8.3400000000000002E-2</v>
      </c>
      <c r="AF151" s="319">
        <f>+AC151*E151</f>
        <v>0.2</v>
      </c>
      <c r="AG151" s="319">
        <f>+AD151*E151</f>
        <v>0.2</v>
      </c>
      <c r="AH151" s="319">
        <f t="shared" si="116"/>
        <v>1.668E-2</v>
      </c>
      <c r="AI151" s="319">
        <f>+P151/F151</f>
        <v>0.5</v>
      </c>
      <c r="AJ151" s="319">
        <v>1</v>
      </c>
      <c r="AK151" s="319">
        <v>1</v>
      </c>
      <c r="AL151" s="319">
        <f>+AI151*E151</f>
        <v>0.1</v>
      </c>
      <c r="AM151" s="319">
        <f>+AJ151*E151</f>
        <v>0.2</v>
      </c>
      <c r="AN151" s="319">
        <f t="shared" si="114"/>
        <v>0.2</v>
      </c>
      <c r="AO151" s="577" t="s">
        <v>1850</v>
      </c>
      <c r="AP151" s="574" t="s">
        <v>1892</v>
      </c>
      <c r="AQ151" s="574" t="s">
        <v>1591</v>
      </c>
      <c r="AR151" s="897" t="s">
        <v>2289</v>
      </c>
      <c r="AS151" s="897" t="s">
        <v>2402</v>
      </c>
      <c r="AT151" s="897" t="s">
        <v>2402</v>
      </c>
      <c r="AU151" s="603" t="s">
        <v>2493</v>
      </c>
      <c r="AV151" s="603" t="s">
        <v>1893</v>
      </c>
    </row>
    <row r="152" spans="1:48" ht="122.4" customHeight="1" thickBot="1" x14ac:dyDescent="0.45">
      <c r="A152" s="302"/>
      <c r="B152" s="1471" t="s">
        <v>598</v>
      </c>
      <c r="C152" s="1472" t="s">
        <v>599</v>
      </c>
      <c r="D152" s="633" t="s">
        <v>565</v>
      </c>
      <c r="E152" s="310">
        <v>0.2</v>
      </c>
      <c r="F152" s="311">
        <v>1</v>
      </c>
      <c r="G152" s="330">
        <v>0</v>
      </c>
      <c r="H152" s="809">
        <v>0.4</v>
      </c>
      <c r="I152" s="331">
        <v>0.4</v>
      </c>
      <c r="J152" s="320"/>
      <c r="K152" s="320">
        <f t="shared" si="100"/>
        <v>0.4</v>
      </c>
      <c r="L152" s="373">
        <f t="shared" si="121"/>
        <v>0.4</v>
      </c>
      <c r="M152" s="374"/>
      <c r="N152" s="374">
        <f t="shared" si="103"/>
        <v>8.0000000000000016E-2</v>
      </c>
      <c r="O152" s="374"/>
      <c r="P152" s="331"/>
      <c r="Q152" s="527">
        <v>0.06</v>
      </c>
      <c r="R152" s="527">
        <v>0.19</v>
      </c>
      <c r="S152" s="527">
        <v>0.1</v>
      </c>
      <c r="T152" s="527">
        <v>0</v>
      </c>
      <c r="U152" s="527">
        <v>0</v>
      </c>
      <c r="V152" s="331">
        <f t="shared" si="122"/>
        <v>0.35</v>
      </c>
      <c r="W152" s="331">
        <f t="shared" si="123"/>
        <v>0.35</v>
      </c>
      <c r="X152" s="527">
        <v>0</v>
      </c>
      <c r="Y152" s="331"/>
      <c r="Z152" s="331"/>
      <c r="AA152" s="331"/>
      <c r="AB152" s="331">
        <f t="shared" si="119"/>
        <v>0</v>
      </c>
      <c r="AC152" s="364"/>
      <c r="AD152" s="319">
        <f>+V152/H152</f>
        <v>0.87499999999999989</v>
      </c>
      <c r="AE152" s="319">
        <f t="shared" si="106"/>
        <v>0</v>
      </c>
      <c r="AF152" s="319"/>
      <c r="AG152" s="319">
        <f>+AD152*E152</f>
        <v>0.17499999999999999</v>
      </c>
      <c r="AH152" s="319">
        <f t="shared" si="116"/>
        <v>0</v>
      </c>
      <c r="AI152" s="319"/>
      <c r="AJ152" s="319">
        <v>0.35</v>
      </c>
      <c r="AK152" s="319">
        <f t="shared" si="120"/>
        <v>0.35</v>
      </c>
      <c r="AL152" s="319"/>
      <c r="AM152" s="319">
        <f>+AJ152*E152</f>
        <v>6.9999999999999993E-2</v>
      </c>
      <c r="AN152" s="319">
        <f t="shared" si="114"/>
        <v>6.9999999999999993E-2</v>
      </c>
      <c r="AO152" s="577" t="s">
        <v>1850</v>
      </c>
      <c r="AP152" s="574" t="s">
        <v>1892</v>
      </c>
      <c r="AQ152" s="574" t="s">
        <v>2264</v>
      </c>
      <c r="AR152" s="897" t="s">
        <v>2289</v>
      </c>
      <c r="AS152" s="897" t="s">
        <v>2402</v>
      </c>
      <c r="AT152" s="897" t="s">
        <v>2402</v>
      </c>
      <c r="AU152" s="603" t="s">
        <v>2493</v>
      </c>
      <c r="AV152" s="603" t="s">
        <v>1893</v>
      </c>
    </row>
    <row r="153" spans="1:48" ht="122.4" customHeight="1" thickBot="1" x14ac:dyDescent="0.45">
      <c r="A153" s="302"/>
      <c r="B153" s="1466" t="s">
        <v>600</v>
      </c>
      <c r="C153" s="1467" t="s">
        <v>601</v>
      </c>
      <c r="D153" s="489" t="s">
        <v>565</v>
      </c>
      <c r="E153" s="310">
        <v>0.2</v>
      </c>
      <c r="F153" s="311">
        <v>1</v>
      </c>
      <c r="G153" s="330">
        <v>0</v>
      </c>
      <c r="H153" s="809">
        <v>1</v>
      </c>
      <c r="I153" s="331">
        <v>0.55000000000000004</v>
      </c>
      <c r="J153" s="320"/>
      <c r="K153" s="320">
        <f t="shared" si="100"/>
        <v>1</v>
      </c>
      <c r="L153" s="373">
        <f t="shared" si="121"/>
        <v>0.55000000000000004</v>
      </c>
      <c r="M153" s="374"/>
      <c r="N153" s="374">
        <f t="shared" si="103"/>
        <v>0.2</v>
      </c>
      <c r="O153" s="374"/>
      <c r="P153" s="331"/>
      <c r="Q153" s="527">
        <v>0.15</v>
      </c>
      <c r="R153" s="527">
        <v>0.05</v>
      </c>
      <c r="S153" s="527">
        <v>0.2</v>
      </c>
      <c r="T153" s="527">
        <v>0.05</v>
      </c>
      <c r="U153" s="527">
        <v>0</v>
      </c>
      <c r="V153" s="331">
        <f t="shared" si="122"/>
        <v>0.45</v>
      </c>
      <c r="W153" s="331">
        <f t="shared" si="123"/>
        <v>0.45</v>
      </c>
      <c r="X153" s="527">
        <v>0</v>
      </c>
      <c r="Y153" s="331"/>
      <c r="Z153" s="331"/>
      <c r="AA153" s="331"/>
      <c r="AB153" s="331">
        <f t="shared" si="119"/>
        <v>0</v>
      </c>
      <c r="AC153" s="364"/>
      <c r="AD153" s="319">
        <f>+V153/H153</f>
        <v>0.45</v>
      </c>
      <c r="AE153" s="319">
        <f t="shared" si="106"/>
        <v>0</v>
      </c>
      <c r="AF153" s="319"/>
      <c r="AG153" s="319">
        <f>+AD153*E153</f>
        <v>9.0000000000000011E-2</v>
      </c>
      <c r="AH153" s="319">
        <f t="shared" si="116"/>
        <v>0</v>
      </c>
      <c r="AI153" s="319"/>
      <c r="AJ153" s="319">
        <v>0.45</v>
      </c>
      <c r="AK153" s="319">
        <f t="shared" si="120"/>
        <v>0.45</v>
      </c>
      <c r="AL153" s="319"/>
      <c r="AM153" s="319">
        <f>+AJ153*E153</f>
        <v>9.0000000000000011E-2</v>
      </c>
      <c r="AN153" s="319">
        <f t="shared" si="114"/>
        <v>9.0000000000000011E-2</v>
      </c>
      <c r="AO153" s="577" t="s">
        <v>1850</v>
      </c>
      <c r="AP153" s="574" t="s">
        <v>1892</v>
      </c>
      <c r="AQ153" s="574" t="s">
        <v>2264</v>
      </c>
      <c r="AR153" s="897" t="s">
        <v>2289</v>
      </c>
      <c r="AS153" s="897" t="s">
        <v>2402</v>
      </c>
      <c r="AT153" s="897" t="s">
        <v>2402</v>
      </c>
      <c r="AU153" s="603" t="s">
        <v>2493</v>
      </c>
      <c r="AV153" s="603" t="s">
        <v>1893</v>
      </c>
    </row>
    <row r="154" spans="1:48" ht="122.4" customHeight="1" thickBot="1" x14ac:dyDescent="0.55000000000000004">
      <c r="A154" s="302"/>
      <c r="B154" s="1551" t="s">
        <v>1669</v>
      </c>
      <c r="C154" s="1552"/>
      <c r="D154" s="621"/>
      <c r="E154" s="307">
        <v>0.3</v>
      </c>
      <c r="F154" s="311"/>
      <c r="G154" s="330"/>
      <c r="H154" s="809"/>
      <c r="I154" s="331"/>
      <c r="J154" s="327">
        <f>+AVERAGE(J155:J159)</f>
        <v>0.4375</v>
      </c>
      <c r="K154" s="327">
        <f>+AVERAGE(K155:K159)</f>
        <v>0.34500000000000003</v>
      </c>
      <c r="L154" s="327">
        <f>+AVERAGE(L155:L159)</f>
        <v>0.25</v>
      </c>
      <c r="M154" s="309">
        <f>+M155+M156+M157+M158+M159</f>
        <v>0.57500000000000007</v>
      </c>
      <c r="N154" s="309">
        <f>+N155+N156+N157+N158+N159</f>
        <v>0.28500000000000003</v>
      </c>
      <c r="O154" s="309"/>
      <c r="P154" s="331"/>
      <c r="Q154" s="362"/>
      <c r="R154" s="362"/>
      <c r="S154" s="362"/>
      <c r="T154" s="362"/>
      <c r="U154" s="362"/>
      <c r="V154" s="362"/>
      <c r="W154" s="362"/>
      <c r="X154" s="362"/>
      <c r="Y154" s="362"/>
      <c r="Z154" s="362"/>
      <c r="AA154" s="362"/>
      <c r="AB154" s="362"/>
      <c r="AC154" s="524">
        <f>+AVERAGE(AC155:AC159)</f>
        <v>0.52500000000000002</v>
      </c>
      <c r="AD154" s="348">
        <f>+AVERAGE(AD155:AD159)</f>
        <v>0.92033684210526323</v>
      </c>
      <c r="AE154" s="348">
        <f>+AVERAGE(AE155:AE159)</f>
        <v>0.21600000000000003</v>
      </c>
      <c r="AF154" s="348">
        <f>+(AF155+AF156+AF157+AF158+AF159)*E154</f>
        <v>0.16800000000000001</v>
      </c>
      <c r="AG154" s="348">
        <f>+(AG155+AG156+AG157+AG158+AG159)*E154</f>
        <v>0.28955052631578948</v>
      </c>
      <c r="AH154" s="348">
        <f>+(AH155+AH156+AH157+AH158+AH159)*E154</f>
        <v>0.1368</v>
      </c>
      <c r="AI154" s="309">
        <f>+AVERAGE(AI155:AI159)</f>
        <v>0.19375000000000001</v>
      </c>
      <c r="AJ154" s="309">
        <v>0.51166</v>
      </c>
      <c r="AK154" s="309">
        <f>+AVERAGE(AK155:AK159)</f>
        <v>0.51566000000000001</v>
      </c>
      <c r="AL154" s="309">
        <f>+(AL155+AL156+AL157+AL158+AL159)*E154</f>
        <v>7.5749999999999998E-2</v>
      </c>
      <c r="AM154" s="309">
        <f>+(AM155+AM156+AM157+AM158+AM159)</f>
        <v>0.63333000000000006</v>
      </c>
      <c r="AN154" s="309">
        <f>+(AN155+AN156+AN157+AN158+AN159)</f>
        <v>0.63483000000000012</v>
      </c>
      <c r="AO154" s="685"/>
      <c r="AP154" s="308"/>
      <c r="AQ154" s="308"/>
      <c r="AR154" s="308"/>
      <c r="AS154" s="308"/>
      <c r="AT154" s="898"/>
      <c r="AU154" s="895"/>
      <c r="AV154" s="898"/>
    </row>
    <row r="155" spans="1:48" ht="176.4" customHeight="1" thickBot="1" x14ac:dyDescent="0.45">
      <c r="A155" s="302"/>
      <c r="B155" s="1466" t="s">
        <v>602</v>
      </c>
      <c r="C155" s="1467" t="s">
        <v>603</v>
      </c>
      <c r="D155" s="489" t="s">
        <v>565</v>
      </c>
      <c r="E155" s="310">
        <v>0.45</v>
      </c>
      <c r="F155" s="311">
        <v>16</v>
      </c>
      <c r="G155" s="330">
        <v>16</v>
      </c>
      <c r="H155" s="809">
        <v>4</v>
      </c>
      <c r="I155" s="331">
        <v>4</v>
      </c>
      <c r="J155" s="320">
        <f>+G155/F155</f>
        <v>1</v>
      </c>
      <c r="K155" s="320">
        <f t="shared" si="100"/>
        <v>0.25</v>
      </c>
      <c r="L155" s="373"/>
      <c r="M155" s="374">
        <f>+(G155/F155)*E155</f>
        <v>0.45</v>
      </c>
      <c r="N155" s="374">
        <f t="shared" si="103"/>
        <v>0.1125</v>
      </c>
      <c r="O155" s="374"/>
      <c r="P155" s="331">
        <v>8</v>
      </c>
      <c r="Q155" s="527">
        <v>2</v>
      </c>
      <c r="R155" s="527">
        <v>2</v>
      </c>
      <c r="S155" s="527"/>
      <c r="T155" s="527">
        <v>45</v>
      </c>
      <c r="U155" s="527">
        <v>1</v>
      </c>
      <c r="V155" s="331">
        <f>+Q155+R155+S155+T155+U155</f>
        <v>50</v>
      </c>
      <c r="W155" s="527">
        <f>+V155+P155+AB155</f>
        <v>62</v>
      </c>
      <c r="X155" s="527">
        <v>4</v>
      </c>
      <c r="Y155" s="331"/>
      <c r="Z155" s="331"/>
      <c r="AA155" s="331"/>
      <c r="AB155" s="331">
        <f t="shared" si="119"/>
        <v>4</v>
      </c>
      <c r="AC155" s="364">
        <v>1</v>
      </c>
      <c r="AD155" s="319">
        <v>1</v>
      </c>
      <c r="AE155" s="319">
        <f t="shared" si="106"/>
        <v>1</v>
      </c>
      <c r="AF155" s="319">
        <f>+AC155*E155</f>
        <v>0.45</v>
      </c>
      <c r="AG155" s="319">
        <f>+AD155*E155</f>
        <v>0.45</v>
      </c>
      <c r="AH155" s="319">
        <f t="shared" si="116"/>
        <v>0.45</v>
      </c>
      <c r="AI155" s="319">
        <f>+P155/F155</f>
        <v>0.5</v>
      </c>
      <c r="AJ155" s="319">
        <v>1</v>
      </c>
      <c r="AK155" s="319">
        <v>1</v>
      </c>
      <c r="AL155" s="319">
        <f>+AI155*E155</f>
        <v>0.22500000000000001</v>
      </c>
      <c r="AM155" s="319">
        <f>+AJ155*E155</f>
        <v>0.45</v>
      </c>
      <c r="AN155" s="319">
        <f t="shared" si="114"/>
        <v>0.45</v>
      </c>
      <c r="AO155" s="577" t="s">
        <v>1850</v>
      </c>
      <c r="AP155" s="603" t="s">
        <v>1901</v>
      </c>
      <c r="AQ155" s="574" t="s">
        <v>2264</v>
      </c>
      <c r="AR155" s="897" t="s">
        <v>2289</v>
      </c>
      <c r="AS155" s="902" t="s">
        <v>2411</v>
      </c>
      <c r="AT155" s="960" t="s">
        <v>2460</v>
      </c>
      <c r="AU155" s="603" t="s">
        <v>2493</v>
      </c>
      <c r="AV155" s="603" t="s">
        <v>1893</v>
      </c>
    </row>
    <row r="156" spans="1:48" ht="122.4" customHeight="1" thickBot="1" x14ac:dyDescent="0.45">
      <c r="A156" s="302"/>
      <c r="B156" s="1452" t="s">
        <v>604</v>
      </c>
      <c r="C156" s="1446" t="s">
        <v>605</v>
      </c>
      <c r="D156" s="628" t="s">
        <v>565</v>
      </c>
      <c r="E156" s="310">
        <v>0.3</v>
      </c>
      <c r="F156" s="311">
        <v>4</v>
      </c>
      <c r="G156" s="330">
        <v>1</v>
      </c>
      <c r="H156" s="809">
        <v>1</v>
      </c>
      <c r="I156" s="331">
        <v>1</v>
      </c>
      <c r="J156" s="320">
        <f>+G156/F156</f>
        <v>0.25</v>
      </c>
      <c r="K156" s="320">
        <f t="shared" si="100"/>
        <v>0.25</v>
      </c>
      <c r="L156" s="373">
        <f t="shared" si="121"/>
        <v>0.25</v>
      </c>
      <c r="M156" s="374">
        <f>+(G156/F156)*E156</f>
        <v>7.4999999999999997E-2</v>
      </c>
      <c r="N156" s="374">
        <f t="shared" si="103"/>
        <v>7.4999999999999997E-2</v>
      </c>
      <c r="O156" s="374"/>
      <c r="P156" s="331">
        <v>0</v>
      </c>
      <c r="Q156" s="527">
        <v>1</v>
      </c>
      <c r="R156" s="527">
        <v>0</v>
      </c>
      <c r="S156" s="527">
        <v>0</v>
      </c>
      <c r="T156" s="527">
        <v>0</v>
      </c>
      <c r="U156" s="527">
        <v>0</v>
      </c>
      <c r="V156" s="331">
        <f t="shared" ref="V156:V159" si="124">+Q156+R156+S156+T156+U156</f>
        <v>1</v>
      </c>
      <c r="W156" s="331">
        <f t="shared" ref="W156:W158" si="125">+V156+P156+AB156</f>
        <v>1</v>
      </c>
      <c r="X156" s="527">
        <v>0</v>
      </c>
      <c r="Y156" s="331"/>
      <c r="Z156" s="331"/>
      <c r="AA156" s="331"/>
      <c r="AB156" s="331">
        <f t="shared" si="119"/>
        <v>0</v>
      </c>
      <c r="AC156" s="364">
        <f>+(P156/G156)</f>
        <v>0</v>
      </c>
      <c r="AD156" s="319">
        <f>+V156/H156</f>
        <v>1</v>
      </c>
      <c r="AE156" s="319">
        <f t="shared" si="106"/>
        <v>0</v>
      </c>
      <c r="AF156" s="319">
        <f>+AC156*E156</f>
        <v>0</v>
      </c>
      <c r="AG156" s="319">
        <f>+AD156*E156</f>
        <v>0.3</v>
      </c>
      <c r="AH156" s="319">
        <f t="shared" si="116"/>
        <v>0</v>
      </c>
      <c r="AI156" s="319">
        <f>+P156/F156</f>
        <v>0</v>
      </c>
      <c r="AJ156" s="319">
        <v>0.25</v>
      </c>
      <c r="AK156" s="319">
        <f t="shared" si="120"/>
        <v>0.25</v>
      </c>
      <c r="AL156" s="319">
        <f>+AI156*E156</f>
        <v>0</v>
      </c>
      <c r="AM156" s="319">
        <f>+AJ156*E156</f>
        <v>7.4999999999999997E-2</v>
      </c>
      <c r="AN156" s="319">
        <f t="shared" si="114"/>
        <v>7.4999999999999997E-2</v>
      </c>
      <c r="AO156" s="577" t="s">
        <v>1850</v>
      </c>
      <c r="AP156" s="603" t="s">
        <v>1901</v>
      </c>
      <c r="AQ156" s="574" t="s">
        <v>2264</v>
      </c>
      <c r="AR156" s="897" t="s">
        <v>2289</v>
      </c>
      <c r="AS156" s="897" t="s">
        <v>2402</v>
      </c>
      <c r="AT156" s="897" t="s">
        <v>2402</v>
      </c>
      <c r="AU156" s="603" t="s">
        <v>2493</v>
      </c>
      <c r="AV156" s="603" t="s">
        <v>1893</v>
      </c>
    </row>
    <row r="157" spans="1:48" ht="122.4" customHeight="1" thickBot="1" x14ac:dyDescent="0.45">
      <c r="A157" s="302"/>
      <c r="B157" s="1452" t="s">
        <v>606</v>
      </c>
      <c r="C157" s="1446" t="s">
        <v>607</v>
      </c>
      <c r="D157" s="628" t="s">
        <v>565</v>
      </c>
      <c r="E157" s="310">
        <v>0.1</v>
      </c>
      <c r="F157" s="311">
        <v>1</v>
      </c>
      <c r="G157" s="330">
        <v>0.25</v>
      </c>
      <c r="H157" s="809">
        <v>0.47499999999999998</v>
      </c>
      <c r="I157" s="331">
        <v>0.25</v>
      </c>
      <c r="J157" s="320">
        <f>+G157/F157</f>
        <v>0.25</v>
      </c>
      <c r="K157" s="320">
        <f t="shared" si="100"/>
        <v>0.47499999999999998</v>
      </c>
      <c r="L157" s="373">
        <f t="shared" si="121"/>
        <v>0.25</v>
      </c>
      <c r="M157" s="374">
        <f>+(G157/F157)*E157</f>
        <v>2.5000000000000001E-2</v>
      </c>
      <c r="N157" s="374">
        <f t="shared" si="103"/>
        <v>4.7500000000000001E-2</v>
      </c>
      <c r="O157" s="374"/>
      <c r="P157" s="331">
        <v>2.5000000000000001E-2</v>
      </c>
      <c r="Q157" s="527">
        <v>0</v>
      </c>
      <c r="R157" s="527">
        <v>0.05</v>
      </c>
      <c r="S157" s="527"/>
      <c r="T157" s="867">
        <v>4.24E-2</v>
      </c>
      <c r="U157" s="527">
        <v>0.2409</v>
      </c>
      <c r="V157" s="995">
        <f t="shared" si="124"/>
        <v>0.33330000000000004</v>
      </c>
      <c r="W157" s="1192">
        <f t="shared" si="125"/>
        <v>0.36830000000000007</v>
      </c>
      <c r="X157" s="867">
        <v>0.01</v>
      </c>
      <c r="Y157" s="995"/>
      <c r="Z157" s="995"/>
      <c r="AA157" s="995"/>
      <c r="AB157" s="995">
        <f>+X157+Y157+Z157+AA157</f>
        <v>0.01</v>
      </c>
      <c r="AC157" s="364">
        <f>+(P157/G157)</f>
        <v>0.1</v>
      </c>
      <c r="AD157" s="319">
        <f>+V157/H157</f>
        <v>0.70168421052631591</v>
      </c>
      <c r="AE157" s="319">
        <f t="shared" si="106"/>
        <v>0.04</v>
      </c>
      <c r="AF157" s="319">
        <f>+AC157*E157</f>
        <v>1.0000000000000002E-2</v>
      </c>
      <c r="AG157" s="319">
        <f>+AD157*E157</f>
        <v>7.0168421052631588E-2</v>
      </c>
      <c r="AH157" s="319">
        <f t="shared" si="116"/>
        <v>4.0000000000000001E-3</v>
      </c>
      <c r="AI157" s="319">
        <f>+P157/F157</f>
        <v>2.5000000000000001E-2</v>
      </c>
      <c r="AJ157" s="319">
        <v>0.35830000000000006</v>
      </c>
      <c r="AK157" s="319">
        <f t="shared" si="120"/>
        <v>0.36830000000000007</v>
      </c>
      <c r="AL157" s="319">
        <f>+AI157*E157</f>
        <v>2.5000000000000005E-3</v>
      </c>
      <c r="AM157" s="319">
        <f>+AJ157*E157</f>
        <v>3.5830000000000008E-2</v>
      </c>
      <c r="AN157" s="319">
        <f t="shared" si="114"/>
        <v>3.6830000000000009E-2</v>
      </c>
      <c r="AO157" s="577" t="s">
        <v>1850</v>
      </c>
      <c r="AP157" s="603" t="s">
        <v>1901</v>
      </c>
      <c r="AQ157" s="574" t="s">
        <v>2264</v>
      </c>
      <c r="AR157" s="897" t="s">
        <v>2289</v>
      </c>
      <c r="AS157" s="897" t="s">
        <v>2402</v>
      </c>
      <c r="AT157" s="897" t="s">
        <v>2402</v>
      </c>
      <c r="AU157" s="603" t="s">
        <v>2493</v>
      </c>
      <c r="AV157" s="578" t="s">
        <v>1865</v>
      </c>
    </row>
    <row r="158" spans="1:48" ht="170.4" customHeight="1" thickBot="1" x14ac:dyDescent="0.45">
      <c r="A158" s="302"/>
      <c r="B158" s="1450" t="s">
        <v>608</v>
      </c>
      <c r="C158" s="1430" t="s">
        <v>609</v>
      </c>
      <c r="D158" s="628" t="s">
        <v>565</v>
      </c>
      <c r="E158" s="310">
        <v>0.1</v>
      </c>
      <c r="F158" s="311">
        <v>4</v>
      </c>
      <c r="G158" s="330">
        <v>1</v>
      </c>
      <c r="H158" s="809">
        <v>1</v>
      </c>
      <c r="I158" s="331">
        <v>1</v>
      </c>
      <c r="J158" s="320">
        <f>+G158/F158</f>
        <v>0.25</v>
      </c>
      <c r="K158" s="320">
        <f t="shared" si="100"/>
        <v>0.25</v>
      </c>
      <c r="L158" s="373">
        <f t="shared" si="121"/>
        <v>0.25</v>
      </c>
      <c r="M158" s="374">
        <f>+(G158/F158)*E158</f>
        <v>2.5000000000000001E-2</v>
      </c>
      <c r="N158" s="374">
        <f t="shared" si="103"/>
        <v>2.5000000000000001E-2</v>
      </c>
      <c r="O158" s="374"/>
      <c r="P158" s="868">
        <v>1</v>
      </c>
      <c r="Q158" s="527">
        <v>0</v>
      </c>
      <c r="R158" s="527">
        <v>0</v>
      </c>
      <c r="S158" s="527">
        <v>0.5</v>
      </c>
      <c r="T158" s="527">
        <v>0.5</v>
      </c>
      <c r="U158" s="527">
        <v>0</v>
      </c>
      <c r="V158" s="331">
        <f t="shared" si="124"/>
        <v>1</v>
      </c>
      <c r="W158" s="331">
        <f t="shared" si="125"/>
        <v>2</v>
      </c>
      <c r="X158" s="527">
        <v>0</v>
      </c>
      <c r="Y158" s="331"/>
      <c r="Z158" s="331"/>
      <c r="AA158" s="331"/>
      <c r="AB158" s="331">
        <f t="shared" si="119"/>
        <v>0</v>
      </c>
      <c r="AC158" s="364">
        <f>+(P158/G158)</f>
        <v>1</v>
      </c>
      <c r="AD158" s="319">
        <f>+V158/H158</f>
        <v>1</v>
      </c>
      <c r="AE158" s="319">
        <f t="shared" si="106"/>
        <v>0</v>
      </c>
      <c r="AF158" s="319">
        <f>+AC158*E158</f>
        <v>0.1</v>
      </c>
      <c r="AG158" s="319">
        <f>+AD158*E158</f>
        <v>0.1</v>
      </c>
      <c r="AH158" s="319">
        <f t="shared" si="116"/>
        <v>0</v>
      </c>
      <c r="AI158" s="319">
        <f>+P158/F158</f>
        <v>0.25</v>
      </c>
      <c r="AJ158" s="319">
        <v>0.5</v>
      </c>
      <c r="AK158" s="319">
        <f t="shared" si="120"/>
        <v>0.5</v>
      </c>
      <c r="AL158" s="319">
        <f>+AI158*E158</f>
        <v>2.5000000000000001E-2</v>
      </c>
      <c r="AM158" s="319">
        <f>+AJ158*E158</f>
        <v>0.05</v>
      </c>
      <c r="AN158" s="319">
        <f t="shared" si="114"/>
        <v>0.05</v>
      </c>
      <c r="AO158" s="577" t="s">
        <v>1850</v>
      </c>
      <c r="AP158" s="603" t="s">
        <v>1901</v>
      </c>
      <c r="AQ158" s="574" t="s">
        <v>2264</v>
      </c>
      <c r="AR158" s="897" t="s">
        <v>2289</v>
      </c>
      <c r="AS158" s="897" t="s">
        <v>2402</v>
      </c>
      <c r="AT158" s="897" t="s">
        <v>2402</v>
      </c>
      <c r="AU158" s="603" t="s">
        <v>2493</v>
      </c>
      <c r="AV158" s="603" t="s">
        <v>1893</v>
      </c>
    </row>
    <row r="159" spans="1:48" ht="122.4" customHeight="1" thickBot="1" x14ac:dyDescent="0.45">
      <c r="A159" s="302"/>
      <c r="B159" s="1450" t="s">
        <v>610</v>
      </c>
      <c r="C159" s="1430" t="s">
        <v>611</v>
      </c>
      <c r="D159" s="628" t="s">
        <v>565</v>
      </c>
      <c r="E159" s="310">
        <v>0.05</v>
      </c>
      <c r="F159" s="311">
        <v>1</v>
      </c>
      <c r="G159" s="330">
        <v>0</v>
      </c>
      <c r="H159" s="809">
        <v>0.5</v>
      </c>
      <c r="I159" s="331">
        <v>0.25</v>
      </c>
      <c r="J159" s="320"/>
      <c r="K159" s="320">
        <f t="shared" si="100"/>
        <v>0.5</v>
      </c>
      <c r="L159" s="373">
        <f t="shared" si="121"/>
        <v>0.25</v>
      </c>
      <c r="M159" s="374"/>
      <c r="N159" s="374">
        <f t="shared" si="103"/>
        <v>2.5000000000000001E-2</v>
      </c>
      <c r="O159" s="374"/>
      <c r="P159" s="331"/>
      <c r="Q159" s="527">
        <v>0</v>
      </c>
      <c r="R159" s="527">
        <v>0.05</v>
      </c>
      <c r="S159" s="527">
        <v>0.15</v>
      </c>
      <c r="T159" s="527">
        <v>0.25</v>
      </c>
      <c r="U159" s="527">
        <v>0</v>
      </c>
      <c r="V159" s="331">
        <f t="shared" si="124"/>
        <v>0.45</v>
      </c>
      <c r="W159" s="331">
        <f>+V159+P159+AB159</f>
        <v>0.46</v>
      </c>
      <c r="X159" s="527">
        <v>0.01</v>
      </c>
      <c r="Y159" s="331"/>
      <c r="Z159" s="331"/>
      <c r="AA159" s="331"/>
      <c r="AB159" s="331">
        <f t="shared" si="119"/>
        <v>0.01</v>
      </c>
      <c r="AC159" s="364"/>
      <c r="AD159" s="319">
        <f>+V159/H159</f>
        <v>0.9</v>
      </c>
      <c r="AE159" s="319">
        <f t="shared" si="106"/>
        <v>0.04</v>
      </c>
      <c r="AF159" s="319"/>
      <c r="AG159" s="319">
        <f>+AD159*E159</f>
        <v>4.5000000000000005E-2</v>
      </c>
      <c r="AH159" s="319">
        <f t="shared" si="116"/>
        <v>2E-3</v>
      </c>
      <c r="AI159" s="319"/>
      <c r="AJ159" s="319">
        <v>0.45</v>
      </c>
      <c r="AK159" s="319">
        <f t="shared" si="120"/>
        <v>0.46</v>
      </c>
      <c r="AL159" s="319"/>
      <c r="AM159" s="319">
        <f>+AJ159*E159</f>
        <v>2.2500000000000003E-2</v>
      </c>
      <c r="AN159" s="319">
        <f t="shared" si="114"/>
        <v>2.3000000000000003E-2</v>
      </c>
      <c r="AO159" s="577" t="s">
        <v>1850</v>
      </c>
      <c r="AP159" s="644" t="s">
        <v>1919</v>
      </c>
      <c r="AQ159" s="308"/>
      <c r="AR159" s="897" t="s">
        <v>2289</v>
      </c>
      <c r="AS159" s="897" t="s">
        <v>2402</v>
      </c>
      <c r="AT159" s="897" t="s">
        <v>2402</v>
      </c>
      <c r="AU159" s="603" t="s">
        <v>2493</v>
      </c>
      <c r="AV159" s="603" t="s">
        <v>1893</v>
      </c>
    </row>
    <row r="160" spans="1:48" ht="88.8" customHeight="1" thickBot="1" x14ac:dyDescent="0.55000000000000004">
      <c r="A160" s="302"/>
      <c r="B160" s="1548" t="s">
        <v>1670</v>
      </c>
      <c r="C160" s="1549"/>
      <c r="D160" s="350"/>
      <c r="E160" s="307">
        <v>0.15</v>
      </c>
      <c r="F160" s="311"/>
      <c r="G160" s="330"/>
      <c r="H160" s="809"/>
      <c r="I160" s="331"/>
      <c r="J160" s="327"/>
      <c r="K160" s="327">
        <f>+AVERAGE(K161:K163)</f>
        <v>0.66640624999999998</v>
      </c>
      <c r="L160" s="327">
        <f>+AVERAGE(L161:L163)</f>
        <v>0.61093750000000002</v>
      </c>
      <c r="M160" s="309"/>
      <c r="N160" s="309">
        <f>+N161+N162+N163</f>
        <v>0.36648437499999997</v>
      </c>
      <c r="O160" s="309"/>
      <c r="P160" s="331"/>
      <c r="Q160" s="362"/>
      <c r="R160" s="362"/>
      <c r="S160" s="362"/>
      <c r="T160" s="362"/>
      <c r="U160" s="362"/>
      <c r="V160" s="362"/>
      <c r="W160" s="362"/>
      <c r="X160" s="362"/>
      <c r="Y160" s="362"/>
      <c r="Z160" s="362"/>
      <c r="AA160" s="362"/>
      <c r="AB160" s="362"/>
      <c r="AC160" s="524"/>
      <c r="AD160" s="348">
        <f>+AVERAGE(AD161:AD163)</f>
        <v>0</v>
      </c>
      <c r="AE160" s="348">
        <f>+AVERAGE(AE161:AE163)</f>
        <v>0</v>
      </c>
      <c r="AF160" s="348"/>
      <c r="AG160" s="348">
        <f>+(AG161+AG162+AG163)*E160</f>
        <v>0</v>
      </c>
      <c r="AH160" s="348">
        <f>+(AH161+AH162+AH163)*E160</f>
        <v>0</v>
      </c>
      <c r="AI160" s="309"/>
      <c r="AJ160" s="684">
        <v>0</v>
      </c>
      <c r="AK160" s="684">
        <f>+AVERAGE(AK161:AK163)</f>
        <v>0</v>
      </c>
      <c r="AL160" s="309">
        <f>+(AL161+AL162+AL163)*E160</f>
        <v>0</v>
      </c>
      <c r="AM160" s="309">
        <f>+(AM161+AM162+AM163)</f>
        <v>0</v>
      </c>
      <c r="AN160" s="309">
        <f>+(AN161+AN162+AN163)</f>
        <v>0</v>
      </c>
      <c r="AO160" s="685"/>
      <c r="AP160" s="903" t="s">
        <v>1968</v>
      </c>
      <c r="AQ160" s="308"/>
      <c r="AR160" s="308"/>
      <c r="AS160" s="308"/>
      <c r="AT160" s="898"/>
      <c r="AU160" s="895"/>
      <c r="AV160" s="898"/>
    </row>
    <row r="161" spans="1:48" ht="122.4" customHeight="1" thickBot="1" x14ac:dyDescent="0.45">
      <c r="A161" s="302"/>
      <c r="B161" s="1452" t="s">
        <v>612</v>
      </c>
      <c r="C161" s="1427" t="s">
        <v>613</v>
      </c>
      <c r="D161" s="630" t="s">
        <v>1549</v>
      </c>
      <c r="E161" s="310">
        <v>0.35</v>
      </c>
      <c r="F161" s="311">
        <v>640</v>
      </c>
      <c r="G161" s="330">
        <v>0</v>
      </c>
      <c r="H161" s="809">
        <v>213</v>
      </c>
      <c r="I161" s="331">
        <v>213</v>
      </c>
      <c r="J161" s="320"/>
      <c r="K161" s="320">
        <f t="shared" si="100"/>
        <v>0.33281250000000001</v>
      </c>
      <c r="L161" s="373">
        <f t="shared" si="121"/>
        <v>0.33281250000000001</v>
      </c>
      <c r="M161" s="374"/>
      <c r="N161" s="374">
        <f t="shared" si="103"/>
        <v>0.116484375</v>
      </c>
      <c r="O161" s="374"/>
      <c r="P161" s="331"/>
      <c r="Q161" s="527">
        <v>0</v>
      </c>
      <c r="R161" s="527">
        <v>0</v>
      </c>
      <c r="S161" s="527">
        <v>0</v>
      </c>
      <c r="T161" s="527">
        <v>0</v>
      </c>
      <c r="U161" s="527">
        <v>0</v>
      </c>
      <c r="V161" s="331">
        <f>+Q161+R161+S161+T161+U161</f>
        <v>0</v>
      </c>
      <c r="W161" s="331">
        <f>+V161+P161+AB161</f>
        <v>0</v>
      </c>
      <c r="X161" s="527">
        <v>0</v>
      </c>
      <c r="Y161" s="331"/>
      <c r="Z161" s="331"/>
      <c r="AA161" s="331"/>
      <c r="AB161" s="331">
        <f t="shared" si="119"/>
        <v>0</v>
      </c>
      <c r="AC161" s="364"/>
      <c r="AD161" s="319">
        <f>+V161/H161</f>
        <v>0</v>
      </c>
      <c r="AE161" s="319">
        <f t="shared" si="106"/>
        <v>0</v>
      </c>
      <c r="AF161" s="319"/>
      <c r="AG161" s="319">
        <f>+AD161*E161</f>
        <v>0</v>
      </c>
      <c r="AH161" s="319">
        <f t="shared" si="116"/>
        <v>0</v>
      </c>
      <c r="AI161" s="319"/>
      <c r="AJ161" s="319">
        <v>0</v>
      </c>
      <c r="AK161" s="319">
        <f>+W161/F161</f>
        <v>0</v>
      </c>
      <c r="AL161" s="319"/>
      <c r="AM161" s="319">
        <f>+AJ161*E161</f>
        <v>0</v>
      </c>
      <c r="AN161" s="319">
        <f t="shared" si="114"/>
        <v>0</v>
      </c>
      <c r="AO161" s="577" t="s">
        <v>1850</v>
      </c>
      <c r="AP161" s="644" t="s">
        <v>1919</v>
      </c>
      <c r="AQ161" s="574" t="s">
        <v>2264</v>
      </c>
      <c r="AR161" s="897" t="s">
        <v>2289</v>
      </c>
      <c r="AS161" s="603" t="s">
        <v>2402</v>
      </c>
      <c r="AT161" s="603" t="s">
        <v>2436</v>
      </c>
      <c r="AU161" s="603" t="s">
        <v>2493</v>
      </c>
      <c r="AV161" s="603" t="s">
        <v>1893</v>
      </c>
    </row>
    <row r="162" spans="1:48" ht="122.4" customHeight="1" thickBot="1" x14ac:dyDescent="0.45">
      <c r="A162" s="302"/>
      <c r="B162" s="1452" t="s">
        <v>614</v>
      </c>
      <c r="C162" s="1427" t="s">
        <v>615</v>
      </c>
      <c r="D162" s="630" t="s">
        <v>1549</v>
      </c>
      <c r="E162" s="310">
        <v>0.4</v>
      </c>
      <c r="F162" s="311">
        <v>2</v>
      </c>
      <c r="G162" s="330">
        <v>0</v>
      </c>
      <c r="H162" s="809">
        <v>0</v>
      </c>
      <c r="I162" s="331">
        <v>1</v>
      </c>
      <c r="J162" s="320"/>
      <c r="K162" s="320"/>
      <c r="L162" s="373">
        <f t="shared" si="121"/>
        <v>0.5</v>
      </c>
      <c r="M162" s="374"/>
      <c r="N162" s="374"/>
      <c r="O162" s="374"/>
      <c r="P162" s="331"/>
      <c r="Q162" s="527"/>
      <c r="R162" s="527"/>
      <c r="S162" s="527"/>
      <c r="T162" s="527"/>
      <c r="U162" s="527"/>
      <c r="V162" s="331">
        <f t="shared" ref="V162:V163" si="126">+Q162+R162+S162+T162+U162</f>
        <v>0</v>
      </c>
      <c r="W162" s="331">
        <f t="shared" ref="W162" si="127">+V162+P162+AB162</f>
        <v>0</v>
      </c>
      <c r="X162" s="527">
        <v>0</v>
      </c>
      <c r="Y162" s="331"/>
      <c r="Z162" s="331"/>
      <c r="AA162" s="331"/>
      <c r="AB162" s="331">
        <f t="shared" si="119"/>
        <v>0</v>
      </c>
      <c r="AC162" s="364"/>
      <c r="AD162" s="319"/>
      <c r="AE162" s="319">
        <f t="shared" si="106"/>
        <v>0</v>
      </c>
      <c r="AF162" s="319"/>
      <c r="AG162" s="319"/>
      <c r="AH162" s="319">
        <f t="shared" si="116"/>
        <v>0</v>
      </c>
      <c r="AI162" s="319"/>
      <c r="AJ162" s="319"/>
      <c r="AK162" s="319">
        <f t="shared" si="120"/>
        <v>0</v>
      </c>
      <c r="AL162" s="319"/>
      <c r="AM162" s="319">
        <f>+AJ162*E162</f>
        <v>0</v>
      </c>
      <c r="AN162" s="319">
        <f>+AK162*E162</f>
        <v>0</v>
      </c>
      <c r="AO162" s="577" t="s">
        <v>1850</v>
      </c>
      <c r="AP162" s="571" t="s">
        <v>1892</v>
      </c>
      <c r="AQ162" s="574" t="s">
        <v>2264</v>
      </c>
      <c r="AR162" s="897" t="s">
        <v>2289</v>
      </c>
      <c r="AS162" s="603" t="s">
        <v>2402</v>
      </c>
      <c r="AT162" s="603" t="s">
        <v>2436</v>
      </c>
      <c r="AU162" s="603" t="s">
        <v>2493</v>
      </c>
      <c r="AV162" s="603" t="s">
        <v>1893</v>
      </c>
    </row>
    <row r="163" spans="1:48" ht="122.4" customHeight="1" thickBot="1" x14ac:dyDescent="0.45">
      <c r="A163" s="302"/>
      <c r="B163" s="1452" t="s">
        <v>616</v>
      </c>
      <c r="C163" s="1427" t="s">
        <v>617</v>
      </c>
      <c r="D163" s="630" t="s">
        <v>1549</v>
      </c>
      <c r="E163" s="310">
        <v>0.25</v>
      </c>
      <c r="F163" s="311">
        <v>1</v>
      </c>
      <c r="G163" s="330">
        <v>0</v>
      </c>
      <c r="H163" s="809">
        <v>1</v>
      </c>
      <c r="I163" s="331">
        <v>1</v>
      </c>
      <c r="J163" s="320"/>
      <c r="K163" s="320">
        <f t="shared" si="100"/>
        <v>1</v>
      </c>
      <c r="L163" s="373">
        <f t="shared" si="121"/>
        <v>1</v>
      </c>
      <c r="M163" s="374"/>
      <c r="N163" s="374">
        <f t="shared" si="103"/>
        <v>0.25</v>
      </c>
      <c r="O163" s="374"/>
      <c r="P163" s="331"/>
      <c r="Q163" s="527">
        <v>0</v>
      </c>
      <c r="R163" s="527">
        <v>0</v>
      </c>
      <c r="S163" s="527">
        <v>0</v>
      </c>
      <c r="T163" s="527">
        <v>0</v>
      </c>
      <c r="U163" s="527">
        <v>0</v>
      </c>
      <c r="V163" s="331">
        <f t="shared" si="126"/>
        <v>0</v>
      </c>
      <c r="W163" s="331">
        <f>+V163+P163+AB163</f>
        <v>0</v>
      </c>
      <c r="X163" s="527">
        <v>0</v>
      </c>
      <c r="Y163" s="331"/>
      <c r="Z163" s="331"/>
      <c r="AA163" s="331"/>
      <c r="AB163" s="331">
        <f t="shared" si="119"/>
        <v>0</v>
      </c>
      <c r="AC163" s="364"/>
      <c r="AD163" s="319">
        <f>+V163/H163</f>
        <v>0</v>
      </c>
      <c r="AE163" s="319">
        <f t="shared" si="106"/>
        <v>0</v>
      </c>
      <c r="AF163" s="319"/>
      <c r="AG163" s="319">
        <f>+AD163*E163</f>
        <v>0</v>
      </c>
      <c r="AH163" s="319">
        <f t="shared" si="116"/>
        <v>0</v>
      </c>
      <c r="AI163" s="319"/>
      <c r="AJ163" s="319">
        <v>0</v>
      </c>
      <c r="AK163" s="319">
        <f t="shared" si="120"/>
        <v>0</v>
      </c>
      <c r="AL163" s="319"/>
      <c r="AM163" s="319">
        <f>+AJ163*E163</f>
        <v>0</v>
      </c>
      <c r="AN163" s="319">
        <f t="shared" si="114"/>
        <v>0</v>
      </c>
      <c r="AO163" s="577" t="s">
        <v>1850</v>
      </c>
      <c r="AP163" s="644" t="s">
        <v>1919</v>
      </c>
      <c r="AQ163" s="574" t="s">
        <v>2264</v>
      </c>
      <c r="AR163" s="902" t="s">
        <v>2310</v>
      </c>
      <c r="AS163" s="603" t="s">
        <v>2402</v>
      </c>
      <c r="AT163" s="603" t="s">
        <v>2436</v>
      </c>
      <c r="AU163" s="603" t="s">
        <v>2493</v>
      </c>
      <c r="AV163" s="603" t="s">
        <v>1893</v>
      </c>
    </row>
    <row r="164" spans="1:48" ht="94.2" customHeight="1" thickBot="1" x14ac:dyDescent="0.55000000000000004">
      <c r="A164" s="302"/>
      <c r="B164" s="1554" t="s">
        <v>1671</v>
      </c>
      <c r="C164" s="1545"/>
      <c r="D164" s="614"/>
      <c r="E164" s="342">
        <v>0.2</v>
      </c>
      <c r="F164" s="343">
        <f>+E164*AF164</f>
        <v>0.1569418604651163</v>
      </c>
      <c r="G164" s="326"/>
      <c r="H164" s="1079">
        <f>+E164*AG164</f>
        <v>0.17263425799862631</v>
      </c>
      <c r="I164" s="304">
        <f>E164*AH164</f>
        <v>4.6583883471769533E-2</v>
      </c>
      <c r="J164" s="367">
        <f>+(J165+J170+J173+J176+J182+J184+J187)/7</f>
        <v>0.23893651055292212</v>
      </c>
      <c r="K164" s="367">
        <f>+(K165+K170+K173+K176+K182+K184+K187)/7</f>
        <v>0.28593294105804123</v>
      </c>
      <c r="L164" s="1216">
        <f>+(L165+L170+L173+L176+L182+L184+L187)/7</f>
        <v>0.27823918362960776</v>
      </c>
      <c r="M164" s="1109">
        <f>+(M165+M170+M173+M176+M182+M184+M187)/7</f>
        <v>0.22368966475650506</v>
      </c>
      <c r="N164" s="1109">
        <f>+(N165+N170+N173+N176+N182+N184+N187)/7</f>
        <v>0.2870384761939736</v>
      </c>
      <c r="O164" s="1109"/>
      <c r="P164" s="516"/>
      <c r="Q164" s="308"/>
      <c r="R164" s="308"/>
      <c r="S164" s="308"/>
      <c r="T164" s="308"/>
      <c r="U164" s="308"/>
      <c r="V164" s="308"/>
      <c r="W164" s="308"/>
      <c r="X164" s="308"/>
      <c r="Y164" s="308"/>
      <c r="Z164" s="308"/>
      <c r="AA164" s="308"/>
      <c r="AB164" s="308"/>
      <c r="AC164" s="360">
        <f>+(AC165+AC170+AC173+AC176+AC182+AC184+AC187)/7</f>
        <v>0.91621262458471764</v>
      </c>
      <c r="AD164" s="306">
        <f>+(AD165+AD170+AD173+AD176+AD182+AD184+AD187)/7</f>
        <v>0.93306223549163236</v>
      </c>
      <c r="AE164" s="306">
        <f>+(AE165+AE170+AE173+AE176+AE182+AE184+AE187)/7</f>
        <v>0.24399006191224096</v>
      </c>
      <c r="AF164" s="355">
        <f>AF165+AF170+AF173+AF176+AF182+AF184+AF187</f>
        <v>0.78470930232558145</v>
      </c>
      <c r="AG164" s="355">
        <f>AG165+AG170+AG173+AG176+AG182+AG184+AG187</f>
        <v>0.86317128999313142</v>
      </c>
      <c r="AH164" s="355">
        <f>AH165+AH170+AH173+AH176+AH182+AH184+AH187</f>
        <v>0.23291941735884766</v>
      </c>
      <c r="AI164" s="306">
        <f>(AI165+AI170+AI173+AI176+AI182+AI184+AI187)/7</f>
        <v>0.26532184592777297</v>
      </c>
      <c r="AJ164" s="306">
        <v>0.58130025930285478</v>
      </c>
      <c r="AK164" s="306">
        <f>(AK165+AK170+AK173+AK176+AK182+AK184+AK187)/7</f>
        <v>0.6398917654659394</v>
      </c>
      <c r="AL164" s="355">
        <f>(AL165+AL170+AL173+AL176+AL182+AL184+AL187)</f>
        <v>0.20257591878811407</v>
      </c>
      <c r="AM164" s="355">
        <f>(AM165*E165)+(AM170*E170)+(AM173*E173)+(AM176*E176)+(AM182*E182)+(AM184*E184)+(AM187*E187)</f>
        <v>0.50415658631572002</v>
      </c>
      <c r="AN164" s="355">
        <f>(AN165*E165)+(AN170*E170)+(AN173*E173)+(AN176*E176)+(AN182*E182)+(AN184*E184)+(AN187*E187)</f>
        <v>0.57005983057417897</v>
      </c>
      <c r="AO164" s="890"/>
      <c r="AP164" s="308"/>
      <c r="AQ164" s="308"/>
      <c r="AR164" s="308"/>
      <c r="AS164" s="308"/>
      <c r="AT164" s="898"/>
      <c r="AU164" s="895"/>
      <c r="AV164" s="898"/>
    </row>
    <row r="165" spans="1:48" ht="122.4" customHeight="1" thickBot="1" x14ac:dyDescent="0.55000000000000004">
      <c r="A165" s="302"/>
      <c r="B165" s="1555" t="s">
        <v>1672</v>
      </c>
      <c r="C165" s="1556"/>
      <c r="D165" s="490"/>
      <c r="E165" s="307">
        <v>0.35</v>
      </c>
      <c r="F165" s="311"/>
      <c r="G165" s="326"/>
      <c r="H165" s="1077"/>
      <c r="I165" s="308"/>
      <c r="J165" s="327">
        <f>+AVERAGE(J166:J169)</f>
        <v>0.3125</v>
      </c>
      <c r="K165" s="327">
        <f>+AVERAGE(K166:K169)</f>
        <v>0.39083333333333331</v>
      </c>
      <c r="L165" s="327">
        <f>+AVERAGE(L166:L169)</f>
        <v>0.32791666666666669</v>
      </c>
      <c r="M165" s="309">
        <f>+M166+M167+M168+M169</f>
        <v>0.3125</v>
      </c>
      <c r="N165" s="309">
        <f>+N166+N167+N168+N169</f>
        <v>0.39083333333333331</v>
      </c>
      <c r="O165" s="309"/>
      <c r="P165" s="331"/>
      <c r="Q165" s="362"/>
      <c r="R165" s="362"/>
      <c r="S165" s="362"/>
      <c r="T165" s="362"/>
      <c r="U165" s="362"/>
      <c r="V165" s="362"/>
      <c r="W165" s="362"/>
      <c r="X165" s="362"/>
      <c r="Y165" s="362"/>
      <c r="Z165" s="362"/>
      <c r="AA165" s="362"/>
      <c r="AB165" s="362"/>
      <c r="AC165" s="524">
        <f>+AVERAGE(AC166:AC169)</f>
        <v>0.51</v>
      </c>
      <c r="AD165" s="348">
        <f>+AVERAGE(AD166:AD169)</f>
        <v>0.63698630136986301</v>
      </c>
      <c r="AE165" s="348">
        <f>+AVERAGE(AE166:AE169)</f>
        <v>0.32</v>
      </c>
      <c r="AF165" s="348">
        <f>+(AF166+AF167+AF168+AF169)*E165</f>
        <v>0.17849999999999999</v>
      </c>
      <c r="AG165" s="348">
        <f>+(AG166+AG167+AG168+AG169)*E165</f>
        <v>0.22294520547945204</v>
      </c>
      <c r="AH165" s="348">
        <f>+(AH166+AH167+AH168+AH169)*E165</f>
        <v>0.11199999999999999</v>
      </c>
      <c r="AI165" s="309">
        <f>+AVERAGE(AI166:AI169)</f>
        <v>0.17541666666666667</v>
      </c>
      <c r="AJ165" s="309">
        <v>0.41416666666666668</v>
      </c>
      <c r="AK165" s="309">
        <f>+AVERAGE(AK166:AK169)</f>
        <v>0.51874999999999993</v>
      </c>
      <c r="AL165" s="309">
        <f>+(AL166+AL167+AL168+AL169)*E165</f>
        <v>6.139583333333333E-2</v>
      </c>
      <c r="AM165" s="309">
        <f>+(AM166+AM167+AM168+AM169)</f>
        <v>0.41416666666666668</v>
      </c>
      <c r="AN165" s="309">
        <f>+(AN166+AN167+AN168+AN169)</f>
        <v>0.51874999999999993</v>
      </c>
      <c r="AO165" s="685"/>
      <c r="AP165" s="308"/>
      <c r="AQ165" s="308"/>
      <c r="AR165" s="308"/>
      <c r="AS165" s="308"/>
      <c r="AT165" s="898"/>
      <c r="AU165" s="895"/>
      <c r="AV165" s="898"/>
    </row>
    <row r="166" spans="1:48" ht="122.4" customHeight="1" thickBot="1" x14ac:dyDescent="0.45">
      <c r="A166" s="302"/>
      <c r="B166" s="1471" t="s">
        <v>618</v>
      </c>
      <c r="C166" s="1472" t="s">
        <v>619</v>
      </c>
      <c r="D166" s="633" t="s">
        <v>620</v>
      </c>
      <c r="E166" s="310">
        <v>0.25</v>
      </c>
      <c r="F166" s="311">
        <v>12</v>
      </c>
      <c r="G166" s="330">
        <v>3</v>
      </c>
      <c r="H166" s="809">
        <v>4</v>
      </c>
      <c r="I166" s="331">
        <v>5</v>
      </c>
      <c r="J166" s="320">
        <f>+G166/F166</f>
        <v>0.25</v>
      </c>
      <c r="K166" s="320">
        <f t="shared" ref="K166:K174" si="128">+H166/F166</f>
        <v>0.33333333333333331</v>
      </c>
      <c r="L166" s="320">
        <f t="shared" ref="L166:L191" si="129">+I166/F166</f>
        <v>0.41666666666666669</v>
      </c>
      <c r="M166" s="374">
        <f>+(G166/F166)*E166</f>
        <v>6.25E-2</v>
      </c>
      <c r="N166" s="374">
        <f>+(H166/F166)*E166</f>
        <v>8.3333333333333329E-2</v>
      </c>
      <c r="O166" s="374"/>
      <c r="P166" s="331">
        <v>0</v>
      </c>
      <c r="Q166" s="527">
        <v>0</v>
      </c>
      <c r="R166" s="527">
        <v>0</v>
      </c>
      <c r="S166" s="527">
        <v>1</v>
      </c>
      <c r="T166" s="527">
        <v>0</v>
      </c>
      <c r="U166" s="527">
        <v>0</v>
      </c>
      <c r="V166" s="331">
        <f>+Q166+R166+S166+T166+U166</f>
        <v>1</v>
      </c>
      <c r="W166" s="331">
        <f t="shared" ref="W166" si="130">+V166+P166+AB166</f>
        <v>3</v>
      </c>
      <c r="X166" s="527">
        <v>2</v>
      </c>
      <c r="Y166" s="331"/>
      <c r="Z166" s="331"/>
      <c r="AA166" s="331"/>
      <c r="AB166" s="331">
        <f t="shared" ref="AB166:AB169" si="131">+X166+Y166+Z166+AA166</f>
        <v>2</v>
      </c>
      <c r="AC166" s="364">
        <f>+(P166/G166)</f>
        <v>0</v>
      </c>
      <c r="AD166" s="319">
        <f>+V166/H166</f>
        <v>0.25</v>
      </c>
      <c r="AE166" s="319">
        <f t="shared" ref="AE166:AE168" si="132">+AB166/I166</f>
        <v>0.4</v>
      </c>
      <c r="AF166" s="319">
        <f>+AC166*E166</f>
        <v>0</v>
      </c>
      <c r="AG166" s="319">
        <f>+AD166*E166</f>
        <v>6.25E-2</v>
      </c>
      <c r="AH166" s="319">
        <f t="shared" ref="AH166:AH169" si="133">+AE166*E166</f>
        <v>0.1</v>
      </c>
      <c r="AI166" s="319">
        <f>+P166/F166</f>
        <v>0</v>
      </c>
      <c r="AJ166" s="319">
        <v>8.3333333333333329E-2</v>
      </c>
      <c r="AK166" s="319">
        <f t="shared" ref="AK166:AK169" si="134">+W166/F166</f>
        <v>0.25</v>
      </c>
      <c r="AL166" s="319">
        <f>+AI166*E166</f>
        <v>0</v>
      </c>
      <c r="AM166" s="319">
        <f>+AJ166*E166</f>
        <v>2.0833333333333332E-2</v>
      </c>
      <c r="AN166" s="319">
        <f t="shared" ref="AN166:AN169" si="135">+AK166*E166</f>
        <v>6.25E-2</v>
      </c>
      <c r="AO166" s="577" t="s">
        <v>1850</v>
      </c>
      <c r="AP166" s="603" t="s">
        <v>1901</v>
      </c>
      <c r="AQ166" s="603" t="s">
        <v>2264</v>
      </c>
      <c r="AR166" s="603" t="s">
        <v>2287</v>
      </c>
      <c r="AS166" s="603" t="s">
        <v>2402</v>
      </c>
      <c r="AT166" s="603" t="s">
        <v>2436</v>
      </c>
      <c r="AU166" s="603" t="s">
        <v>2493</v>
      </c>
      <c r="AV166" s="603" t="s">
        <v>1893</v>
      </c>
    </row>
    <row r="167" spans="1:48" ht="122.4" customHeight="1" thickBot="1" x14ac:dyDescent="0.45">
      <c r="A167" s="302"/>
      <c r="B167" s="1466" t="s">
        <v>621</v>
      </c>
      <c r="C167" s="1467" t="s">
        <v>622</v>
      </c>
      <c r="D167" s="489" t="s">
        <v>620</v>
      </c>
      <c r="E167" s="310">
        <v>0.25</v>
      </c>
      <c r="F167" s="311">
        <v>1</v>
      </c>
      <c r="G167" s="330">
        <v>0.5</v>
      </c>
      <c r="H167" s="809">
        <v>0.73</v>
      </c>
      <c r="I167" s="331">
        <v>0.27</v>
      </c>
      <c r="J167" s="320">
        <f>+G167/F167</f>
        <v>0.5</v>
      </c>
      <c r="K167" s="320">
        <f t="shared" si="128"/>
        <v>0.73</v>
      </c>
      <c r="L167" s="320">
        <f t="shared" si="129"/>
        <v>0.27</v>
      </c>
      <c r="M167" s="374">
        <f>+(G167/F167)*E167</f>
        <v>0.125</v>
      </c>
      <c r="N167" s="374">
        <f t="shared" ref="N167:N191" si="136">+(H167/F167)*E167</f>
        <v>0.1825</v>
      </c>
      <c r="O167" s="374"/>
      <c r="P167" s="331">
        <v>0.27</v>
      </c>
      <c r="Q167" s="867">
        <v>0.35</v>
      </c>
      <c r="R167" s="527">
        <v>0.05</v>
      </c>
      <c r="S167" s="527">
        <v>0</v>
      </c>
      <c r="T167" s="527">
        <v>0</v>
      </c>
      <c r="U167" s="527">
        <v>0</v>
      </c>
      <c r="V167" s="331">
        <f t="shared" ref="V167:V169" si="137">+Q167+R167+S167+T167+U167</f>
        <v>0.39999999999999997</v>
      </c>
      <c r="W167" s="331">
        <f>+V167+P167+AB167+0.06</f>
        <v>0.81999999999999984</v>
      </c>
      <c r="X167" s="527">
        <v>0.09</v>
      </c>
      <c r="Y167" s="331"/>
      <c r="Z167" s="331"/>
      <c r="AA167" s="331"/>
      <c r="AB167" s="331">
        <f t="shared" si="131"/>
        <v>0.09</v>
      </c>
      <c r="AC167" s="364">
        <f>+(P167/G167)</f>
        <v>0.54</v>
      </c>
      <c r="AD167" s="319">
        <f>+V167/H167</f>
        <v>0.54794520547945202</v>
      </c>
      <c r="AE167" s="319">
        <f>+AB167/I167</f>
        <v>0.33333333333333331</v>
      </c>
      <c r="AF167" s="319">
        <f>+AC167*E167</f>
        <v>0.13500000000000001</v>
      </c>
      <c r="AG167" s="319">
        <f>+AD167*E167</f>
        <v>0.13698630136986301</v>
      </c>
      <c r="AH167" s="319">
        <f t="shared" si="133"/>
        <v>8.3333333333333329E-2</v>
      </c>
      <c r="AI167" s="319">
        <f>+P167/F167</f>
        <v>0.27</v>
      </c>
      <c r="AJ167" s="319">
        <v>0.66999999999999993</v>
      </c>
      <c r="AK167" s="319">
        <f t="shared" si="134"/>
        <v>0.81999999999999984</v>
      </c>
      <c r="AL167" s="319">
        <f>+AI167*E167</f>
        <v>6.7500000000000004E-2</v>
      </c>
      <c r="AM167" s="319">
        <f>+AJ167*E167</f>
        <v>0.16749999999999998</v>
      </c>
      <c r="AN167" s="319">
        <f t="shared" si="135"/>
        <v>0.20499999999999996</v>
      </c>
      <c r="AO167" s="577" t="s">
        <v>1850</v>
      </c>
      <c r="AP167" s="603" t="s">
        <v>1901</v>
      </c>
      <c r="AQ167" s="603" t="s">
        <v>2264</v>
      </c>
      <c r="AR167" s="603" t="s">
        <v>2287</v>
      </c>
      <c r="AS167" s="603" t="s">
        <v>2402</v>
      </c>
      <c r="AT167" s="603" t="s">
        <v>2436</v>
      </c>
      <c r="AU167" s="603" t="s">
        <v>2493</v>
      </c>
      <c r="AV167" s="603" t="s">
        <v>1893</v>
      </c>
    </row>
    <row r="168" spans="1:48" ht="122.4" customHeight="1" thickBot="1" x14ac:dyDescent="0.45">
      <c r="A168" s="302"/>
      <c r="B168" s="1466" t="s">
        <v>623</v>
      </c>
      <c r="C168" s="1467" t="s">
        <v>624</v>
      </c>
      <c r="D168" s="489" t="s">
        <v>620</v>
      </c>
      <c r="E168" s="310">
        <v>0.25</v>
      </c>
      <c r="F168" s="311">
        <v>16</v>
      </c>
      <c r="G168" s="330">
        <v>4</v>
      </c>
      <c r="H168" s="809">
        <v>4</v>
      </c>
      <c r="I168" s="331">
        <v>6</v>
      </c>
      <c r="J168" s="320">
        <f>+G168/F168</f>
        <v>0.25</v>
      </c>
      <c r="K168" s="320">
        <f t="shared" si="128"/>
        <v>0.25</v>
      </c>
      <c r="L168" s="320">
        <f t="shared" si="129"/>
        <v>0.375</v>
      </c>
      <c r="M168" s="374">
        <f>+(G168/F168)*E168</f>
        <v>6.25E-2</v>
      </c>
      <c r="N168" s="374">
        <f t="shared" si="136"/>
        <v>6.25E-2</v>
      </c>
      <c r="O168" s="374"/>
      <c r="P168" s="331">
        <v>2</v>
      </c>
      <c r="Q168" s="527">
        <v>1</v>
      </c>
      <c r="R168" s="527">
        <v>0</v>
      </c>
      <c r="S168" s="527">
        <v>2</v>
      </c>
      <c r="T168" s="527">
        <v>0</v>
      </c>
      <c r="U168" s="527">
        <v>0</v>
      </c>
      <c r="V168" s="331">
        <f t="shared" si="137"/>
        <v>3</v>
      </c>
      <c r="W168" s="331">
        <f>+V168+P168+AB168</f>
        <v>5</v>
      </c>
      <c r="X168" s="527">
        <v>0</v>
      </c>
      <c r="Y168" s="331"/>
      <c r="Z168" s="331"/>
      <c r="AA168" s="331"/>
      <c r="AB168" s="331">
        <f t="shared" si="131"/>
        <v>0</v>
      </c>
      <c r="AC168" s="364">
        <f>+(P168/G168)</f>
        <v>0.5</v>
      </c>
      <c r="AD168" s="319">
        <f>+V168/H168</f>
        <v>0.75</v>
      </c>
      <c r="AE168" s="319">
        <f t="shared" si="132"/>
        <v>0</v>
      </c>
      <c r="AF168" s="319">
        <f>+AC168*E168</f>
        <v>0.125</v>
      </c>
      <c r="AG168" s="319">
        <f>+AD168*E168</f>
        <v>0.1875</v>
      </c>
      <c r="AH168" s="319">
        <f t="shared" si="133"/>
        <v>0</v>
      </c>
      <c r="AI168" s="319">
        <f>+P168/F168</f>
        <v>0.125</v>
      </c>
      <c r="AJ168" s="319">
        <v>0.3125</v>
      </c>
      <c r="AK168" s="319">
        <f t="shared" si="134"/>
        <v>0.3125</v>
      </c>
      <c r="AL168" s="319">
        <f>+AI168*E168</f>
        <v>3.125E-2</v>
      </c>
      <c r="AM168" s="319">
        <f>+AJ168*E168</f>
        <v>7.8125E-2</v>
      </c>
      <c r="AN168" s="319">
        <f t="shared" si="135"/>
        <v>7.8125E-2</v>
      </c>
      <c r="AO168" s="577" t="s">
        <v>1850</v>
      </c>
      <c r="AP168" s="603" t="s">
        <v>1901</v>
      </c>
      <c r="AQ168" s="603" t="s">
        <v>2264</v>
      </c>
      <c r="AR168" s="603" t="s">
        <v>2287</v>
      </c>
      <c r="AS168" s="603" t="s">
        <v>2402</v>
      </c>
      <c r="AT168" s="603" t="s">
        <v>2436</v>
      </c>
      <c r="AU168" s="603" t="s">
        <v>2493</v>
      </c>
      <c r="AV168" s="603" t="s">
        <v>1893</v>
      </c>
    </row>
    <row r="169" spans="1:48" ht="122.4" customHeight="1" thickBot="1" x14ac:dyDescent="0.45">
      <c r="A169" s="302"/>
      <c r="B169" s="1466" t="s">
        <v>625</v>
      </c>
      <c r="C169" s="1467" t="s">
        <v>626</v>
      </c>
      <c r="D169" s="489" t="s">
        <v>620</v>
      </c>
      <c r="E169" s="310">
        <v>0.25</v>
      </c>
      <c r="F169" s="311">
        <v>1200</v>
      </c>
      <c r="G169" s="330">
        <v>300</v>
      </c>
      <c r="H169" s="809">
        <v>300</v>
      </c>
      <c r="I169" s="331">
        <v>300</v>
      </c>
      <c r="J169" s="320">
        <f>+G169/F169</f>
        <v>0.25</v>
      </c>
      <c r="K169" s="320">
        <f t="shared" si="128"/>
        <v>0.25</v>
      </c>
      <c r="L169" s="320">
        <f t="shared" si="129"/>
        <v>0.25</v>
      </c>
      <c r="M169" s="374">
        <f>+(G169/F169)*E169</f>
        <v>6.25E-2</v>
      </c>
      <c r="N169" s="374">
        <f t="shared" si="136"/>
        <v>6.25E-2</v>
      </c>
      <c r="O169" s="374"/>
      <c r="P169" s="331">
        <v>368</v>
      </c>
      <c r="Q169" s="527">
        <v>83</v>
      </c>
      <c r="R169" s="527">
        <v>117</v>
      </c>
      <c r="S169" s="527">
        <v>42</v>
      </c>
      <c r="T169" s="527">
        <v>52</v>
      </c>
      <c r="U169" s="527">
        <v>5</v>
      </c>
      <c r="V169" s="331">
        <f t="shared" si="137"/>
        <v>299</v>
      </c>
      <c r="W169" s="331">
        <f>+V169+P169+AB169</f>
        <v>831</v>
      </c>
      <c r="X169" s="527">
        <v>164</v>
      </c>
      <c r="Y169" s="331"/>
      <c r="Z169" s="331"/>
      <c r="AA169" s="331"/>
      <c r="AB169" s="331">
        <f t="shared" si="131"/>
        <v>164</v>
      </c>
      <c r="AC169" s="364">
        <v>1</v>
      </c>
      <c r="AD169" s="319">
        <v>1</v>
      </c>
      <c r="AE169" s="319">
        <f>+AB169/I169</f>
        <v>0.54666666666666663</v>
      </c>
      <c r="AF169" s="319">
        <f>+AC169*E169</f>
        <v>0.25</v>
      </c>
      <c r="AG169" s="319">
        <f>+AD169*E169</f>
        <v>0.25</v>
      </c>
      <c r="AH169" s="319">
        <f t="shared" si="133"/>
        <v>0.13666666666666666</v>
      </c>
      <c r="AI169" s="319">
        <f>+P169/F169</f>
        <v>0.30666666666666664</v>
      </c>
      <c r="AJ169" s="319">
        <v>0.59083333333333332</v>
      </c>
      <c r="AK169" s="319">
        <f t="shared" si="134"/>
        <v>0.6925</v>
      </c>
      <c r="AL169" s="319">
        <f>+AI169*E169</f>
        <v>7.6666666666666661E-2</v>
      </c>
      <c r="AM169" s="319">
        <f>+AJ169*E169</f>
        <v>0.14770833333333333</v>
      </c>
      <c r="AN169" s="319">
        <f t="shared" si="135"/>
        <v>0.173125</v>
      </c>
      <c r="AO169" s="577" t="s">
        <v>1850</v>
      </c>
      <c r="AP169" s="901" t="s">
        <v>1956</v>
      </c>
      <c r="AQ169" s="603" t="s">
        <v>2264</v>
      </c>
      <c r="AR169" s="603" t="s">
        <v>2287</v>
      </c>
      <c r="AS169" s="603" t="s">
        <v>2402</v>
      </c>
      <c r="AT169" s="603" t="s">
        <v>2436</v>
      </c>
      <c r="AU169" s="603" t="s">
        <v>2493</v>
      </c>
      <c r="AV169" s="603" t="s">
        <v>1893</v>
      </c>
    </row>
    <row r="170" spans="1:48" ht="122.4" customHeight="1" thickBot="1" x14ac:dyDescent="0.55000000000000004">
      <c r="A170" s="302"/>
      <c r="B170" s="1551" t="s">
        <v>1673</v>
      </c>
      <c r="C170" s="1552"/>
      <c r="D170" s="621"/>
      <c r="E170" s="307">
        <v>0.2</v>
      </c>
      <c r="F170" s="311"/>
      <c r="G170" s="330"/>
      <c r="H170" s="809"/>
      <c r="I170" s="331"/>
      <c r="J170" s="327">
        <f>+AVERAGE(J171:J172)</f>
        <v>3.2271422261484099E-2</v>
      </c>
      <c r="K170" s="327">
        <f>+AVERAGE(K171:K172)</f>
        <v>0.31835247349823326</v>
      </c>
      <c r="L170" s="327">
        <f>+AVERAGE(L171:L172)</f>
        <v>0.31835247349823326</v>
      </c>
      <c r="M170" s="309">
        <f>+M171+M172</f>
        <v>2.6429991166077735E-2</v>
      </c>
      <c r="N170" s="309">
        <f>+N171+N172</f>
        <v>0.32069346289752654</v>
      </c>
      <c r="O170" s="309"/>
      <c r="P170" s="331"/>
      <c r="Q170" s="362"/>
      <c r="R170" s="362"/>
      <c r="S170" s="362"/>
      <c r="T170" s="362"/>
      <c r="U170" s="362"/>
      <c r="V170" s="362"/>
      <c r="W170" s="362"/>
      <c r="X170" s="362"/>
      <c r="Y170" s="362"/>
      <c r="Z170" s="362"/>
      <c r="AA170" s="362"/>
      <c r="AB170" s="362"/>
      <c r="AC170" s="524">
        <f>+AVERAGE(AC171:AC173)</f>
        <v>0.95000000000000007</v>
      </c>
      <c r="AD170" s="348">
        <f>+AVERAGE(AD171:AD172)</f>
        <v>1</v>
      </c>
      <c r="AE170" s="348">
        <f>+AVERAGE(AE171:AE172)</f>
        <v>5.4536784741144415E-2</v>
      </c>
      <c r="AF170" s="348">
        <f>+(AF171+AF172)*E170</f>
        <v>0.17900000000000002</v>
      </c>
      <c r="AG170" s="348">
        <f>+(AG171+AG172)*E170</f>
        <v>0.2</v>
      </c>
      <c r="AH170" s="348">
        <f>+(AH171+AH172)*E170</f>
        <v>8.0702997275204358E-3</v>
      </c>
      <c r="AI170" s="309">
        <f>+AVERAGE(AI171:AI172)</f>
        <v>3.7196333922261481E-2</v>
      </c>
      <c r="AJ170" s="309">
        <v>0.36217424911660778</v>
      </c>
      <c r="AK170" s="309">
        <f>+AVERAGE(AK171:AK172)</f>
        <v>0.37932862190812722</v>
      </c>
      <c r="AL170" s="309">
        <f>+(AL171+AL172)*E170</f>
        <v>5.6649734982332153E-3</v>
      </c>
      <c r="AM170" s="309">
        <f>+(AM171+AM172)</f>
        <v>0.35829394876325088</v>
      </c>
      <c r="AN170" s="309">
        <f>+(AN171+AN172)</f>
        <v>0.37106007067137808</v>
      </c>
      <c r="AO170" s="891"/>
      <c r="AP170" s="308"/>
      <c r="AQ170" s="308"/>
      <c r="AR170" s="308"/>
      <c r="AS170" s="308"/>
      <c r="AT170" s="898"/>
      <c r="AU170" s="895"/>
      <c r="AV170" s="898"/>
    </row>
    <row r="171" spans="1:48" ht="122.4" customHeight="1" thickBot="1" x14ac:dyDescent="0.55000000000000004">
      <c r="A171" s="302"/>
      <c r="B171" s="1466" t="s">
        <v>627</v>
      </c>
      <c r="C171" s="1467" t="s">
        <v>628</v>
      </c>
      <c r="D171" s="628" t="s">
        <v>620</v>
      </c>
      <c r="E171" s="310">
        <v>0.7</v>
      </c>
      <c r="F171" s="311">
        <v>1132</v>
      </c>
      <c r="G171" s="330">
        <v>20</v>
      </c>
      <c r="H171" s="809">
        <v>367</v>
      </c>
      <c r="I171" s="331">
        <v>367</v>
      </c>
      <c r="J171" s="320">
        <f>+G171/F171</f>
        <v>1.7667844522968199E-2</v>
      </c>
      <c r="K171" s="320">
        <f t="shared" si="128"/>
        <v>0.32420494699646646</v>
      </c>
      <c r="L171" s="320">
        <f t="shared" si="129"/>
        <v>0.32420494699646646</v>
      </c>
      <c r="M171" s="374">
        <f>+(G171/F171)*E171</f>
        <v>1.2367491166077738E-2</v>
      </c>
      <c r="N171" s="374">
        <f t="shared" si="136"/>
        <v>0.22694346289752651</v>
      </c>
      <c r="O171" s="374"/>
      <c r="P171" s="331">
        <v>17</v>
      </c>
      <c r="Q171" s="527">
        <v>209</v>
      </c>
      <c r="R171" s="527">
        <v>0</v>
      </c>
      <c r="S171" s="527">
        <v>27</v>
      </c>
      <c r="T171" s="527">
        <v>146</v>
      </c>
      <c r="U171" s="527">
        <v>0</v>
      </c>
      <c r="V171" s="331">
        <f>+Q171+R171+S171+T171+U171</f>
        <v>382</v>
      </c>
      <c r="W171" s="331">
        <f>+V171+P171+AB171</f>
        <v>406</v>
      </c>
      <c r="X171" s="527">
        <v>7</v>
      </c>
      <c r="Y171" s="331"/>
      <c r="Z171" s="331"/>
      <c r="AA171" s="331"/>
      <c r="AB171" s="331">
        <f t="shared" ref="AB171:AB172" si="138">+X171+Y171+Z171+AA171</f>
        <v>7</v>
      </c>
      <c r="AC171" s="364">
        <f>+(P171/G171)</f>
        <v>0.85</v>
      </c>
      <c r="AD171" s="319">
        <v>1</v>
      </c>
      <c r="AE171" s="319">
        <f t="shared" ref="AE171:AE172" si="139">+AB171/I171</f>
        <v>1.9073569482288829E-2</v>
      </c>
      <c r="AF171" s="319">
        <f>+AC171*E171</f>
        <v>0.59499999999999997</v>
      </c>
      <c r="AG171" s="319">
        <f>+AD171*E171</f>
        <v>0.7</v>
      </c>
      <c r="AH171" s="319">
        <f t="shared" ref="AH171:AH172" si="140">+AE171*E171</f>
        <v>1.3351498637602179E-2</v>
      </c>
      <c r="AI171" s="319">
        <f>+P171/F171</f>
        <v>1.5017667844522967E-2</v>
      </c>
      <c r="AJ171" s="319">
        <v>0.35247349823321555</v>
      </c>
      <c r="AK171" s="319">
        <f t="shared" ref="AK171:AK172" si="141">+W171/F171</f>
        <v>0.35865724381625441</v>
      </c>
      <c r="AL171" s="324">
        <f>+AI171*E171</f>
        <v>1.0512367491166076E-2</v>
      </c>
      <c r="AM171" s="324">
        <f>+AJ171*E171</f>
        <v>0.24673144876325087</v>
      </c>
      <c r="AN171" s="324">
        <f t="shared" ref="AN171:AN172" si="142">+AK171*E171</f>
        <v>0.25106007067137809</v>
      </c>
      <c r="AO171" s="577" t="s">
        <v>1850</v>
      </c>
      <c r="AP171" s="603" t="s">
        <v>1901</v>
      </c>
      <c r="AQ171" s="308"/>
      <c r="AR171" s="579" t="s">
        <v>2287</v>
      </c>
      <c r="AS171" s="603" t="s">
        <v>2402</v>
      </c>
      <c r="AT171" s="603" t="s">
        <v>2436</v>
      </c>
      <c r="AU171" s="895"/>
      <c r="AV171" s="603" t="s">
        <v>1893</v>
      </c>
    </row>
    <row r="172" spans="1:48" ht="122.4" customHeight="1" thickBot="1" x14ac:dyDescent="0.55000000000000004">
      <c r="A172" s="302"/>
      <c r="B172" s="1466" t="s">
        <v>629</v>
      </c>
      <c r="C172" s="1467" t="s">
        <v>630</v>
      </c>
      <c r="D172" s="634" t="s">
        <v>620</v>
      </c>
      <c r="E172" s="310">
        <v>0.3</v>
      </c>
      <c r="F172" s="311">
        <v>320</v>
      </c>
      <c r="G172" s="330">
        <v>15</v>
      </c>
      <c r="H172" s="809">
        <v>100</v>
      </c>
      <c r="I172" s="331">
        <v>100</v>
      </c>
      <c r="J172" s="320">
        <f>+G172/F172</f>
        <v>4.6875E-2</v>
      </c>
      <c r="K172" s="320">
        <f t="shared" si="128"/>
        <v>0.3125</v>
      </c>
      <c r="L172" s="320">
        <f t="shared" si="129"/>
        <v>0.3125</v>
      </c>
      <c r="M172" s="374">
        <f>+(G172/F172)*E172</f>
        <v>1.4062499999999999E-2</v>
      </c>
      <c r="N172" s="374">
        <f t="shared" si="136"/>
        <v>9.375E-2</v>
      </c>
      <c r="O172" s="374"/>
      <c r="P172" s="331">
        <v>19</v>
      </c>
      <c r="Q172" s="527">
        <v>46</v>
      </c>
      <c r="R172" s="527">
        <v>0</v>
      </c>
      <c r="S172" s="527">
        <v>6</v>
      </c>
      <c r="T172" s="527">
        <v>42</v>
      </c>
      <c r="U172" s="527">
        <v>6</v>
      </c>
      <c r="V172" s="331">
        <f>+Q172+R172+S172+T172+U172</f>
        <v>100</v>
      </c>
      <c r="W172" s="331">
        <f>+V172+P172+AB172</f>
        <v>128</v>
      </c>
      <c r="X172" s="527">
        <v>9</v>
      </c>
      <c r="Y172" s="331"/>
      <c r="Z172" s="331"/>
      <c r="AA172" s="331"/>
      <c r="AB172" s="331">
        <f t="shared" si="138"/>
        <v>9</v>
      </c>
      <c r="AC172" s="364">
        <v>1</v>
      </c>
      <c r="AD172" s="319">
        <f>+V172/H172</f>
        <v>1</v>
      </c>
      <c r="AE172" s="319">
        <f t="shared" si="139"/>
        <v>0.09</v>
      </c>
      <c r="AF172" s="319">
        <f>+AC172*E172</f>
        <v>0.3</v>
      </c>
      <c r="AG172" s="319">
        <f>+AD172*E172</f>
        <v>0.3</v>
      </c>
      <c r="AH172" s="319">
        <f t="shared" si="140"/>
        <v>2.7E-2</v>
      </c>
      <c r="AI172" s="319">
        <f>+P172/F172</f>
        <v>5.9374999999999997E-2</v>
      </c>
      <c r="AJ172" s="319">
        <v>0.37187500000000001</v>
      </c>
      <c r="AK172" s="319">
        <f t="shared" si="141"/>
        <v>0.4</v>
      </c>
      <c r="AL172" s="319">
        <f>+AI172*E172</f>
        <v>1.7812499999999998E-2</v>
      </c>
      <c r="AM172" s="319">
        <f>+AJ172*E172</f>
        <v>0.1115625</v>
      </c>
      <c r="AN172" s="319">
        <f t="shared" si="142"/>
        <v>0.12</v>
      </c>
      <c r="AO172" s="577" t="s">
        <v>1850</v>
      </c>
      <c r="AP172" s="603" t="s">
        <v>1901</v>
      </c>
      <c r="AQ172" s="308"/>
      <c r="AR172" s="579" t="s">
        <v>2287</v>
      </c>
      <c r="AS172" s="603" t="s">
        <v>2402</v>
      </c>
      <c r="AT172" s="603" t="s">
        <v>2436</v>
      </c>
      <c r="AU172" s="895"/>
      <c r="AV172" s="603" t="s">
        <v>1893</v>
      </c>
    </row>
    <row r="173" spans="1:48" ht="122.4" customHeight="1" thickBot="1" x14ac:dyDescent="0.55000000000000004">
      <c r="A173" s="302"/>
      <c r="B173" s="1544" t="s">
        <v>1674</v>
      </c>
      <c r="C173" s="1545"/>
      <c r="D173" s="616"/>
      <c r="E173" s="307">
        <v>0.1</v>
      </c>
      <c r="F173" s="311"/>
      <c r="G173" s="330"/>
      <c r="H173" s="809"/>
      <c r="I173" s="331"/>
      <c r="J173" s="327">
        <f>+AVERAGE(J174:J175)</f>
        <v>0.25058139534883722</v>
      </c>
      <c r="K173" s="327">
        <f>+AVERAGE(K174:K175)</f>
        <v>0.25058139534883722</v>
      </c>
      <c r="L173" s="327">
        <f>+AVERAGE(L174:L175)</f>
        <v>0.25290697674418605</v>
      </c>
      <c r="M173" s="309">
        <f>+M174+M175</f>
        <v>0.2508139534883721</v>
      </c>
      <c r="N173" s="309">
        <f>+N174+N175</f>
        <v>0.2508139534883721</v>
      </c>
      <c r="O173" s="309"/>
      <c r="P173" s="331"/>
      <c r="Q173" s="362"/>
      <c r="R173" s="362"/>
      <c r="S173" s="362"/>
      <c r="T173" s="362"/>
      <c r="U173" s="362"/>
      <c r="V173" s="362"/>
      <c r="W173" s="362"/>
      <c r="X173" s="362"/>
      <c r="Y173" s="362"/>
      <c r="Z173" s="362"/>
      <c r="AA173" s="362"/>
      <c r="AB173" s="362"/>
      <c r="AC173" s="524">
        <f>+AVERAGE(AC174:AC175)</f>
        <v>1</v>
      </c>
      <c r="AD173" s="348">
        <f>+AVERAGE(AD174:AD175)</f>
        <v>0.99314814814814811</v>
      </c>
      <c r="AE173" s="348">
        <f>+AVERAGE(AE174:AE175)</f>
        <v>0.12551515151515152</v>
      </c>
      <c r="AF173" s="348">
        <f>+(AF174+AF175)*E173</f>
        <v>0.1</v>
      </c>
      <c r="AG173" s="348">
        <f>+(AG174+AG175)*E173</f>
        <v>9.9040740740740749E-2</v>
      </c>
      <c r="AH173" s="348">
        <f>+(AH174+AH175)*E173</f>
        <v>1.0905454545454545E-2</v>
      </c>
      <c r="AI173" s="309">
        <f>+AVERAGE(AI174:AI175)</f>
        <v>0.33380620155038759</v>
      </c>
      <c r="AJ173" s="309">
        <v>0.58266666666666667</v>
      </c>
      <c r="AK173" s="309">
        <f>+AVERAGE(AK174:AK175)</f>
        <v>0.61429069767441868</v>
      </c>
      <c r="AL173" s="309">
        <f>+(AL174+AL175)*E173</f>
        <v>3.3399534883720931E-2</v>
      </c>
      <c r="AM173" s="309">
        <f>+(AM174+AM175)</f>
        <v>0.58239999999999992</v>
      </c>
      <c r="AN173" s="309">
        <f>+(AN174+AN175)</f>
        <v>0.61000697674418602</v>
      </c>
      <c r="AO173" s="685"/>
      <c r="AP173" s="308"/>
      <c r="AQ173" s="308"/>
      <c r="AR173" s="308"/>
      <c r="AS173" s="308"/>
      <c r="AT173" s="898"/>
      <c r="AU173" s="895"/>
      <c r="AV173" s="898"/>
    </row>
    <row r="174" spans="1:48" ht="122.4" customHeight="1" thickBot="1" x14ac:dyDescent="0.55000000000000004">
      <c r="A174" s="302"/>
      <c r="B174" s="1457" t="s">
        <v>631</v>
      </c>
      <c r="C174" s="1461" t="s">
        <v>632</v>
      </c>
      <c r="D174" s="489" t="s">
        <v>620</v>
      </c>
      <c r="E174" s="310">
        <v>0.7</v>
      </c>
      <c r="F174" s="311">
        <v>21500</v>
      </c>
      <c r="G174" s="330">
        <v>5400</v>
      </c>
      <c r="H174" s="809">
        <v>5400</v>
      </c>
      <c r="I174" s="331">
        <v>5500</v>
      </c>
      <c r="J174" s="320">
        <f>+G174/F174</f>
        <v>0.25116279069767444</v>
      </c>
      <c r="K174" s="320">
        <f t="shared" si="128"/>
        <v>0.25116279069767444</v>
      </c>
      <c r="L174" s="320">
        <f>+I174/F174</f>
        <v>0.2558139534883721</v>
      </c>
      <c r="M174" s="374">
        <f>+(G174/F174)*E174</f>
        <v>0.17581395348837209</v>
      </c>
      <c r="N174" s="374">
        <f t="shared" si="136"/>
        <v>0.17581395348837209</v>
      </c>
      <c r="O174" s="374"/>
      <c r="P174" s="331">
        <v>7187</v>
      </c>
      <c r="Q174" s="527">
        <v>300</v>
      </c>
      <c r="R174" s="527">
        <f>1338+205</f>
        <v>1543</v>
      </c>
      <c r="S174" s="527">
        <v>434</v>
      </c>
      <c r="T174" s="527">
        <v>3049</v>
      </c>
      <c r="U174" s="527">
        <v>0</v>
      </c>
      <c r="V174" s="331">
        <f>+Q174+R174+S174+T174+U174</f>
        <v>5326</v>
      </c>
      <c r="W174" s="331">
        <f>+V174+P174+AB174</f>
        <v>12977</v>
      </c>
      <c r="X174" s="527">
        <v>464</v>
      </c>
      <c r="Y174" s="331"/>
      <c r="Z174" s="331"/>
      <c r="AA174" s="331"/>
      <c r="AB174" s="331">
        <f t="shared" ref="AB174:AB175" si="143">+X174+Y174+Z174+AA174</f>
        <v>464</v>
      </c>
      <c r="AC174" s="364">
        <v>1</v>
      </c>
      <c r="AD174" s="319">
        <f>+V174/H174</f>
        <v>0.98629629629629634</v>
      </c>
      <c r="AE174" s="319">
        <f t="shared" ref="AE174:AE175" si="144">+AB174/I174</f>
        <v>8.4363636363636363E-2</v>
      </c>
      <c r="AF174" s="319">
        <f>+AC174*E174</f>
        <v>0.7</v>
      </c>
      <c r="AG174" s="319">
        <f>+AD174*E174</f>
        <v>0.69040740740740736</v>
      </c>
      <c r="AH174" s="319">
        <f t="shared" ref="AH174:AH175" si="145">+AE174*E174</f>
        <v>5.905454545454545E-2</v>
      </c>
      <c r="AI174" s="319">
        <f>+P174/F174</f>
        <v>0.33427906976744187</v>
      </c>
      <c r="AJ174" s="319">
        <v>0.58199999999999996</v>
      </c>
      <c r="AK174" s="319">
        <f t="shared" ref="AK174:AK175" si="146">+W174/F174</f>
        <v>0.60358139534883726</v>
      </c>
      <c r="AL174" s="319">
        <f>+AI174*E174</f>
        <v>0.23399534883720929</v>
      </c>
      <c r="AM174" s="319">
        <f>+AJ174*E174</f>
        <v>0.40739999999999993</v>
      </c>
      <c r="AN174" s="319">
        <f t="shared" ref="AN174:AN175" si="147">+AK174*E174</f>
        <v>0.42250697674418608</v>
      </c>
      <c r="AO174" s="577" t="s">
        <v>1850</v>
      </c>
      <c r="AP174" s="308"/>
      <c r="AQ174" s="308"/>
      <c r="AR174" s="579" t="s">
        <v>2287</v>
      </c>
      <c r="AS174" s="603" t="s">
        <v>2402</v>
      </c>
      <c r="AT174" s="603" t="s">
        <v>2436</v>
      </c>
      <c r="AU174" s="895"/>
      <c r="AV174" s="934" t="s">
        <v>1893</v>
      </c>
    </row>
    <row r="175" spans="1:48" ht="122.4" customHeight="1" thickBot="1" x14ac:dyDescent="0.55000000000000004">
      <c r="A175" s="302"/>
      <c r="B175" s="1474" t="s">
        <v>633</v>
      </c>
      <c r="C175" s="1475" t="s">
        <v>634</v>
      </c>
      <c r="D175" s="489" t="s">
        <v>620</v>
      </c>
      <c r="E175" s="310">
        <v>0.3</v>
      </c>
      <c r="F175" s="311">
        <v>12</v>
      </c>
      <c r="G175" s="330">
        <v>3</v>
      </c>
      <c r="H175" s="809">
        <v>3</v>
      </c>
      <c r="I175" s="331">
        <v>3</v>
      </c>
      <c r="J175" s="320">
        <f>+G175/F175</f>
        <v>0.25</v>
      </c>
      <c r="K175" s="320">
        <f>+H175/F175</f>
        <v>0.25</v>
      </c>
      <c r="L175" s="320">
        <f t="shared" si="129"/>
        <v>0.25</v>
      </c>
      <c r="M175" s="374">
        <f>+(G175/F175)*E175</f>
        <v>7.4999999999999997E-2</v>
      </c>
      <c r="N175" s="374">
        <f t="shared" si="136"/>
        <v>7.4999999999999997E-2</v>
      </c>
      <c r="O175" s="374"/>
      <c r="P175" s="331">
        <v>4</v>
      </c>
      <c r="Q175" s="527">
        <v>0.5</v>
      </c>
      <c r="R175" s="527">
        <v>1</v>
      </c>
      <c r="S175" s="527">
        <v>0.5</v>
      </c>
      <c r="T175" s="527">
        <v>1</v>
      </c>
      <c r="U175" s="527">
        <v>0</v>
      </c>
      <c r="V175" s="331">
        <f>+Q175+R175+S175+T175+U175</f>
        <v>3</v>
      </c>
      <c r="W175" s="331">
        <f>+V175+P175+AB175</f>
        <v>7.5</v>
      </c>
      <c r="X175" s="527">
        <v>0.5</v>
      </c>
      <c r="Y175" s="331"/>
      <c r="Z175" s="331"/>
      <c r="AA175" s="331"/>
      <c r="AB175" s="331">
        <f t="shared" si="143"/>
        <v>0.5</v>
      </c>
      <c r="AC175" s="364">
        <v>1</v>
      </c>
      <c r="AD175" s="319">
        <f>+V175/H175</f>
        <v>1</v>
      </c>
      <c r="AE175" s="319">
        <f t="shared" si="144"/>
        <v>0.16666666666666666</v>
      </c>
      <c r="AF175" s="319">
        <f>+AC175*E175</f>
        <v>0.3</v>
      </c>
      <c r="AG175" s="319">
        <f>+AD175*E175</f>
        <v>0.3</v>
      </c>
      <c r="AH175" s="319">
        <f t="shared" si="145"/>
        <v>4.9999999999999996E-2</v>
      </c>
      <c r="AI175" s="319">
        <f>+P175/F175</f>
        <v>0.33333333333333331</v>
      </c>
      <c r="AJ175" s="319">
        <v>0.58333333333333337</v>
      </c>
      <c r="AK175" s="319">
        <f t="shared" si="146"/>
        <v>0.625</v>
      </c>
      <c r="AL175" s="319">
        <f>+AI175*E175</f>
        <v>9.9999999999999992E-2</v>
      </c>
      <c r="AM175" s="319">
        <f>+AJ175*E175</f>
        <v>0.17500000000000002</v>
      </c>
      <c r="AN175" s="319">
        <f t="shared" si="147"/>
        <v>0.1875</v>
      </c>
      <c r="AO175" s="577" t="s">
        <v>1850</v>
      </c>
      <c r="AP175" s="308"/>
      <c r="AQ175" s="308"/>
      <c r="AR175" s="579" t="s">
        <v>2287</v>
      </c>
      <c r="AS175" s="603" t="s">
        <v>2402</v>
      </c>
      <c r="AT175" s="603" t="s">
        <v>2436</v>
      </c>
      <c r="AU175" s="895"/>
      <c r="AV175" s="934" t="s">
        <v>1893</v>
      </c>
    </row>
    <row r="176" spans="1:48" ht="122.4" customHeight="1" thickBot="1" x14ac:dyDescent="0.55000000000000004">
      <c r="A176" s="302"/>
      <c r="B176" s="1555" t="s">
        <v>1675</v>
      </c>
      <c r="C176" s="1556"/>
      <c r="D176" s="490"/>
      <c r="E176" s="307">
        <v>0.1</v>
      </c>
      <c r="F176" s="311"/>
      <c r="G176" s="330"/>
      <c r="H176" s="809"/>
      <c r="I176" s="331"/>
      <c r="J176" s="327">
        <f>+AVERAGE(J177:J181)</f>
        <v>0.40547619047619043</v>
      </c>
      <c r="K176" s="327">
        <f>+AVERAGE(K177:K181)</f>
        <v>0.26428571428571429</v>
      </c>
      <c r="L176" s="327">
        <f>+AVERAGE(L177:L181)</f>
        <v>0.21910714285714283</v>
      </c>
      <c r="M176" s="309">
        <f>+M177+M178+M179+M180+M181</f>
        <v>0.29269047619047617</v>
      </c>
      <c r="N176" s="309">
        <f>+N177+N178+N179+N180+N181</f>
        <v>0.27214285714285719</v>
      </c>
      <c r="O176" s="309"/>
      <c r="P176" s="331"/>
      <c r="Q176" s="362"/>
      <c r="R176" s="362"/>
      <c r="S176" s="362"/>
      <c r="T176" s="362"/>
      <c r="U176" s="362"/>
      <c r="V176" s="362"/>
      <c r="W176" s="362"/>
      <c r="X176" s="362"/>
      <c r="Y176" s="362"/>
      <c r="Z176" s="362"/>
      <c r="AA176" s="362"/>
      <c r="AB176" s="362"/>
      <c r="AC176" s="524">
        <f>+AVERAGE(AC177:AC181)</f>
        <v>0.95348837209302328</v>
      </c>
      <c r="AD176" s="348">
        <f>+AVERAGE(AD177:AD181)</f>
        <v>0.99710447761194021</v>
      </c>
      <c r="AE176" s="348">
        <f>+AVERAGE(AE177:AE181)</f>
        <v>0.40533254778737893</v>
      </c>
      <c r="AF176" s="348">
        <f>+(AF177+AF178+AF179+AF180+AF181)*E176</f>
        <v>7.7209302325581403E-2</v>
      </c>
      <c r="AG176" s="348">
        <f>+(AG177+AG178+AG179+AG180+AG181)*E176</f>
        <v>9.9565671641791059E-2</v>
      </c>
      <c r="AH176" s="348">
        <f>+(AH177+AH178+AH179+AH180+AH181)*E176</f>
        <v>2.9341660120450381E-2</v>
      </c>
      <c r="AI176" s="309">
        <f>+AVERAGE(AI177:AI181)</f>
        <v>0.36753669154228857</v>
      </c>
      <c r="AJ176" s="309">
        <v>0.70765785358919697</v>
      </c>
      <c r="AK176" s="309">
        <f>+AVERAGE(AK177:AK181)</f>
        <v>0.79285970149253737</v>
      </c>
      <c r="AL176" s="309">
        <f>+(AL177+AL178+AL179+AL180+AL181)*E176</f>
        <v>2.7086664889836534E-2</v>
      </c>
      <c r="AM176" s="309">
        <f>+(AM177+AM178+AM179+AM180+AM181)</f>
        <v>0.68686416133617634</v>
      </c>
      <c r="AN176" s="309">
        <f>+(AN177+AN178+AN179+AN180+AN181)</f>
        <v>0.76228598081023446</v>
      </c>
      <c r="AO176" s="685"/>
      <c r="AP176" s="308"/>
      <c r="AQ176" s="308"/>
      <c r="AR176" s="308"/>
      <c r="AS176" s="308"/>
      <c r="AT176" s="898"/>
      <c r="AU176" s="895"/>
      <c r="AV176" s="898"/>
    </row>
    <row r="177" spans="1:48" ht="122.4" customHeight="1" thickBot="1" x14ac:dyDescent="0.55000000000000004">
      <c r="A177" s="302"/>
      <c r="B177" s="1466" t="s">
        <v>635</v>
      </c>
      <c r="C177" s="1476" t="s">
        <v>636</v>
      </c>
      <c r="D177" s="633" t="s">
        <v>620</v>
      </c>
      <c r="E177" s="310">
        <v>0.3</v>
      </c>
      <c r="F177" s="311">
        <v>26800</v>
      </c>
      <c r="G177" s="368">
        <v>6700</v>
      </c>
      <c r="H177" s="368">
        <v>6700</v>
      </c>
      <c r="I177" s="369">
        <v>6700</v>
      </c>
      <c r="J177" s="320">
        <f>+G177/F177</f>
        <v>0.25</v>
      </c>
      <c r="K177" s="320">
        <f>+H177/F177</f>
        <v>0.25</v>
      </c>
      <c r="L177" s="320">
        <f t="shared" si="129"/>
        <v>0.25</v>
      </c>
      <c r="M177" s="374">
        <f>+(G177/F177)*E177</f>
        <v>7.4999999999999997E-2</v>
      </c>
      <c r="N177" s="374">
        <f t="shared" si="136"/>
        <v>7.4999999999999997E-2</v>
      </c>
      <c r="O177" s="374"/>
      <c r="P177" s="370">
        <v>6762</v>
      </c>
      <c r="Q177" s="528">
        <v>1239</v>
      </c>
      <c r="R177" s="528">
        <f>4537+659</f>
        <v>5196</v>
      </c>
      <c r="S177" s="528">
        <v>0</v>
      </c>
      <c r="T177" s="528">
        <v>168</v>
      </c>
      <c r="U177" s="528">
        <v>0</v>
      </c>
      <c r="V177" s="370">
        <f>+Q177+R177+S177+T177+U177</f>
        <v>6603</v>
      </c>
      <c r="W177" s="370">
        <f>+V177+P177+AB177</f>
        <v>17763</v>
      </c>
      <c r="X177" s="528">
        <v>4398</v>
      </c>
      <c r="Y177" s="370"/>
      <c r="Z177" s="370"/>
      <c r="AA177" s="370"/>
      <c r="AB177" s="370">
        <f t="shared" ref="AB177:AB181" si="148">+X177+Y177+Z177+AA177</f>
        <v>4398</v>
      </c>
      <c r="AC177" s="364">
        <v>1</v>
      </c>
      <c r="AD177" s="319">
        <f>+V177/H177</f>
        <v>0.98552238805970149</v>
      </c>
      <c r="AE177" s="319">
        <f t="shared" ref="AE177:AE181" si="149">+AB177/I177</f>
        <v>0.65641791044776121</v>
      </c>
      <c r="AF177" s="319">
        <f>+AC177*E177</f>
        <v>0.3</v>
      </c>
      <c r="AG177" s="319">
        <f>+AD177*E177</f>
        <v>0.29565671641791041</v>
      </c>
      <c r="AH177" s="319">
        <f t="shared" ref="AH177:AH181" si="150">+AE177*E177</f>
        <v>0.19692537313432837</v>
      </c>
      <c r="AI177" s="319">
        <f>+P177/F177</f>
        <v>0.25231343283582092</v>
      </c>
      <c r="AJ177" s="319">
        <v>0.49869402985074629</v>
      </c>
      <c r="AK177" s="319">
        <f t="shared" ref="AK177:AK181" si="151">+W177/F177</f>
        <v>0.66279850746268654</v>
      </c>
      <c r="AL177" s="319">
        <f>+AI177*E177</f>
        <v>7.5694029850746275E-2</v>
      </c>
      <c r="AM177" s="319">
        <f>+AJ177*E177</f>
        <v>0.14960820895522389</v>
      </c>
      <c r="AN177" s="319">
        <f t="shared" ref="AN177:AN181" si="152">+AK177*E177</f>
        <v>0.19883955223880595</v>
      </c>
      <c r="AO177" s="577" t="s">
        <v>1850</v>
      </c>
      <c r="AP177" s="603" t="s">
        <v>1901</v>
      </c>
      <c r="AQ177" s="603" t="s">
        <v>2264</v>
      </c>
      <c r="AR177" s="579" t="s">
        <v>2287</v>
      </c>
      <c r="AS177" s="579" t="s">
        <v>2402</v>
      </c>
      <c r="AT177" s="603" t="s">
        <v>2436</v>
      </c>
      <c r="AU177" s="895"/>
      <c r="AV177" s="603" t="s">
        <v>1893</v>
      </c>
    </row>
    <row r="178" spans="1:48" ht="122.4" customHeight="1" thickBot="1" x14ac:dyDescent="0.55000000000000004">
      <c r="A178" s="302"/>
      <c r="B178" s="1466" t="s">
        <v>637</v>
      </c>
      <c r="C178" s="1476" t="s">
        <v>638</v>
      </c>
      <c r="D178" s="489" t="s">
        <v>620</v>
      </c>
      <c r="E178" s="310">
        <v>0.1</v>
      </c>
      <c r="F178" s="311">
        <f>(51*4)+ (6)</f>
        <v>210</v>
      </c>
      <c r="G178" s="330">
        <v>55</v>
      </c>
      <c r="H178" s="809">
        <v>57</v>
      </c>
      <c r="I178" s="331">
        <v>57</v>
      </c>
      <c r="J178" s="320">
        <f>+G178/F178</f>
        <v>0.26190476190476192</v>
      </c>
      <c r="K178" s="320">
        <f t="shared" ref="K178:K191" si="153">+H178/F178</f>
        <v>0.27142857142857141</v>
      </c>
      <c r="L178" s="320">
        <f t="shared" si="129"/>
        <v>0.27142857142857141</v>
      </c>
      <c r="M178" s="374">
        <f>+(G178/F178)*E178</f>
        <v>2.6190476190476195E-2</v>
      </c>
      <c r="N178" s="374">
        <f t="shared" si="136"/>
        <v>2.7142857142857142E-2</v>
      </c>
      <c r="O178" s="374"/>
      <c r="P178" s="331">
        <v>55</v>
      </c>
      <c r="Q178" s="527"/>
      <c r="R178" s="527">
        <v>55</v>
      </c>
      <c r="S178" s="527">
        <v>4</v>
      </c>
      <c r="T178" s="527">
        <v>0</v>
      </c>
      <c r="U178" s="527">
        <v>0</v>
      </c>
      <c r="V178" s="370">
        <f t="shared" ref="V178:V181" si="154">+Q178+R178+S178+T178+U178</f>
        <v>59</v>
      </c>
      <c r="W178" s="331">
        <f>+V178+P178+4+4+AB178</f>
        <v>177</v>
      </c>
      <c r="X178" s="527">
        <v>55</v>
      </c>
      <c r="Y178" s="331"/>
      <c r="Z178" s="331"/>
      <c r="AA178" s="331"/>
      <c r="AB178" s="331">
        <f t="shared" si="148"/>
        <v>55</v>
      </c>
      <c r="AC178" s="364">
        <f>+(P178/G178)</f>
        <v>1</v>
      </c>
      <c r="AD178" s="319">
        <v>1</v>
      </c>
      <c r="AE178" s="319">
        <f t="shared" si="149"/>
        <v>0.96491228070175439</v>
      </c>
      <c r="AF178" s="319">
        <f>+AC178*E178</f>
        <v>0.1</v>
      </c>
      <c r="AG178" s="319">
        <f>+AD178*E178</f>
        <v>0.1</v>
      </c>
      <c r="AH178" s="319">
        <f t="shared" si="150"/>
        <v>9.6491228070175447E-2</v>
      </c>
      <c r="AI178" s="319">
        <f>+P178/F178</f>
        <v>0.26190476190476192</v>
      </c>
      <c r="AJ178" s="319">
        <v>0.580952380952381</v>
      </c>
      <c r="AK178" s="319">
        <f t="shared" si="151"/>
        <v>0.84285714285714286</v>
      </c>
      <c r="AL178" s="319">
        <f>+AI178*E178</f>
        <v>2.6190476190476195E-2</v>
      </c>
      <c r="AM178" s="319">
        <f>+AJ178*E178</f>
        <v>5.8095238095238103E-2</v>
      </c>
      <c r="AN178" s="319">
        <f t="shared" si="152"/>
        <v>8.4285714285714297E-2</v>
      </c>
      <c r="AO178" s="577" t="s">
        <v>1850</v>
      </c>
      <c r="AP178" s="901" t="s">
        <v>1957</v>
      </c>
      <c r="AQ178" s="603" t="s">
        <v>2264</v>
      </c>
      <c r="AR178" s="899" t="s">
        <v>2292</v>
      </c>
      <c r="AS178" s="603" t="s">
        <v>2402</v>
      </c>
      <c r="AT178" s="574" t="s">
        <v>2472</v>
      </c>
      <c r="AU178" s="895"/>
      <c r="AV178" s="603" t="s">
        <v>1893</v>
      </c>
    </row>
    <row r="179" spans="1:48" ht="188.4" customHeight="1" thickBot="1" x14ac:dyDescent="0.55000000000000004">
      <c r="A179" s="302"/>
      <c r="B179" s="1466" t="s">
        <v>639</v>
      </c>
      <c r="C179" s="1476" t="s">
        <v>640</v>
      </c>
      <c r="D179" s="633" t="s">
        <v>641</v>
      </c>
      <c r="E179" s="310">
        <v>0.2</v>
      </c>
      <c r="F179" s="311">
        <v>4</v>
      </c>
      <c r="G179" s="330">
        <v>0</v>
      </c>
      <c r="H179" s="809">
        <v>2</v>
      </c>
      <c r="I179" s="331">
        <v>0</v>
      </c>
      <c r="J179" s="320"/>
      <c r="K179" s="320">
        <f t="shared" si="153"/>
        <v>0.5</v>
      </c>
      <c r="L179" s="320"/>
      <c r="M179" s="374"/>
      <c r="N179" s="374">
        <f t="shared" si="136"/>
        <v>0.1</v>
      </c>
      <c r="O179" s="374"/>
      <c r="P179" s="331"/>
      <c r="Q179" s="527">
        <v>0</v>
      </c>
      <c r="R179" s="527">
        <v>0</v>
      </c>
      <c r="S179" s="527">
        <v>0</v>
      </c>
      <c r="T179" s="528">
        <v>4</v>
      </c>
      <c r="U179" s="528">
        <v>0</v>
      </c>
      <c r="V179" s="370">
        <f t="shared" si="154"/>
        <v>4</v>
      </c>
      <c r="W179" s="331">
        <f>+V179+P179+AB179</f>
        <v>4</v>
      </c>
      <c r="X179" s="527">
        <v>0</v>
      </c>
      <c r="Y179" s="331"/>
      <c r="Z179" s="331"/>
      <c r="AA179" s="331"/>
      <c r="AB179" s="331">
        <f t="shared" si="148"/>
        <v>0</v>
      </c>
      <c r="AC179" s="364"/>
      <c r="AD179" s="319">
        <v>1</v>
      </c>
      <c r="AE179" s="319"/>
      <c r="AF179" s="319"/>
      <c r="AG179" s="319">
        <f>+AD179*E179</f>
        <v>0.2</v>
      </c>
      <c r="AH179" s="319">
        <f t="shared" si="150"/>
        <v>0</v>
      </c>
      <c r="AI179" s="319"/>
      <c r="AJ179" s="319">
        <v>1</v>
      </c>
      <c r="AK179" s="319">
        <f t="shared" si="151"/>
        <v>1</v>
      </c>
      <c r="AL179" s="319"/>
      <c r="AM179" s="319">
        <f>+AJ179*E179</f>
        <v>0.2</v>
      </c>
      <c r="AN179" s="319">
        <f t="shared" si="152"/>
        <v>0.2</v>
      </c>
      <c r="AO179" s="577" t="s">
        <v>1850</v>
      </c>
      <c r="AP179" s="901" t="s">
        <v>1958</v>
      </c>
      <c r="AQ179" s="603" t="s">
        <v>2264</v>
      </c>
      <c r="AR179" s="579" t="s">
        <v>2287</v>
      </c>
      <c r="AS179" s="603" t="s">
        <v>2402</v>
      </c>
      <c r="AT179" s="574" t="s">
        <v>2472</v>
      </c>
      <c r="AU179" s="895"/>
      <c r="AV179" s="603" t="s">
        <v>1893</v>
      </c>
    </row>
    <row r="180" spans="1:48" ht="122.4" customHeight="1" thickBot="1" x14ac:dyDescent="0.55000000000000004">
      <c r="A180" s="302"/>
      <c r="B180" s="1466" t="s">
        <v>642</v>
      </c>
      <c r="C180" s="1467" t="s">
        <v>643</v>
      </c>
      <c r="D180" s="489" t="s">
        <v>620</v>
      </c>
      <c r="E180" s="310">
        <v>0.25</v>
      </c>
      <c r="F180" s="311">
        <v>28000</v>
      </c>
      <c r="G180" s="330">
        <v>7000</v>
      </c>
      <c r="H180" s="809">
        <v>7000</v>
      </c>
      <c r="I180" s="331">
        <v>7000</v>
      </c>
      <c r="J180" s="320">
        <f>+G180/F180</f>
        <v>0.25</v>
      </c>
      <c r="K180" s="320">
        <f t="shared" si="153"/>
        <v>0.25</v>
      </c>
      <c r="L180" s="320">
        <f t="shared" si="129"/>
        <v>0.25</v>
      </c>
      <c r="M180" s="374">
        <f>+(G180/F180)*E180</f>
        <v>6.25E-2</v>
      </c>
      <c r="N180" s="374">
        <f t="shared" si="136"/>
        <v>6.25E-2</v>
      </c>
      <c r="O180" s="374"/>
      <c r="P180" s="331">
        <v>7166</v>
      </c>
      <c r="Q180" s="527">
        <v>429</v>
      </c>
      <c r="R180" s="527">
        <f>8552-Q180+1184</f>
        <v>9307</v>
      </c>
      <c r="S180" s="527">
        <v>0</v>
      </c>
      <c r="T180" s="527">
        <v>0</v>
      </c>
      <c r="U180" s="527">
        <v>0</v>
      </c>
      <c r="V180" s="370">
        <f t="shared" si="154"/>
        <v>9736</v>
      </c>
      <c r="W180" s="331">
        <f>+V180+P180+AB180</f>
        <v>16902</v>
      </c>
      <c r="X180" s="527">
        <v>0</v>
      </c>
      <c r="Y180" s="331"/>
      <c r="Z180" s="331"/>
      <c r="AA180" s="331"/>
      <c r="AB180" s="331">
        <f t="shared" si="148"/>
        <v>0</v>
      </c>
      <c r="AC180" s="364">
        <v>1</v>
      </c>
      <c r="AD180" s="319">
        <v>1</v>
      </c>
      <c r="AE180" s="319">
        <f t="shared" si="149"/>
        <v>0</v>
      </c>
      <c r="AF180" s="319">
        <f>+AC180*E180</f>
        <v>0.25</v>
      </c>
      <c r="AG180" s="319">
        <f>+AD180*E180</f>
        <v>0.25</v>
      </c>
      <c r="AH180" s="319">
        <f t="shared" si="150"/>
        <v>0</v>
      </c>
      <c r="AI180" s="319">
        <f>+P180/F180</f>
        <v>0.25592857142857145</v>
      </c>
      <c r="AJ180" s="319">
        <v>0.60364285714285715</v>
      </c>
      <c r="AK180" s="319">
        <f t="shared" si="151"/>
        <v>0.60364285714285715</v>
      </c>
      <c r="AL180" s="319">
        <f>+AI180*E180</f>
        <v>6.3982142857142862E-2</v>
      </c>
      <c r="AM180" s="319">
        <f>+AJ180*E180</f>
        <v>0.15091071428571429</v>
      </c>
      <c r="AN180" s="319">
        <f t="shared" si="152"/>
        <v>0.15091071428571429</v>
      </c>
      <c r="AO180" s="577" t="s">
        <v>1850</v>
      </c>
      <c r="AP180" s="603" t="s">
        <v>1901</v>
      </c>
      <c r="AQ180" s="603" t="s">
        <v>2264</v>
      </c>
      <c r="AR180" s="579" t="s">
        <v>2287</v>
      </c>
      <c r="AS180" s="603" t="s">
        <v>2402</v>
      </c>
      <c r="AT180" s="603" t="s">
        <v>2436</v>
      </c>
      <c r="AU180" s="895"/>
      <c r="AV180" s="603" t="s">
        <v>1893</v>
      </c>
    </row>
    <row r="181" spans="1:48" ht="162.6" customHeight="1" thickBot="1" x14ac:dyDescent="0.55000000000000004">
      <c r="A181" s="302"/>
      <c r="B181" s="1466" t="s">
        <v>644</v>
      </c>
      <c r="C181" s="1467" t="s">
        <v>645</v>
      </c>
      <c r="D181" s="635" t="s">
        <v>641</v>
      </c>
      <c r="E181" s="310">
        <v>0.15</v>
      </c>
      <c r="F181" s="311">
        <v>200</v>
      </c>
      <c r="G181" s="330">
        <v>172</v>
      </c>
      <c r="H181" s="809">
        <v>10</v>
      </c>
      <c r="I181" s="331">
        <v>21</v>
      </c>
      <c r="J181" s="320">
        <f>+G181/F181</f>
        <v>0.86</v>
      </c>
      <c r="K181" s="320">
        <f t="shared" si="153"/>
        <v>0.05</v>
      </c>
      <c r="L181" s="320">
        <f t="shared" si="129"/>
        <v>0.105</v>
      </c>
      <c r="M181" s="374">
        <f>+(G181/F181)*E181</f>
        <v>0.129</v>
      </c>
      <c r="N181" s="374">
        <f t="shared" si="136"/>
        <v>7.4999999999999997E-3</v>
      </c>
      <c r="O181" s="374"/>
      <c r="P181" s="331">
        <v>140</v>
      </c>
      <c r="Q181" s="527">
        <v>0</v>
      </c>
      <c r="R181" s="527">
        <v>0</v>
      </c>
      <c r="S181" s="527">
        <v>31</v>
      </c>
      <c r="T181" s="527">
        <v>0</v>
      </c>
      <c r="U181" s="527"/>
      <c r="V181" s="370">
        <f t="shared" si="154"/>
        <v>31</v>
      </c>
      <c r="W181" s="331">
        <f>+V181+P181+AB181</f>
        <v>171</v>
      </c>
      <c r="X181" s="527">
        <v>0</v>
      </c>
      <c r="Y181" s="331"/>
      <c r="Z181" s="331"/>
      <c r="AA181" s="331"/>
      <c r="AB181" s="331">
        <f t="shared" si="148"/>
        <v>0</v>
      </c>
      <c r="AC181" s="364">
        <f>+(P181/G181)</f>
        <v>0.81395348837209303</v>
      </c>
      <c r="AD181" s="319">
        <v>1</v>
      </c>
      <c r="AE181" s="319">
        <f t="shared" si="149"/>
        <v>0</v>
      </c>
      <c r="AF181" s="319">
        <f>+AC181*E181</f>
        <v>0.12209302325581395</v>
      </c>
      <c r="AG181" s="319">
        <f>+AD181*E181</f>
        <v>0.15</v>
      </c>
      <c r="AH181" s="319">
        <f t="shared" si="150"/>
        <v>0</v>
      </c>
      <c r="AI181" s="319">
        <f>+P181/F181</f>
        <v>0.7</v>
      </c>
      <c r="AJ181" s="319">
        <v>0.85499999999999998</v>
      </c>
      <c r="AK181" s="319">
        <f t="shared" si="151"/>
        <v>0.85499999999999998</v>
      </c>
      <c r="AL181" s="319">
        <f>+AI181*E181</f>
        <v>0.105</v>
      </c>
      <c r="AM181" s="319">
        <f>+AJ181*E181</f>
        <v>0.12825</v>
      </c>
      <c r="AN181" s="319">
        <f t="shared" si="152"/>
        <v>0.12825</v>
      </c>
      <c r="AO181" s="577" t="s">
        <v>1850</v>
      </c>
      <c r="AP181" s="901" t="s">
        <v>1959</v>
      </c>
      <c r="AQ181" s="603" t="s">
        <v>2264</v>
      </c>
      <c r="AR181" s="899" t="s">
        <v>2293</v>
      </c>
      <c r="AS181" s="899" t="s">
        <v>2424</v>
      </c>
      <c r="AT181" s="603" t="s">
        <v>2436</v>
      </c>
      <c r="AU181" s="895"/>
      <c r="AV181" s="603" t="s">
        <v>1893</v>
      </c>
    </row>
    <row r="182" spans="1:48" ht="122.4" customHeight="1" thickBot="1" x14ac:dyDescent="0.55000000000000004">
      <c r="A182" s="302"/>
      <c r="B182" s="1548" t="s">
        <v>1676</v>
      </c>
      <c r="C182" s="1550"/>
      <c r="D182" s="621"/>
      <c r="E182" s="307">
        <v>0.1</v>
      </c>
      <c r="F182" s="311"/>
      <c r="G182" s="330"/>
      <c r="H182" s="809"/>
      <c r="I182" s="331"/>
      <c r="J182" s="327">
        <f>+AVERAGE(J183)</f>
        <v>0.25409836065573771</v>
      </c>
      <c r="K182" s="327">
        <f>+AVERAGE(K183)</f>
        <v>0.25</v>
      </c>
      <c r="L182" s="327">
        <f>+AVERAGE(L183)</f>
        <v>0.25</v>
      </c>
      <c r="M182" s="309">
        <f>+M183</f>
        <v>0.25409836065573771</v>
      </c>
      <c r="N182" s="309">
        <f>+N183</f>
        <v>0.25</v>
      </c>
      <c r="O182" s="309"/>
      <c r="P182" s="331"/>
      <c r="Q182" s="362"/>
      <c r="R182" s="362"/>
      <c r="S182" s="362"/>
      <c r="T182" s="362"/>
      <c r="U182" s="362"/>
      <c r="V182" s="362"/>
      <c r="W182" s="362"/>
      <c r="X182" s="362"/>
      <c r="Y182" s="362"/>
      <c r="Z182" s="362"/>
      <c r="AA182" s="362"/>
      <c r="AB182" s="362"/>
      <c r="AC182" s="524">
        <f>+AVERAGE(AC183)</f>
        <v>1</v>
      </c>
      <c r="AD182" s="348">
        <f>+AVERAGE(AD183)</f>
        <v>0.92419672131147546</v>
      </c>
      <c r="AE182" s="348">
        <f>+AVERAGE(AE183)</f>
        <v>0.33219672131147543</v>
      </c>
      <c r="AF182" s="348">
        <f>+(AF183)*E182</f>
        <v>0.1</v>
      </c>
      <c r="AG182" s="348">
        <f>+(AG183)*E182</f>
        <v>9.2419672131147546E-2</v>
      </c>
      <c r="AH182" s="348">
        <f>+(AH183)*E182</f>
        <v>3.3219672131147543E-2</v>
      </c>
      <c r="AI182" s="309">
        <f>+AVERAGE(AI183)</f>
        <v>0.25537704918032789</v>
      </c>
      <c r="AJ182" s="309">
        <v>0.48642622950819669</v>
      </c>
      <c r="AK182" s="309">
        <f>+AVERAGE(AK183)</f>
        <v>0.56947540983606559</v>
      </c>
      <c r="AL182" s="309">
        <f>+(AL183)*E182</f>
        <v>2.553770491803279E-2</v>
      </c>
      <c r="AM182" s="309">
        <f>+(AM183)</f>
        <v>0.48642622950819669</v>
      </c>
      <c r="AN182" s="309">
        <f>+(AN183)</f>
        <v>0.56947540983606559</v>
      </c>
      <c r="AO182" s="685"/>
      <c r="AP182" s="308"/>
      <c r="AQ182" s="308"/>
      <c r="AR182" s="308"/>
      <c r="AS182" s="308"/>
      <c r="AT182" s="898"/>
      <c r="AU182" s="895"/>
      <c r="AV182" s="898"/>
    </row>
    <row r="183" spans="1:48" ht="122.4" customHeight="1" thickBot="1" x14ac:dyDescent="0.55000000000000004">
      <c r="A183" s="302"/>
      <c r="B183" s="1450" t="s">
        <v>646</v>
      </c>
      <c r="C183" s="1463" t="s">
        <v>647</v>
      </c>
      <c r="D183" s="628" t="s">
        <v>620</v>
      </c>
      <c r="E183" s="310">
        <v>1</v>
      </c>
      <c r="F183" s="311">
        <v>61000</v>
      </c>
      <c r="G183" s="330">
        <v>15500</v>
      </c>
      <c r="H183" s="809">
        <v>15250</v>
      </c>
      <c r="I183" s="331">
        <v>15250</v>
      </c>
      <c r="J183" s="320">
        <f>+G183/F183</f>
        <v>0.25409836065573771</v>
      </c>
      <c r="K183" s="320">
        <f t="shared" si="153"/>
        <v>0.25</v>
      </c>
      <c r="L183" s="320">
        <f t="shared" si="129"/>
        <v>0.25</v>
      </c>
      <c r="M183" s="374">
        <f>+(G183/F183)*E183</f>
        <v>0.25409836065573771</v>
      </c>
      <c r="N183" s="374">
        <f t="shared" si="136"/>
        <v>0.25</v>
      </c>
      <c r="O183" s="374"/>
      <c r="P183" s="331">
        <v>15578</v>
      </c>
      <c r="Q183" s="527">
        <v>264</v>
      </c>
      <c r="R183" s="527">
        <f>1865-Q183+3400</f>
        <v>5001</v>
      </c>
      <c r="S183" s="527">
        <v>3468</v>
      </c>
      <c r="T183" s="527">
        <v>3585</v>
      </c>
      <c r="U183" s="527">
        <v>1776</v>
      </c>
      <c r="V183" s="331">
        <f>+Q183+R183+S183+T183+U183</f>
        <v>14094</v>
      </c>
      <c r="W183" s="331">
        <f>+V183+P183+AB183</f>
        <v>34738</v>
      </c>
      <c r="X183" s="331">
        <v>5066</v>
      </c>
      <c r="Y183" s="331"/>
      <c r="Z183" s="331"/>
      <c r="AA183" s="331"/>
      <c r="AB183" s="331">
        <f t="shared" ref="AB183" si="155">+X183+Y183+Z183+AA183</f>
        <v>5066</v>
      </c>
      <c r="AC183" s="384">
        <v>1</v>
      </c>
      <c r="AD183" s="319">
        <f>+V183/H183</f>
        <v>0.92419672131147546</v>
      </c>
      <c r="AE183" s="319">
        <f>+AB183/I183</f>
        <v>0.33219672131147543</v>
      </c>
      <c r="AF183" s="319">
        <f>+AC183*E183</f>
        <v>1</v>
      </c>
      <c r="AG183" s="319">
        <f>+AD183*E183</f>
        <v>0.92419672131147546</v>
      </c>
      <c r="AH183" s="319">
        <f t="shared" ref="AH183" si="156">+AE183*E183</f>
        <v>0.33219672131147543</v>
      </c>
      <c r="AI183" s="319">
        <f>+P183/F183</f>
        <v>0.25537704918032789</v>
      </c>
      <c r="AJ183" s="319">
        <v>0.48642622950819669</v>
      </c>
      <c r="AK183" s="319">
        <f t="shared" ref="AK183" si="157">+W183/F183</f>
        <v>0.56947540983606559</v>
      </c>
      <c r="AL183" s="319">
        <f>+AI183*E183</f>
        <v>0.25537704918032789</v>
      </c>
      <c r="AM183" s="319">
        <f>+AJ183*E183</f>
        <v>0.48642622950819669</v>
      </c>
      <c r="AN183" s="319">
        <f t="shared" ref="AN183" si="158">+AK183*E183</f>
        <v>0.56947540983606559</v>
      </c>
      <c r="AO183" s="577" t="s">
        <v>1850</v>
      </c>
      <c r="AP183" s="603" t="s">
        <v>1901</v>
      </c>
      <c r="AQ183" s="308"/>
      <c r="AR183" s="579" t="s">
        <v>2287</v>
      </c>
      <c r="AS183" s="603" t="s">
        <v>2402</v>
      </c>
      <c r="AT183" s="603" t="s">
        <v>2436</v>
      </c>
      <c r="AU183" s="895"/>
      <c r="AV183" s="603" t="s">
        <v>1893</v>
      </c>
    </row>
    <row r="184" spans="1:48" ht="122.4" customHeight="1" thickBot="1" x14ac:dyDescent="0.55000000000000004">
      <c r="A184" s="302"/>
      <c r="B184" s="1548" t="s">
        <v>1677</v>
      </c>
      <c r="C184" s="1550"/>
      <c r="D184" s="622"/>
      <c r="E184" s="307">
        <v>0.1</v>
      </c>
      <c r="F184" s="311"/>
      <c r="G184" s="330"/>
      <c r="H184" s="809"/>
      <c r="I184" s="331"/>
      <c r="J184" s="327">
        <f>+AVERAGE(J185:J186)</f>
        <v>0.25</v>
      </c>
      <c r="K184" s="327">
        <f>+AVERAGE(K185:K186)</f>
        <v>0.25948888888888888</v>
      </c>
      <c r="L184" s="327">
        <f>+AVERAGE(L185:L186)</f>
        <v>0.30027777777777775</v>
      </c>
      <c r="M184" s="309">
        <f>+M185+M186</f>
        <v>0.25</v>
      </c>
      <c r="N184" s="309">
        <f>+N185+N186</f>
        <v>0.25981777777777776</v>
      </c>
      <c r="O184" s="309"/>
      <c r="P184" s="331"/>
      <c r="Q184" s="362"/>
      <c r="R184" s="362"/>
      <c r="S184" s="362"/>
      <c r="T184" s="362"/>
      <c r="U184" s="362"/>
      <c r="V184" s="362"/>
      <c r="W184" s="362"/>
      <c r="X184" s="362"/>
      <c r="Y184" s="362"/>
      <c r="Z184" s="362"/>
      <c r="AA184" s="362"/>
      <c r="AB184" s="362"/>
      <c r="AC184" s="1099">
        <f>+AVERAGE(AC185:AC186)</f>
        <v>1</v>
      </c>
      <c r="AD184" s="524">
        <f>+AVERAGE(AD185:AD186)</f>
        <v>1</v>
      </c>
      <c r="AE184" s="348">
        <f>+AVERAGE(AE185:AE186)</f>
        <v>0.27288256136386979</v>
      </c>
      <c r="AF184" s="348">
        <f>+(AF185+AF186)*E184</f>
        <v>0.1</v>
      </c>
      <c r="AG184" s="348">
        <f>+(AG185+AG186)*E184</f>
        <v>0.1</v>
      </c>
      <c r="AH184" s="348">
        <f>+(AH185+AH186)*E184</f>
        <v>2.6184664167608097E-2</v>
      </c>
      <c r="AI184" s="309">
        <f>+AVERAGE(AI185:AI186)</f>
        <v>0.30041388888888887</v>
      </c>
      <c r="AJ184" s="309">
        <v>0.69670694444444448</v>
      </c>
      <c r="AK184" s="309">
        <f>+AVERAGE(AK185:AK186)</f>
        <v>0.77898472222222215</v>
      </c>
      <c r="AL184" s="309">
        <f>+(AL185+AL186)*E184</f>
        <v>3.0235694444444447E-2</v>
      </c>
      <c r="AM184" s="309">
        <f>+(AM185+AM186)</f>
        <v>0.69215680555555559</v>
      </c>
      <c r="AN184" s="309">
        <f>+(AN185+AN186)</f>
        <v>0.77103736111111121</v>
      </c>
      <c r="AO184" s="685"/>
      <c r="AP184" s="308"/>
      <c r="AQ184" s="308"/>
      <c r="AR184" s="308"/>
      <c r="AS184" s="308"/>
      <c r="AT184" s="898"/>
      <c r="AU184" s="895"/>
      <c r="AV184" s="898"/>
    </row>
    <row r="185" spans="1:48" ht="122.4" customHeight="1" thickBot="1" x14ac:dyDescent="0.45">
      <c r="A185" s="302"/>
      <c r="B185" s="1450" t="s">
        <v>648</v>
      </c>
      <c r="C185" s="1463" t="s">
        <v>649</v>
      </c>
      <c r="D185" s="628" t="s">
        <v>620</v>
      </c>
      <c r="E185" s="310">
        <v>0.55000000000000004</v>
      </c>
      <c r="F185" s="311">
        <v>180000</v>
      </c>
      <c r="G185" s="330">
        <v>45000</v>
      </c>
      <c r="H185" s="809">
        <v>47300</v>
      </c>
      <c r="I185" s="331">
        <v>53500</v>
      </c>
      <c r="J185" s="320">
        <f>+G185/F185</f>
        <v>0.25</v>
      </c>
      <c r="K185" s="320">
        <f t="shared" si="153"/>
        <v>0.26277777777777778</v>
      </c>
      <c r="L185" s="320">
        <f t="shared" si="129"/>
        <v>0.29722222222222222</v>
      </c>
      <c r="M185" s="374">
        <f>+(G185/F185)*E185</f>
        <v>0.13750000000000001</v>
      </c>
      <c r="N185" s="374">
        <f t="shared" si="136"/>
        <v>0.14452777777777778</v>
      </c>
      <c r="O185" s="374"/>
      <c r="P185" s="369">
        <v>57572</v>
      </c>
      <c r="Q185" s="529">
        <v>4292</v>
      </c>
      <c r="R185" s="529">
        <f>31848-Q185+2645</f>
        <v>30201</v>
      </c>
      <c r="S185" s="529">
        <v>11688</v>
      </c>
      <c r="T185" s="529">
        <v>4114</v>
      </c>
      <c r="U185" s="529">
        <v>9350</v>
      </c>
      <c r="V185" s="369">
        <f>+Q185+R185+S185+T185+U185</f>
        <v>59645</v>
      </c>
      <c r="W185" s="370">
        <f>+V185+P185+AB185</f>
        <v>125912</v>
      </c>
      <c r="X185" s="369">
        <v>8695</v>
      </c>
      <c r="Y185" s="369"/>
      <c r="Z185" s="369"/>
      <c r="AA185" s="369"/>
      <c r="AB185" s="369">
        <f t="shared" ref="AB185:AB186" si="159">+X185+Y185+Z185+AA185</f>
        <v>8695</v>
      </c>
      <c r="AC185" s="525">
        <v>1</v>
      </c>
      <c r="AD185" s="319">
        <v>1</v>
      </c>
      <c r="AE185" s="319">
        <f>+AB185/I185</f>
        <v>0.16252336448598131</v>
      </c>
      <c r="AF185" s="319">
        <f>+AC185*E185</f>
        <v>0.55000000000000004</v>
      </c>
      <c r="AG185" s="319">
        <f>+AD185*E185</f>
        <v>0.55000000000000004</v>
      </c>
      <c r="AH185" s="319">
        <f t="shared" ref="AH185:AH186" si="160">+AE185*E185</f>
        <v>8.9387850467289726E-2</v>
      </c>
      <c r="AI185" s="319">
        <f>+P185/F185</f>
        <v>0.31984444444444443</v>
      </c>
      <c r="AJ185" s="319">
        <v>0.65120555555555559</v>
      </c>
      <c r="AK185" s="319">
        <f t="shared" ref="AK185:AK186" si="161">+W185/F185</f>
        <v>0.69951111111111108</v>
      </c>
      <c r="AL185" s="319">
        <f>+AI185*E185</f>
        <v>0.17591444444444446</v>
      </c>
      <c r="AM185" s="319">
        <f>+AJ185*E185</f>
        <v>0.35816305555555561</v>
      </c>
      <c r="AN185" s="319">
        <f t="shared" ref="AN185:AN186" si="162">+AK185*E185</f>
        <v>0.38473111111111113</v>
      </c>
      <c r="AO185" s="577" t="s">
        <v>1850</v>
      </c>
      <c r="AP185" s="603" t="s">
        <v>1901</v>
      </c>
      <c r="AQ185" s="308"/>
      <c r="AR185" s="579" t="s">
        <v>2287</v>
      </c>
      <c r="AS185" s="603" t="s">
        <v>2402</v>
      </c>
      <c r="AT185" s="603" t="s">
        <v>2436</v>
      </c>
      <c r="AU185" s="603" t="s">
        <v>2493</v>
      </c>
      <c r="AV185" s="603" t="s">
        <v>1893</v>
      </c>
    </row>
    <row r="186" spans="1:48" ht="122.4" customHeight="1" thickBot="1" x14ac:dyDescent="0.45">
      <c r="A186" s="302"/>
      <c r="B186" s="1450" t="s">
        <v>650</v>
      </c>
      <c r="C186" s="1463" t="s">
        <v>651</v>
      </c>
      <c r="D186" s="628" t="s">
        <v>620</v>
      </c>
      <c r="E186" s="310">
        <v>0.45</v>
      </c>
      <c r="F186" s="311">
        <v>120000</v>
      </c>
      <c r="G186" s="330">
        <v>30000</v>
      </c>
      <c r="H186" s="809">
        <v>30744</v>
      </c>
      <c r="I186" s="331">
        <v>36400</v>
      </c>
      <c r="J186" s="320">
        <f>+G186/F186</f>
        <v>0.25</v>
      </c>
      <c r="K186" s="320">
        <f t="shared" si="153"/>
        <v>0.25619999999999998</v>
      </c>
      <c r="L186" s="320">
        <f t="shared" si="129"/>
        <v>0.30333333333333334</v>
      </c>
      <c r="M186" s="374">
        <f>+(G186/F186)*E186</f>
        <v>0.1125</v>
      </c>
      <c r="N186" s="374">
        <f t="shared" si="136"/>
        <v>0.11528999999999999</v>
      </c>
      <c r="O186" s="374"/>
      <c r="P186" s="370">
        <v>33718</v>
      </c>
      <c r="Q186" s="528">
        <v>10000</v>
      </c>
      <c r="R186" s="528">
        <f>20067-Q186+5862</f>
        <v>15929</v>
      </c>
      <c r="S186" s="528">
        <v>12750</v>
      </c>
      <c r="T186" s="528">
        <v>12376</v>
      </c>
      <c r="U186" s="529">
        <v>4292</v>
      </c>
      <c r="V186" s="369">
        <f>+Q186+R186+S186+T186+U186</f>
        <v>55347</v>
      </c>
      <c r="W186" s="370">
        <f>+V186+P186+AB186</f>
        <v>103015</v>
      </c>
      <c r="X186" s="370">
        <v>13950</v>
      </c>
      <c r="Y186" s="370"/>
      <c r="Z186" s="370"/>
      <c r="AA186" s="370"/>
      <c r="AB186" s="370">
        <f t="shared" si="159"/>
        <v>13950</v>
      </c>
      <c r="AC186" s="364">
        <v>1</v>
      </c>
      <c r="AD186" s="319">
        <v>1</v>
      </c>
      <c r="AE186" s="319">
        <f t="shared" ref="AE186" si="163">+AB186/I186</f>
        <v>0.38324175824175827</v>
      </c>
      <c r="AF186" s="319">
        <f>+AC186*E186</f>
        <v>0.45</v>
      </c>
      <c r="AG186" s="319">
        <f>+AD186*E186</f>
        <v>0.45</v>
      </c>
      <c r="AH186" s="319">
        <f t="shared" si="160"/>
        <v>0.17245879120879123</v>
      </c>
      <c r="AI186" s="319">
        <f>+P186/F186</f>
        <v>0.28098333333333331</v>
      </c>
      <c r="AJ186" s="319">
        <v>0.74220833333333336</v>
      </c>
      <c r="AK186" s="319">
        <f t="shared" si="161"/>
        <v>0.85845833333333332</v>
      </c>
      <c r="AL186" s="319">
        <f>+AI186*E186</f>
        <v>0.12644249999999999</v>
      </c>
      <c r="AM186" s="319">
        <f>+AJ186*E186</f>
        <v>0.33399375000000003</v>
      </c>
      <c r="AN186" s="319">
        <f t="shared" si="162"/>
        <v>0.38630625000000002</v>
      </c>
      <c r="AO186" s="577" t="s">
        <v>1850</v>
      </c>
      <c r="AP186" s="603" t="s">
        <v>1901</v>
      </c>
      <c r="AQ186" s="308"/>
      <c r="AR186" s="579" t="s">
        <v>2287</v>
      </c>
      <c r="AS186" s="603" t="s">
        <v>2402</v>
      </c>
      <c r="AT186" s="603" t="s">
        <v>2436</v>
      </c>
      <c r="AU186" s="603" t="s">
        <v>2493</v>
      </c>
      <c r="AV186" s="603" t="s">
        <v>1893</v>
      </c>
    </row>
    <row r="187" spans="1:48" ht="122.4" customHeight="1" thickBot="1" x14ac:dyDescent="0.55000000000000004">
      <c r="A187" s="302"/>
      <c r="B187" s="1548" t="s">
        <v>1678</v>
      </c>
      <c r="C187" s="1550"/>
      <c r="D187" s="622"/>
      <c r="E187" s="307">
        <v>0.05</v>
      </c>
      <c r="F187" s="311"/>
      <c r="G187" s="330"/>
      <c r="H187" s="809"/>
      <c r="I187" s="331"/>
      <c r="J187" s="327">
        <f>+AVERAGE(J188:J191)</f>
        <v>0.16762820512820512</v>
      </c>
      <c r="K187" s="327">
        <f>+AVERAGE(K188:K191)</f>
        <v>0.26798878205128207</v>
      </c>
      <c r="L187" s="327">
        <f>+AVERAGE(L188:L191)</f>
        <v>0.27911324786324787</v>
      </c>
      <c r="M187" s="309">
        <f>+M188+M189+M190+M191</f>
        <v>0.1792948717948718</v>
      </c>
      <c r="N187" s="309">
        <f>+N188+N189+N190+N191</f>
        <v>0.26496794871794871</v>
      </c>
      <c r="O187" s="309"/>
      <c r="P187" s="331"/>
      <c r="Q187" s="362"/>
      <c r="R187" s="362"/>
      <c r="S187" s="362"/>
      <c r="T187" s="362"/>
      <c r="U187" s="362"/>
      <c r="V187" s="362"/>
      <c r="W187" s="362"/>
      <c r="X187" s="362"/>
      <c r="Y187" s="362"/>
      <c r="Z187" s="362"/>
      <c r="AA187" s="362"/>
      <c r="AB187" s="362"/>
      <c r="AC187" s="524">
        <f>+AVERAGE(AC188:AC191)</f>
        <v>1</v>
      </c>
      <c r="AD187" s="348">
        <f>+AVERAGE(AD188:AD191)</f>
        <v>0.98</v>
      </c>
      <c r="AE187" s="348">
        <f>+AVERAGE(AE188:AE191)</f>
        <v>0.19746666666666668</v>
      </c>
      <c r="AF187" s="348">
        <f>+(AF188+AF189+AF190+AF191)*E187</f>
        <v>0.05</v>
      </c>
      <c r="AG187" s="348">
        <f>+(AG188+AG189+AG190+AG191)*E187</f>
        <v>4.9200000000000008E-2</v>
      </c>
      <c r="AH187" s="348">
        <f>+(AH188+AH189+AH190+AH191)*E187</f>
        <v>1.3197666666666667E-2</v>
      </c>
      <c r="AI187" s="309">
        <f>+AVERAGE(AI188:AI191)</f>
        <v>0.38750608974358969</v>
      </c>
      <c r="AJ187" s="309">
        <v>0.81930320512820509</v>
      </c>
      <c r="AK187" s="309">
        <f>+AVERAGE(AK188:AK191)</f>
        <v>0.82555320512820507</v>
      </c>
      <c r="AL187" s="309">
        <f>+(AL188+AL189+AL190+AL191)*E187</f>
        <v>1.9255512820512823E-2</v>
      </c>
      <c r="AM187" s="309">
        <f>+(AM188+AM189+AM190+AM191)</f>
        <v>0.85509487179487176</v>
      </c>
      <c r="AN187" s="309">
        <f>+(AN188+AN189+AN190+AN191)</f>
        <v>0.86009487179487176</v>
      </c>
      <c r="AO187" s="685"/>
      <c r="AP187" s="308"/>
      <c r="AQ187" s="308"/>
      <c r="AR187" s="308"/>
      <c r="AS187" s="308"/>
      <c r="AT187" s="898"/>
      <c r="AU187" s="895"/>
      <c r="AV187" s="898"/>
    </row>
    <row r="188" spans="1:48" ht="122.4" customHeight="1" thickBot="1" x14ac:dyDescent="0.45">
      <c r="A188" s="302"/>
      <c r="B188" s="1452" t="s">
        <v>652</v>
      </c>
      <c r="C188" s="1446" t="s">
        <v>653</v>
      </c>
      <c r="D188" s="628" t="s">
        <v>620</v>
      </c>
      <c r="E188" s="310">
        <v>0.2</v>
      </c>
      <c r="F188" s="311">
        <v>200</v>
      </c>
      <c r="G188" s="330">
        <v>20</v>
      </c>
      <c r="H188" s="809">
        <v>60</v>
      </c>
      <c r="I188" s="331">
        <v>60</v>
      </c>
      <c r="J188" s="320">
        <f>+G188/F188</f>
        <v>0.1</v>
      </c>
      <c r="K188" s="320">
        <f t="shared" si="153"/>
        <v>0.3</v>
      </c>
      <c r="L188" s="320">
        <f t="shared" si="129"/>
        <v>0.3</v>
      </c>
      <c r="M188" s="374">
        <f>+(G188/F188)*E188</f>
        <v>2.0000000000000004E-2</v>
      </c>
      <c r="N188" s="374">
        <f t="shared" si="136"/>
        <v>0.06</v>
      </c>
      <c r="O188" s="374"/>
      <c r="P188" s="331">
        <v>70</v>
      </c>
      <c r="Q188" s="527">
        <v>5</v>
      </c>
      <c r="R188" s="527">
        <v>10</v>
      </c>
      <c r="S188" s="527">
        <v>8</v>
      </c>
      <c r="T188" s="527">
        <v>41</v>
      </c>
      <c r="U188" s="527">
        <v>2</v>
      </c>
      <c r="V188" s="331">
        <f>+Q188+R188+S188+T188+U188</f>
        <v>66</v>
      </c>
      <c r="W188" s="366">
        <f t="shared" ref="W188:W190" si="164">+V188+P188+AB188</f>
        <v>141</v>
      </c>
      <c r="X188" s="331">
        <v>5</v>
      </c>
      <c r="Y188" s="331"/>
      <c r="Z188" s="331"/>
      <c r="AA188" s="331"/>
      <c r="AB188" s="331">
        <f t="shared" ref="AB188:AB191" si="165">+X188+Y188+Z188+AA188</f>
        <v>5</v>
      </c>
      <c r="AC188" s="364">
        <v>1</v>
      </c>
      <c r="AD188" s="319">
        <v>1</v>
      </c>
      <c r="AE188" s="319">
        <f t="shared" ref="AE188:AE190" si="166">+AB188/I188</f>
        <v>8.3333333333333329E-2</v>
      </c>
      <c r="AF188" s="319">
        <f>+AC188*E188</f>
        <v>0.2</v>
      </c>
      <c r="AG188" s="319">
        <f>+AD188*E188</f>
        <v>0.2</v>
      </c>
      <c r="AH188" s="319">
        <f t="shared" ref="AH188:AH191" si="167">+AE188*E188</f>
        <v>1.6666666666666666E-2</v>
      </c>
      <c r="AI188" s="319">
        <f>+P188/F188</f>
        <v>0.35</v>
      </c>
      <c r="AJ188" s="319">
        <v>0.68</v>
      </c>
      <c r="AK188" s="319">
        <f t="shared" ref="AK188:AK191" si="168">+W188/F188</f>
        <v>0.70499999999999996</v>
      </c>
      <c r="AL188" s="319">
        <f>+AI188*E188</f>
        <v>6.9999999999999993E-2</v>
      </c>
      <c r="AM188" s="319">
        <f>+AJ188*E188</f>
        <v>0.13600000000000001</v>
      </c>
      <c r="AN188" s="319">
        <f t="shared" ref="AN188:AN191" si="169">+AK188*E188</f>
        <v>0.14099999999999999</v>
      </c>
      <c r="AO188" s="577" t="s">
        <v>1850</v>
      </c>
      <c r="AP188" s="901" t="s">
        <v>1960</v>
      </c>
      <c r="AQ188" s="308"/>
      <c r="AR188" s="579" t="s">
        <v>2287</v>
      </c>
      <c r="AS188" s="603" t="s">
        <v>2402</v>
      </c>
      <c r="AT188" s="603" t="s">
        <v>2436</v>
      </c>
      <c r="AU188" s="603" t="s">
        <v>2493</v>
      </c>
      <c r="AV188" s="603" t="s">
        <v>1893</v>
      </c>
    </row>
    <row r="189" spans="1:48" ht="122.4" customHeight="1" thickBot="1" x14ac:dyDescent="0.45">
      <c r="A189" s="302"/>
      <c r="B189" s="1450" t="s">
        <v>654</v>
      </c>
      <c r="C189" s="1463" t="s">
        <v>655</v>
      </c>
      <c r="D189" s="628" t="s">
        <v>620</v>
      </c>
      <c r="E189" s="310">
        <v>0.35</v>
      </c>
      <c r="F189" s="311">
        <v>60000</v>
      </c>
      <c r="G189" s="330">
        <v>15000</v>
      </c>
      <c r="H189" s="809">
        <v>15000</v>
      </c>
      <c r="I189" s="331">
        <v>15000</v>
      </c>
      <c r="J189" s="320">
        <f>+G189/F189</f>
        <v>0.25</v>
      </c>
      <c r="K189" s="371">
        <f t="shared" si="153"/>
        <v>0.25</v>
      </c>
      <c r="L189" s="371"/>
      <c r="M189" s="374">
        <f>+(G189/F189)*E189</f>
        <v>8.7499999999999994E-2</v>
      </c>
      <c r="N189" s="374">
        <f t="shared" si="136"/>
        <v>8.7499999999999994E-2</v>
      </c>
      <c r="O189" s="374"/>
      <c r="P189" s="331">
        <v>20000</v>
      </c>
      <c r="Q189" s="527">
        <v>14328</v>
      </c>
      <c r="R189" s="527">
        <f>51827-Q189+1650</f>
        <v>39149</v>
      </c>
      <c r="S189" s="527">
        <v>7057</v>
      </c>
      <c r="T189" s="527">
        <v>131292</v>
      </c>
      <c r="U189" s="527">
        <v>550</v>
      </c>
      <c r="V189" s="331">
        <f t="shared" ref="V189:V190" si="170">+Q189+R189+S189+T189+U189</f>
        <v>192376</v>
      </c>
      <c r="W189" s="366">
        <f>+V189+P189+AB189</f>
        <v>222974</v>
      </c>
      <c r="X189" s="331">
        <v>10598</v>
      </c>
      <c r="Y189" s="331"/>
      <c r="Z189" s="331"/>
      <c r="AA189" s="331"/>
      <c r="AB189" s="331">
        <f t="shared" si="165"/>
        <v>10598</v>
      </c>
      <c r="AC189" s="364">
        <v>1</v>
      </c>
      <c r="AD189" s="319">
        <v>1</v>
      </c>
      <c r="AE189" s="319">
        <f t="shared" si="166"/>
        <v>0.70653333333333335</v>
      </c>
      <c r="AF189" s="319">
        <f>+AC189*E189</f>
        <v>0.35</v>
      </c>
      <c r="AG189" s="319">
        <f>+AD189*E189</f>
        <v>0.35</v>
      </c>
      <c r="AH189" s="319">
        <f>+AE189*E189</f>
        <v>0.24728666666666665</v>
      </c>
      <c r="AI189" s="319">
        <f>+P189/F189</f>
        <v>0.33333333333333331</v>
      </c>
      <c r="AJ189" s="319">
        <v>1</v>
      </c>
      <c r="AK189" s="319">
        <v>1</v>
      </c>
      <c r="AL189" s="319">
        <f>+AI189*E189</f>
        <v>0.11666666666666665</v>
      </c>
      <c r="AM189" s="319">
        <f>+AJ189*E189</f>
        <v>0.35</v>
      </c>
      <c r="AN189" s="319">
        <f t="shared" si="169"/>
        <v>0.35</v>
      </c>
      <c r="AO189" s="577" t="s">
        <v>1850</v>
      </c>
      <c r="AP189" s="603" t="s">
        <v>1901</v>
      </c>
      <c r="AQ189" s="308"/>
      <c r="AR189" s="579" t="s">
        <v>1591</v>
      </c>
      <c r="AS189" s="603" t="s">
        <v>2402</v>
      </c>
      <c r="AT189" s="603" t="s">
        <v>2436</v>
      </c>
      <c r="AU189" s="603" t="s">
        <v>2493</v>
      </c>
      <c r="AV189" s="603" t="s">
        <v>1893</v>
      </c>
    </row>
    <row r="190" spans="1:48" ht="122.4" customHeight="1" thickBot="1" x14ac:dyDescent="0.45">
      <c r="A190" s="302"/>
      <c r="B190" s="1452" t="s">
        <v>656</v>
      </c>
      <c r="C190" s="1446" t="s">
        <v>657</v>
      </c>
      <c r="D190" s="628" t="s">
        <v>620</v>
      </c>
      <c r="E190" s="310">
        <v>0.2</v>
      </c>
      <c r="F190" s="311">
        <v>96</v>
      </c>
      <c r="G190" s="330">
        <v>16</v>
      </c>
      <c r="H190" s="809">
        <v>25</v>
      </c>
      <c r="I190" s="331">
        <v>25</v>
      </c>
      <c r="J190" s="373">
        <f>+G190/F190</f>
        <v>0.16666666666666666</v>
      </c>
      <c r="K190" s="374">
        <f t="shared" si="153"/>
        <v>0.26041666666666669</v>
      </c>
      <c r="L190" s="374">
        <f>+I190/F190</f>
        <v>0.26041666666666669</v>
      </c>
      <c r="M190" s="374">
        <f>+(G190/F190)*E190</f>
        <v>3.3333333333333333E-2</v>
      </c>
      <c r="N190" s="374">
        <f t="shared" si="136"/>
        <v>5.2083333333333343E-2</v>
      </c>
      <c r="O190" s="374"/>
      <c r="P190" s="331">
        <v>35</v>
      </c>
      <c r="Q190" s="527">
        <v>1</v>
      </c>
      <c r="R190" s="527">
        <v>3</v>
      </c>
      <c r="S190" s="527">
        <v>0</v>
      </c>
      <c r="T190" s="527">
        <v>19</v>
      </c>
      <c r="U190" s="527">
        <v>0</v>
      </c>
      <c r="V190" s="331">
        <f t="shared" si="170"/>
        <v>23</v>
      </c>
      <c r="W190" s="366">
        <f t="shared" si="164"/>
        <v>58</v>
      </c>
      <c r="X190" s="331">
        <v>0</v>
      </c>
      <c r="Y190" s="331"/>
      <c r="Z190" s="331"/>
      <c r="AA190" s="331"/>
      <c r="AB190" s="331">
        <f>+X190+Y190+Z190+AA190</f>
        <v>0</v>
      </c>
      <c r="AC190" s="364">
        <v>1</v>
      </c>
      <c r="AD190" s="319">
        <f>+V190/H190</f>
        <v>0.92</v>
      </c>
      <c r="AE190" s="319">
        <f t="shared" si="166"/>
        <v>0</v>
      </c>
      <c r="AF190" s="319">
        <f>+AC190*E190</f>
        <v>0.2</v>
      </c>
      <c r="AG190" s="319">
        <f>+AD190*E190</f>
        <v>0.18400000000000002</v>
      </c>
      <c r="AH190" s="319">
        <f>+AE190*E190</f>
        <v>0</v>
      </c>
      <c r="AI190" s="319">
        <f>+P190/F190</f>
        <v>0.36458333333333331</v>
      </c>
      <c r="AJ190" s="319">
        <v>0.60416666666666663</v>
      </c>
      <c r="AK190" s="319">
        <f t="shared" si="168"/>
        <v>0.60416666666666663</v>
      </c>
      <c r="AL190" s="319">
        <f>+AI190*E190</f>
        <v>7.2916666666666671E-2</v>
      </c>
      <c r="AM190" s="319">
        <f>+AJ190*E190</f>
        <v>0.12083333333333333</v>
      </c>
      <c r="AN190" s="319">
        <f t="shared" si="169"/>
        <v>0.12083333333333333</v>
      </c>
      <c r="AO190" s="577" t="s">
        <v>1850</v>
      </c>
      <c r="AP190" s="901" t="s">
        <v>1960</v>
      </c>
      <c r="AQ190" s="308"/>
      <c r="AR190" s="579" t="s">
        <v>1591</v>
      </c>
      <c r="AS190" s="603" t="s">
        <v>2402</v>
      </c>
      <c r="AT190" s="603" t="s">
        <v>2436</v>
      </c>
      <c r="AU190" s="603" t="s">
        <v>2493</v>
      </c>
      <c r="AV190" s="603" t="s">
        <v>1893</v>
      </c>
    </row>
    <row r="191" spans="1:48" ht="122.4" customHeight="1" thickBot="1" x14ac:dyDescent="0.45">
      <c r="A191" s="302"/>
      <c r="B191" s="1450" t="s">
        <v>658</v>
      </c>
      <c r="C191" s="1463" t="s">
        <v>659</v>
      </c>
      <c r="D191" s="628" t="s">
        <v>620</v>
      </c>
      <c r="E191" s="310">
        <v>0.25</v>
      </c>
      <c r="F191" s="311">
        <v>65000</v>
      </c>
      <c r="G191" s="330">
        <v>10000</v>
      </c>
      <c r="H191" s="809">
        <v>17000</v>
      </c>
      <c r="I191" s="331">
        <v>18000</v>
      </c>
      <c r="J191" s="373">
        <f>+G191/F191</f>
        <v>0.15384615384615385</v>
      </c>
      <c r="K191" s="374">
        <f t="shared" si="153"/>
        <v>0.26153846153846155</v>
      </c>
      <c r="L191" s="374">
        <f t="shared" si="129"/>
        <v>0.27692307692307694</v>
      </c>
      <c r="M191" s="374">
        <f>+(G191/F191)*E191</f>
        <v>3.8461538461538464E-2</v>
      </c>
      <c r="N191" s="374">
        <f t="shared" si="136"/>
        <v>6.5384615384615388E-2</v>
      </c>
      <c r="O191" s="374"/>
      <c r="P191" s="366">
        <v>32637</v>
      </c>
      <c r="Q191" s="527">
        <v>493</v>
      </c>
      <c r="R191" s="527">
        <f>17493-Q191</f>
        <v>17000</v>
      </c>
      <c r="S191" s="527">
        <v>0</v>
      </c>
      <c r="T191" s="527">
        <v>14418</v>
      </c>
      <c r="U191" s="527">
        <v>0</v>
      </c>
      <c r="V191" s="331">
        <f>+Q191+R191+S191+T191+U191</f>
        <v>31911</v>
      </c>
      <c r="W191" s="366">
        <f>+V191+P191+AB191</f>
        <v>64548</v>
      </c>
      <c r="X191" s="366">
        <v>0</v>
      </c>
      <c r="Y191" s="366"/>
      <c r="Z191" s="366"/>
      <c r="AA191" s="366"/>
      <c r="AB191" s="366">
        <f t="shared" si="165"/>
        <v>0</v>
      </c>
      <c r="AC191" s="364">
        <v>1</v>
      </c>
      <c r="AD191" s="319">
        <v>1</v>
      </c>
      <c r="AE191" s="319">
        <f>+AB191/I191</f>
        <v>0</v>
      </c>
      <c r="AF191" s="319">
        <f>+AC191*E191</f>
        <v>0.25</v>
      </c>
      <c r="AG191" s="319">
        <f>+AD191*E191</f>
        <v>0.25</v>
      </c>
      <c r="AH191" s="319">
        <f t="shared" si="167"/>
        <v>0</v>
      </c>
      <c r="AI191" s="319">
        <f>+P191/F191</f>
        <v>0.50210769230769225</v>
      </c>
      <c r="AJ191" s="319">
        <v>0.9930461538461538</v>
      </c>
      <c r="AK191" s="319">
        <f t="shared" si="168"/>
        <v>0.9930461538461538</v>
      </c>
      <c r="AL191" s="319">
        <f>+AI191*E191</f>
        <v>0.12552692307692306</v>
      </c>
      <c r="AM191" s="319">
        <f>+AJ191*E191</f>
        <v>0.24826153846153845</v>
      </c>
      <c r="AN191" s="319">
        <f t="shared" si="169"/>
        <v>0.24826153846153845</v>
      </c>
      <c r="AO191" s="577" t="s">
        <v>1850</v>
      </c>
      <c r="AP191" s="901" t="s">
        <v>1960</v>
      </c>
      <c r="AQ191" s="308"/>
      <c r="AR191" s="579" t="s">
        <v>1591</v>
      </c>
      <c r="AS191" s="603" t="s">
        <v>2402</v>
      </c>
      <c r="AT191" s="603" t="s">
        <v>2436</v>
      </c>
      <c r="AU191" s="603" t="s">
        <v>2493</v>
      </c>
      <c r="AV191" s="603" t="s">
        <v>1893</v>
      </c>
    </row>
    <row r="192" spans="1:48" ht="122.4" customHeight="1" thickBot="1" x14ac:dyDescent="0.55000000000000004">
      <c r="A192" s="302"/>
      <c r="B192" s="1553" t="s">
        <v>1679</v>
      </c>
      <c r="C192" s="1550"/>
      <c r="D192" s="636"/>
      <c r="E192" s="342">
        <v>0.15</v>
      </c>
      <c r="F192" s="343">
        <f>+E192*AF192</f>
        <v>0.10303125</v>
      </c>
      <c r="G192" s="330"/>
      <c r="H192" s="1079">
        <f>+E192*AG192</f>
        <v>0.12821874999999999</v>
      </c>
      <c r="I192" s="304">
        <f>E192*AH192</f>
        <v>4.1927033898305086E-2</v>
      </c>
      <c r="J192" s="375">
        <f>+(J193+J198+J203)/3</f>
        <v>0.23789691874878258</v>
      </c>
      <c r="K192" s="376">
        <f>+(K193+K198+K203)/3</f>
        <v>0.31958568748605082</v>
      </c>
      <c r="L192" s="376">
        <f>+(L193+L198+L203)/3</f>
        <v>0.21792049261756397</v>
      </c>
      <c r="M192" s="305">
        <f>+(M193+M198+M203)/3</f>
        <v>0.18171330652877268</v>
      </c>
      <c r="N192" s="305">
        <f>+(N193+N198+N203)/3</f>
        <v>0.28480466761010298</v>
      </c>
      <c r="O192" s="305"/>
      <c r="P192" s="517"/>
      <c r="Q192" s="377"/>
      <c r="R192" s="377"/>
      <c r="S192" s="377"/>
      <c r="T192" s="377"/>
      <c r="U192" s="377"/>
      <c r="V192" s="377"/>
      <c r="W192" s="377"/>
      <c r="X192" s="377"/>
      <c r="Y192" s="377"/>
      <c r="Z192" s="377"/>
      <c r="AA192" s="377"/>
      <c r="AB192" s="377"/>
      <c r="AC192" s="360">
        <f>+(AC193+AC198+AC203)/3</f>
        <v>0.94739583333333333</v>
      </c>
      <c r="AD192" s="306">
        <f>+(AD193+AD198+AD203)/3</f>
        <v>0.97274305555555551</v>
      </c>
      <c r="AE192" s="306">
        <f>+(AE193+AE198+AE203)/3</f>
        <v>0.28487241054613938</v>
      </c>
      <c r="AF192" s="305">
        <f>AF193+AF198+AF203</f>
        <v>0.68687500000000001</v>
      </c>
      <c r="AG192" s="305">
        <f>AG193+AG198+AG203</f>
        <v>0.85479166666666662</v>
      </c>
      <c r="AH192" s="305">
        <f>AH193+AH198+AH203</f>
        <v>0.27951355932203392</v>
      </c>
      <c r="AI192" s="306">
        <f>(AI193+AI198+AI203)/3</f>
        <v>0.33997892066194169</v>
      </c>
      <c r="AJ192" s="306">
        <v>0.70093698469337029</v>
      </c>
      <c r="AK192" s="306">
        <f>(AK193+AK198+AK203)/3</f>
        <v>0.74951039565482447</v>
      </c>
      <c r="AL192" s="305">
        <f>(AL193+AL198+AL203)</f>
        <v>0.24110540532107533</v>
      </c>
      <c r="AM192" s="305">
        <f>(AM193*E193)+(AM198*E198)+(AM203*E203)</f>
        <v>0.7250078734798705</v>
      </c>
      <c r="AN192" s="305">
        <f>(AN193*E193)+(AN198*E198)+(AN203*E203)</f>
        <v>0.7647825899514209</v>
      </c>
      <c r="AO192" s="890"/>
      <c r="AP192" s="308"/>
      <c r="AQ192" s="308"/>
      <c r="AR192" s="308"/>
      <c r="AS192" s="308"/>
      <c r="AT192" s="898"/>
      <c r="AU192" s="895"/>
      <c r="AV192" s="898"/>
    </row>
    <row r="193" spans="1:48" ht="122.4" customHeight="1" thickBot="1" x14ac:dyDescent="0.55000000000000004">
      <c r="A193" s="302"/>
      <c r="B193" s="1548" t="s">
        <v>1680</v>
      </c>
      <c r="C193" s="1549"/>
      <c r="D193" s="619"/>
      <c r="E193" s="307">
        <v>0.5</v>
      </c>
      <c r="F193" s="311"/>
      <c r="G193" s="330"/>
      <c r="H193" s="809"/>
      <c r="I193" s="331"/>
      <c r="J193" s="378">
        <f>+AVERAGE(J194:J197)</f>
        <v>0.23879427591508487</v>
      </c>
      <c r="K193" s="309">
        <f>+AVERAGE(K194:K197)</f>
        <v>0.33623578341513416</v>
      </c>
      <c r="L193" s="309">
        <f>+AVERAGE(L194:L197)</f>
        <v>0.24595149395575153</v>
      </c>
      <c r="M193" s="309">
        <f>+M194+M195+M196+M197</f>
        <v>0.11410989888238424</v>
      </c>
      <c r="N193" s="309">
        <f>+N194+N195+N196+N197</f>
        <v>0.33924147004908045</v>
      </c>
      <c r="O193" s="309"/>
      <c r="P193" s="366"/>
      <c r="Q193" s="379"/>
      <c r="R193" s="379"/>
      <c r="S193" s="379"/>
      <c r="T193" s="379"/>
      <c r="U193" s="379"/>
      <c r="V193" s="379"/>
      <c r="W193" s="379"/>
      <c r="X193" s="379"/>
      <c r="Y193" s="379"/>
      <c r="Z193" s="379"/>
      <c r="AA193" s="379"/>
      <c r="AB193" s="379"/>
      <c r="AC193" s="524">
        <f>+AVERAGE(AC194:AC197)</f>
        <v>1</v>
      </c>
      <c r="AD193" s="348">
        <f>+AVERAGE(AD194:AD197)</f>
        <v>1</v>
      </c>
      <c r="AE193" s="348">
        <f>+AVERAGE(AE194:AE197)</f>
        <v>0.34682556497175143</v>
      </c>
      <c r="AF193" s="348">
        <f>+(AF194+AF195+AF196+AF197)*E193</f>
        <v>0.25</v>
      </c>
      <c r="AG193" s="348">
        <f>+(AG194+AG195+AG196+AG197)*E193</f>
        <v>0.42499999999999999</v>
      </c>
      <c r="AH193" s="348">
        <f>+(AH194+AH195+AH196+AH197)*E193</f>
        <v>0.16841772598870058</v>
      </c>
      <c r="AI193" s="309">
        <f>+AVERAGE(AI194:AI197)</f>
        <v>0.33240983608865465</v>
      </c>
      <c r="AJ193" s="309">
        <v>0.67886083762048366</v>
      </c>
      <c r="AK193" s="309">
        <f>+AVERAGE(AK194:AK197)</f>
        <v>0.74748415021499104</v>
      </c>
      <c r="AL193" s="309">
        <f>+(AL194+AL195+AL196+AL197)*E193</f>
        <v>8.0094974636120198E-2</v>
      </c>
      <c r="AM193" s="309">
        <f>+(AM194+AM195+AM196+AM197)</f>
        <v>0.78121367009638698</v>
      </c>
      <c r="AN193" s="309">
        <f>+(AN194+AN195+AN196+AN197)</f>
        <v>0.82554684398151668</v>
      </c>
      <c r="AO193" s="685"/>
      <c r="AP193" s="308"/>
      <c r="AQ193" s="308"/>
      <c r="AR193" s="308"/>
      <c r="AS193" s="308"/>
      <c r="AT193" s="898"/>
      <c r="AU193" s="895"/>
      <c r="AV193" s="898"/>
    </row>
    <row r="194" spans="1:48" ht="122.4" customHeight="1" thickBot="1" x14ac:dyDescent="0.45">
      <c r="A194" s="302"/>
      <c r="B194" s="1450" t="s">
        <v>660</v>
      </c>
      <c r="C194" s="1430" t="s">
        <v>661</v>
      </c>
      <c r="D194" s="350" t="s">
        <v>662</v>
      </c>
      <c r="E194" s="310">
        <v>0.15</v>
      </c>
      <c r="F194" s="311">
        <v>2800</v>
      </c>
      <c r="G194" s="330">
        <v>700</v>
      </c>
      <c r="H194" s="809">
        <v>700</v>
      </c>
      <c r="I194" s="331">
        <v>400</v>
      </c>
      <c r="J194" s="373">
        <f>+G194/F194</f>
        <v>0.25</v>
      </c>
      <c r="K194" s="374">
        <f t="shared" ref="K194:K196" si="171">+H194/F194</f>
        <v>0.25</v>
      </c>
      <c r="L194" s="1477">
        <f t="shared" ref="L194:L197" si="172">+I194/F194</f>
        <v>0.14285714285714285</v>
      </c>
      <c r="M194" s="374">
        <f>+(G194/F194)*E194</f>
        <v>3.7499999999999999E-2</v>
      </c>
      <c r="N194" s="374">
        <f t="shared" ref="N194:N196" si="173">+(H194/F194)*E194</f>
        <v>3.7499999999999999E-2</v>
      </c>
      <c r="O194" s="374"/>
      <c r="P194" s="380">
        <v>1265</v>
      </c>
      <c r="Q194" s="530">
        <v>261</v>
      </c>
      <c r="R194" s="530">
        <v>0</v>
      </c>
      <c r="S194" s="530">
        <v>300</v>
      </c>
      <c r="T194" s="530">
        <v>239</v>
      </c>
      <c r="U194" s="530">
        <v>0</v>
      </c>
      <c r="V194" s="380">
        <f t="shared" ref="V194:V205" si="174">+Q194+R194+S194+T194+U194</f>
        <v>800</v>
      </c>
      <c r="W194" s="380">
        <f>+V194+P194+AB194</f>
        <v>2190</v>
      </c>
      <c r="X194" s="380">
        <v>125</v>
      </c>
      <c r="Y194" s="380"/>
      <c r="Z194" s="380"/>
      <c r="AA194" s="380"/>
      <c r="AB194" s="380">
        <f t="shared" ref="AB194:AB197" si="175">+X194+Y194+Z194+AA194</f>
        <v>125</v>
      </c>
      <c r="AC194" s="364">
        <v>1</v>
      </c>
      <c r="AD194" s="319">
        <v>1</v>
      </c>
      <c r="AE194" s="319">
        <f t="shared" ref="AE194:AE201" si="176">+AB194/I194</f>
        <v>0.3125</v>
      </c>
      <c r="AF194" s="319">
        <f>+AC194*E194</f>
        <v>0.15</v>
      </c>
      <c r="AG194" s="319">
        <f>+AD194*E194</f>
        <v>0.15</v>
      </c>
      <c r="AH194" s="319">
        <f t="shared" ref="AH194:AH197" si="177">+AE194*E194</f>
        <v>4.6875E-2</v>
      </c>
      <c r="AI194" s="319">
        <f>+P194/F194</f>
        <v>0.45178571428571429</v>
      </c>
      <c r="AJ194" s="319">
        <v>0.73750000000000004</v>
      </c>
      <c r="AK194" s="319">
        <f t="shared" ref="AK194:AK197" si="178">+W194/F194</f>
        <v>0.78214285714285714</v>
      </c>
      <c r="AL194" s="319">
        <f>+AI194*E194</f>
        <v>6.7767857142857144E-2</v>
      </c>
      <c r="AM194" s="319">
        <f>+AJ194*E194</f>
        <v>0.110625</v>
      </c>
      <c r="AN194" s="319">
        <f t="shared" ref="AN194:AN197" si="179">+AK194*E194</f>
        <v>0.11732142857142856</v>
      </c>
      <c r="AO194" s="577" t="s">
        <v>1850</v>
      </c>
      <c r="AP194" s="579" t="s">
        <v>1901</v>
      </c>
      <c r="AQ194" s="579" t="s">
        <v>2264</v>
      </c>
      <c r="AR194" s="579" t="s">
        <v>2287</v>
      </c>
      <c r="AS194" s="603" t="s">
        <v>2402</v>
      </c>
      <c r="AT194" s="603" t="s">
        <v>2436</v>
      </c>
      <c r="AU194" s="603" t="s">
        <v>2493</v>
      </c>
      <c r="AV194" s="603" t="s">
        <v>1893</v>
      </c>
    </row>
    <row r="195" spans="1:48" ht="152.4" customHeight="1" thickBot="1" x14ac:dyDescent="0.45">
      <c r="A195" s="302"/>
      <c r="B195" s="1450" t="s">
        <v>663</v>
      </c>
      <c r="C195" s="1430" t="s">
        <v>664</v>
      </c>
      <c r="D195" s="350" t="s">
        <v>662</v>
      </c>
      <c r="E195" s="310">
        <v>0.2</v>
      </c>
      <c r="F195" s="311">
        <v>33822</v>
      </c>
      <c r="G195" s="330">
        <v>4500</v>
      </c>
      <c r="H195" s="809">
        <v>8750</v>
      </c>
      <c r="I195" s="331">
        <v>8850</v>
      </c>
      <c r="J195" s="373">
        <f>+G195/F195</f>
        <v>0.13304949441192124</v>
      </c>
      <c r="K195" s="374">
        <f t="shared" si="171"/>
        <v>0.25870735024540242</v>
      </c>
      <c r="L195" s="1477">
        <f t="shared" si="172"/>
        <v>0.26166400567677844</v>
      </c>
      <c r="M195" s="374">
        <f>+(G195/F195)*E195</f>
        <v>2.6609898882384249E-2</v>
      </c>
      <c r="N195" s="374">
        <f t="shared" si="173"/>
        <v>5.1741470049080487E-2</v>
      </c>
      <c r="O195" s="374"/>
      <c r="P195" s="380">
        <v>7174</v>
      </c>
      <c r="Q195" s="530">
        <v>599</v>
      </c>
      <c r="R195" s="530">
        <v>2886</v>
      </c>
      <c r="S195" s="530">
        <v>3267</v>
      </c>
      <c r="T195" s="530">
        <v>2204</v>
      </c>
      <c r="U195" s="530">
        <v>35</v>
      </c>
      <c r="V195" s="380">
        <f t="shared" si="174"/>
        <v>8991</v>
      </c>
      <c r="W195" s="380">
        <f t="shared" ref="W195:W197" si="180">+V195+P195+AB195</f>
        <v>18302</v>
      </c>
      <c r="X195" s="380">
        <v>2137</v>
      </c>
      <c r="Y195" s="380"/>
      <c r="Z195" s="380"/>
      <c r="AA195" s="380"/>
      <c r="AB195" s="380">
        <f t="shared" si="175"/>
        <v>2137</v>
      </c>
      <c r="AC195" s="364">
        <v>1</v>
      </c>
      <c r="AD195" s="319">
        <v>1</v>
      </c>
      <c r="AE195" s="319">
        <f>+AB195/I195</f>
        <v>0.2414689265536723</v>
      </c>
      <c r="AF195" s="319">
        <f>+AC195*E195</f>
        <v>0.2</v>
      </c>
      <c r="AG195" s="319">
        <f>+AD195*E195</f>
        <v>0.2</v>
      </c>
      <c r="AH195" s="319">
        <f t="shared" si="177"/>
        <v>4.8293785310734465E-2</v>
      </c>
      <c r="AI195" s="319">
        <f>+P195/F195</f>
        <v>0.21211046064691622</v>
      </c>
      <c r="AJ195" s="319">
        <v>0.47794335048193481</v>
      </c>
      <c r="AK195" s="319">
        <f t="shared" si="178"/>
        <v>0.5411270770504405</v>
      </c>
      <c r="AL195" s="319">
        <f>+AI195*E195</f>
        <v>4.2422092129383249E-2</v>
      </c>
      <c r="AM195" s="319">
        <f>+AJ195*E195</f>
        <v>9.5588670096386968E-2</v>
      </c>
      <c r="AN195" s="319">
        <f t="shared" si="179"/>
        <v>0.10822541541008811</v>
      </c>
      <c r="AO195" s="577" t="s">
        <v>1850</v>
      </c>
      <c r="AP195" s="579" t="s">
        <v>1901</v>
      </c>
      <c r="AQ195" s="579" t="s">
        <v>2264</v>
      </c>
      <c r="AR195" s="579" t="s">
        <v>2287</v>
      </c>
      <c r="AS195" s="603" t="s">
        <v>2402</v>
      </c>
      <c r="AT195" s="603" t="s">
        <v>2436</v>
      </c>
      <c r="AU195" s="603" t="s">
        <v>2493</v>
      </c>
      <c r="AV195" s="603" t="s">
        <v>1893</v>
      </c>
    </row>
    <row r="196" spans="1:48" ht="122.4" customHeight="1" thickBot="1" x14ac:dyDescent="0.45">
      <c r="A196" s="302"/>
      <c r="B196" s="1450" t="s">
        <v>665</v>
      </c>
      <c r="C196" s="1430" t="s">
        <v>666</v>
      </c>
      <c r="D196" s="350" t="s">
        <v>662</v>
      </c>
      <c r="E196" s="310">
        <v>0.5</v>
      </c>
      <c r="F196" s="311">
        <v>2</v>
      </c>
      <c r="G196" s="330">
        <v>0</v>
      </c>
      <c r="H196" s="809">
        <v>1</v>
      </c>
      <c r="I196" s="331">
        <v>0.3</v>
      </c>
      <c r="J196" s="373"/>
      <c r="K196" s="374">
        <f t="shared" si="171"/>
        <v>0.5</v>
      </c>
      <c r="L196" s="1477"/>
      <c r="M196" s="374"/>
      <c r="N196" s="374">
        <f t="shared" si="173"/>
        <v>0.25</v>
      </c>
      <c r="O196" s="374"/>
      <c r="P196" s="366"/>
      <c r="Q196" s="527">
        <v>0</v>
      </c>
      <c r="R196" s="527">
        <v>1</v>
      </c>
      <c r="S196" s="527">
        <v>0</v>
      </c>
      <c r="T196" s="527">
        <v>0.5</v>
      </c>
      <c r="U196" s="527">
        <v>0.5</v>
      </c>
      <c r="V196" s="366">
        <f t="shared" si="174"/>
        <v>2</v>
      </c>
      <c r="W196" s="380">
        <f t="shared" si="180"/>
        <v>2.1</v>
      </c>
      <c r="X196" s="366">
        <v>0.1</v>
      </c>
      <c r="Y196" s="366"/>
      <c r="Z196" s="366"/>
      <c r="AA196" s="366"/>
      <c r="AB196" s="366">
        <f t="shared" si="175"/>
        <v>0.1</v>
      </c>
      <c r="AC196" s="364"/>
      <c r="AD196" s="319">
        <v>1</v>
      </c>
      <c r="AE196" s="319">
        <f t="shared" si="176"/>
        <v>0.33333333333333337</v>
      </c>
      <c r="AF196" s="319"/>
      <c r="AG196" s="319">
        <f>+AD196*E196</f>
        <v>0.5</v>
      </c>
      <c r="AH196" s="319">
        <f t="shared" si="177"/>
        <v>0.16666666666666669</v>
      </c>
      <c r="AI196" s="319"/>
      <c r="AJ196" s="319">
        <v>1</v>
      </c>
      <c r="AK196" s="319">
        <v>1</v>
      </c>
      <c r="AL196" s="319">
        <v>0</v>
      </c>
      <c r="AM196" s="319">
        <f>+AJ196*E196</f>
        <v>0.5</v>
      </c>
      <c r="AN196" s="319">
        <f t="shared" si="179"/>
        <v>0.5</v>
      </c>
      <c r="AO196" s="577" t="s">
        <v>1850</v>
      </c>
      <c r="AP196" s="644" t="s">
        <v>1919</v>
      </c>
      <c r="AQ196" s="579" t="s">
        <v>2264</v>
      </c>
      <c r="AR196" s="579" t="s">
        <v>2287</v>
      </c>
      <c r="AS196" s="603" t="s">
        <v>2402</v>
      </c>
      <c r="AT196" s="603" t="s">
        <v>2436</v>
      </c>
      <c r="AU196" s="603" t="s">
        <v>2492</v>
      </c>
      <c r="AV196" s="603" t="s">
        <v>1893</v>
      </c>
    </row>
    <row r="197" spans="1:48" ht="122.4" customHeight="1" thickBot="1" x14ac:dyDescent="0.45">
      <c r="A197" s="302"/>
      <c r="B197" s="1450" t="s">
        <v>667</v>
      </c>
      <c r="C197" s="1430" t="s">
        <v>668</v>
      </c>
      <c r="D197" s="350" t="s">
        <v>662</v>
      </c>
      <c r="E197" s="310">
        <v>0.15</v>
      </c>
      <c r="F197" s="311">
        <v>3</v>
      </c>
      <c r="G197" s="330">
        <v>1</v>
      </c>
      <c r="H197" s="809">
        <v>0</v>
      </c>
      <c r="I197" s="331">
        <v>1</v>
      </c>
      <c r="J197" s="373">
        <f>+G197/F197</f>
        <v>0.33333333333333331</v>
      </c>
      <c r="K197" s="374"/>
      <c r="L197" s="1477">
        <f t="shared" si="172"/>
        <v>0.33333333333333331</v>
      </c>
      <c r="M197" s="374">
        <f>+(G197/F197)*E197</f>
        <v>4.9999999999999996E-2</v>
      </c>
      <c r="N197" s="374"/>
      <c r="O197" s="374"/>
      <c r="P197" s="366">
        <v>1</v>
      </c>
      <c r="Q197" s="527">
        <v>0.1</v>
      </c>
      <c r="R197" s="527">
        <v>0</v>
      </c>
      <c r="S197" s="527">
        <v>0</v>
      </c>
      <c r="T197" s="527">
        <v>0.4</v>
      </c>
      <c r="U197" s="527">
        <v>0</v>
      </c>
      <c r="V197" s="366">
        <f t="shared" si="174"/>
        <v>0.5</v>
      </c>
      <c r="W197" s="380">
        <f t="shared" si="180"/>
        <v>2</v>
      </c>
      <c r="X197" s="366">
        <v>0.5</v>
      </c>
      <c r="Y197" s="366"/>
      <c r="Z197" s="366"/>
      <c r="AA197" s="366"/>
      <c r="AB197" s="366">
        <f t="shared" si="175"/>
        <v>0.5</v>
      </c>
      <c r="AC197" s="364">
        <f>+(P197/G197)</f>
        <v>1</v>
      </c>
      <c r="AD197" s="319"/>
      <c r="AE197" s="319">
        <f>+AB197/I197</f>
        <v>0.5</v>
      </c>
      <c r="AF197" s="319">
        <f>+AC197*E197</f>
        <v>0.15</v>
      </c>
      <c r="AG197" s="319"/>
      <c r="AH197" s="319">
        <f t="shared" si="177"/>
        <v>7.4999999999999997E-2</v>
      </c>
      <c r="AI197" s="319">
        <f>+P197/F197</f>
        <v>0.33333333333333331</v>
      </c>
      <c r="AJ197" s="319">
        <v>0.5</v>
      </c>
      <c r="AK197" s="319">
        <f t="shared" si="178"/>
        <v>0.66666666666666663</v>
      </c>
      <c r="AL197" s="319">
        <f>+AI197*E197</f>
        <v>4.9999999999999996E-2</v>
      </c>
      <c r="AM197" s="319">
        <f>+AJ197*E197</f>
        <v>7.4999999999999997E-2</v>
      </c>
      <c r="AN197" s="319">
        <f t="shared" si="179"/>
        <v>9.9999999999999992E-2</v>
      </c>
      <c r="AO197" s="577" t="s">
        <v>1850</v>
      </c>
      <c r="AP197" s="579" t="s">
        <v>1901</v>
      </c>
      <c r="AQ197" s="579" t="s">
        <v>2264</v>
      </c>
      <c r="AR197" s="579" t="s">
        <v>2287</v>
      </c>
      <c r="AS197" s="603" t="s">
        <v>2402</v>
      </c>
      <c r="AT197" s="603" t="s">
        <v>2436</v>
      </c>
      <c r="AU197" s="603" t="s">
        <v>2493</v>
      </c>
      <c r="AV197" s="603" t="s">
        <v>1893</v>
      </c>
    </row>
    <row r="198" spans="1:48" ht="122.4" customHeight="1" thickBot="1" x14ac:dyDescent="0.55000000000000004">
      <c r="A198" s="302"/>
      <c r="B198" s="1548" t="s">
        <v>1681</v>
      </c>
      <c r="C198" s="1549"/>
      <c r="D198" s="350"/>
      <c r="E198" s="307">
        <v>0.25</v>
      </c>
      <c r="F198" s="311"/>
      <c r="G198" s="330"/>
      <c r="H198" s="809"/>
      <c r="I198" s="331"/>
      <c r="J198" s="378">
        <f>+AVERAGE(J199:J202)</f>
        <v>0.31944444444444442</v>
      </c>
      <c r="K198" s="309">
        <f>+AVERAGE(K199:K202)</f>
        <v>0.34074074074074073</v>
      </c>
      <c r="L198" s="309">
        <f>+AVERAGE(L199:L202)</f>
        <v>0.28703703703703703</v>
      </c>
      <c r="M198" s="309">
        <f>+M199+M200+M201+M202</f>
        <v>0.27361111111111114</v>
      </c>
      <c r="N198" s="309">
        <f>+N199+N200+N201+N202</f>
        <v>0.2338888888888889</v>
      </c>
      <c r="O198" s="309"/>
      <c r="P198" s="331"/>
      <c r="Q198" s="362"/>
      <c r="R198" s="362"/>
      <c r="S198" s="362"/>
      <c r="T198" s="362"/>
      <c r="U198" s="966"/>
      <c r="V198" s="362"/>
      <c r="W198" s="362"/>
      <c r="X198" s="362"/>
      <c r="Y198" s="362"/>
      <c r="Z198" s="362"/>
      <c r="AA198" s="362"/>
      <c r="AB198" s="362"/>
      <c r="AC198" s="524">
        <f>+AVERAGE(AC199:AC202)</f>
        <v>0.84218749999999998</v>
      </c>
      <c r="AD198" s="348">
        <f>+AVERAGE(AD199:AD202)</f>
        <v>0.91822916666666665</v>
      </c>
      <c r="AE198" s="348">
        <f>+AVERAGE(AE199:AE202)</f>
        <v>9.6291666666666664E-2</v>
      </c>
      <c r="AF198" s="348">
        <f>+(AF199+AF200+AF201+AF202)*E198</f>
        <v>0.18687500000000004</v>
      </c>
      <c r="AG198" s="348">
        <f>+(AG199+AG200+AG201+AG202)*E198</f>
        <v>0.17979166666666668</v>
      </c>
      <c r="AH198" s="348">
        <f>+(AH199+AH200+AH201+AH202)*E198</f>
        <v>3.3495833333333336E-2</v>
      </c>
      <c r="AI198" s="309">
        <f>+AVERAGE(AI199:AI202)</f>
        <v>0.25733506944444445</v>
      </c>
      <c r="AJ198" s="309">
        <v>0.57819097222222227</v>
      </c>
      <c r="AK198" s="309">
        <f>+AVERAGE(AK199:AK202)</f>
        <v>0.60396180555555556</v>
      </c>
      <c r="AL198" s="309">
        <f>+(AL199+AL200+AL201+AL202)*E198</f>
        <v>5.0629340277777775E-2</v>
      </c>
      <c r="AM198" s="309">
        <f>+(AM199+AM200+AM201+AM202)</f>
        <v>0.46282430555555554</v>
      </c>
      <c r="AN198" s="309">
        <f>+(AN199+AN200+AN201+AN202)</f>
        <v>0.49652638888888889</v>
      </c>
      <c r="AO198" s="685"/>
      <c r="AP198" s="308"/>
      <c r="AQ198" s="308"/>
      <c r="AR198" s="308"/>
      <c r="AS198" s="308"/>
      <c r="AT198" s="898"/>
      <c r="AU198" s="895"/>
      <c r="AV198" s="898"/>
    </row>
    <row r="199" spans="1:48" ht="122.4" customHeight="1" thickBot="1" x14ac:dyDescent="0.45">
      <c r="A199" s="302"/>
      <c r="B199" s="1450" t="s">
        <v>669</v>
      </c>
      <c r="C199" s="1430" t="s">
        <v>670</v>
      </c>
      <c r="D199" s="350" t="s">
        <v>662</v>
      </c>
      <c r="E199" s="310">
        <v>0.4</v>
      </c>
      <c r="F199" s="311">
        <v>36000</v>
      </c>
      <c r="G199" s="381">
        <v>10000</v>
      </c>
      <c r="H199" s="381">
        <v>9800</v>
      </c>
      <c r="I199" s="366">
        <v>8500</v>
      </c>
      <c r="J199" s="320">
        <f>+G199/F199</f>
        <v>0.27777777777777779</v>
      </c>
      <c r="K199" s="382">
        <f t="shared" ref="K199:K201" si="181">+H199/F199</f>
        <v>0.2722222222222222</v>
      </c>
      <c r="L199" s="1083">
        <f t="shared" ref="L199:L202" si="182">+I199/F199</f>
        <v>0.2361111111111111</v>
      </c>
      <c r="M199" s="374">
        <f>+(G199/F199)*E199</f>
        <v>0.11111111111111112</v>
      </c>
      <c r="N199" s="374">
        <f t="shared" ref="N199:N201" si="183">+(H199/F199)*E199</f>
        <v>0.10888888888888888</v>
      </c>
      <c r="O199" s="374"/>
      <c r="P199" s="366">
        <v>10810</v>
      </c>
      <c r="Q199" s="527">
        <v>1263</v>
      </c>
      <c r="R199" s="527">
        <v>3098</v>
      </c>
      <c r="S199" s="527">
        <v>3892</v>
      </c>
      <c r="T199" s="527">
        <v>2180</v>
      </c>
      <c r="U199" s="527">
        <v>473</v>
      </c>
      <c r="V199" s="366">
        <f t="shared" si="174"/>
        <v>10906</v>
      </c>
      <c r="W199" s="366">
        <f>+V199+P199+AB199</f>
        <v>23705</v>
      </c>
      <c r="X199" s="366">
        <v>1989</v>
      </c>
      <c r="Y199" s="366"/>
      <c r="Z199" s="366"/>
      <c r="AA199" s="366"/>
      <c r="AB199" s="366">
        <f t="shared" ref="AB199:AB202" si="184">+X199+Y199+Z199+AA199</f>
        <v>1989</v>
      </c>
      <c r="AC199" s="364">
        <v>1</v>
      </c>
      <c r="AD199" s="319">
        <v>1</v>
      </c>
      <c r="AE199" s="319">
        <f t="shared" si="176"/>
        <v>0.23400000000000001</v>
      </c>
      <c r="AF199" s="319">
        <f>+AC199*E199</f>
        <v>0.4</v>
      </c>
      <c r="AG199" s="319">
        <f>+AD199*E199</f>
        <v>0.4</v>
      </c>
      <c r="AH199" s="319">
        <f t="shared" ref="AH199:AH202" si="185">+AE199*E199</f>
        <v>9.3600000000000017E-2</v>
      </c>
      <c r="AI199" s="319">
        <f>+P199/F199</f>
        <v>0.30027777777777775</v>
      </c>
      <c r="AJ199" s="319">
        <v>0.60322222222222222</v>
      </c>
      <c r="AK199" s="319">
        <f t="shared" ref="AK199:AK202" si="186">+W199/F199</f>
        <v>0.65847222222222224</v>
      </c>
      <c r="AL199" s="319">
        <f>+AI199*E199</f>
        <v>0.12011111111111111</v>
      </c>
      <c r="AM199" s="319">
        <f>+AJ199*E199</f>
        <v>0.24128888888888889</v>
      </c>
      <c r="AN199" s="319">
        <f t="shared" ref="AN199:AN202" si="187">+AK199*E199</f>
        <v>0.26338888888888889</v>
      </c>
      <c r="AO199" s="577" t="s">
        <v>1850</v>
      </c>
      <c r="AP199" s="579" t="s">
        <v>1901</v>
      </c>
      <c r="AQ199" s="579" t="s">
        <v>2264</v>
      </c>
      <c r="AR199" s="579" t="s">
        <v>2287</v>
      </c>
      <c r="AS199" s="603" t="s">
        <v>2402</v>
      </c>
      <c r="AT199" s="603" t="s">
        <v>2436</v>
      </c>
      <c r="AU199" s="603" t="s">
        <v>2493</v>
      </c>
      <c r="AV199" s="603" t="s">
        <v>1893</v>
      </c>
    </row>
    <row r="200" spans="1:48" ht="122.4" customHeight="1" thickBot="1" x14ac:dyDescent="0.45">
      <c r="A200" s="302"/>
      <c r="B200" s="1450" t="s">
        <v>671</v>
      </c>
      <c r="C200" s="1430" t="s">
        <v>672</v>
      </c>
      <c r="D200" s="350" t="s">
        <v>662</v>
      </c>
      <c r="E200" s="310">
        <v>0.4</v>
      </c>
      <c r="F200" s="311">
        <f>480*4</f>
        <v>1920</v>
      </c>
      <c r="G200" s="381">
        <v>480</v>
      </c>
      <c r="H200" s="381">
        <v>480</v>
      </c>
      <c r="I200" s="366">
        <v>480</v>
      </c>
      <c r="J200" s="320">
        <f>+G200/F200</f>
        <v>0.25</v>
      </c>
      <c r="K200" s="320">
        <f t="shared" si="181"/>
        <v>0.25</v>
      </c>
      <c r="L200" s="373">
        <f t="shared" si="182"/>
        <v>0.25</v>
      </c>
      <c r="M200" s="374">
        <f>+(G200/F200)*E200</f>
        <v>0.1</v>
      </c>
      <c r="N200" s="374">
        <f t="shared" si="183"/>
        <v>0.1</v>
      </c>
      <c r="O200" s="374"/>
      <c r="P200" s="366">
        <v>177</v>
      </c>
      <c r="Q200" s="527">
        <v>16</v>
      </c>
      <c r="R200" s="527">
        <v>64</v>
      </c>
      <c r="S200" s="527">
        <v>110</v>
      </c>
      <c r="T200" s="527">
        <v>126</v>
      </c>
      <c r="U200" s="527">
        <v>7</v>
      </c>
      <c r="V200" s="366">
        <f t="shared" si="174"/>
        <v>323</v>
      </c>
      <c r="W200" s="366">
        <f t="shared" ref="W200:W202" si="188">+V200+P200+AB200</f>
        <v>534</v>
      </c>
      <c r="X200" s="366">
        <v>34</v>
      </c>
      <c r="Y200" s="366"/>
      <c r="Z200" s="366"/>
      <c r="AA200" s="366"/>
      <c r="AB200" s="366">
        <f>+X200+Y200+Z200+AA200</f>
        <v>34</v>
      </c>
      <c r="AC200" s="364">
        <f>+(P200/G200)</f>
        <v>0.36875000000000002</v>
      </c>
      <c r="AD200" s="319">
        <f>+V200/H200</f>
        <v>0.67291666666666672</v>
      </c>
      <c r="AE200" s="319">
        <f>+AB200/I200</f>
        <v>7.0833333333333331E-2</v>
      </c>
      <c r="AF200" s="319">
        <f>+AC200*E200</f>
        <v>0.14750000000000002</v>
      </c>
      <c r="AG200" s="319">
        <f>+AD200*E200</f>
        <v>0.26916666666666672</v>
      </c>
      <c r="AH200" s="319">
        <f t="shared" si="185"/>
        <v>2.8333333333333335E-2</v>
      </c>
      <c r="AI200" s="319">
        <f>+P200/F200</f>
        <v>9.2187500000000006E-2</v>
      </c>
      <c r="AJ200" s="319">
        <v>0.26041666666666669</v>
      </c>
      <c r="AK200" s="319">
        <f t="shared" si="186"/>
        <v>0.27812500000000001</v>
      </c>
      <c r="AL200" s="319">
        <f>+AI200*E200</f>
        <v>3.6875000000000005E-2</v>
      </c>
      <c r="AM200" s="319">
        <f>+AJ200*E200</f>
        <v>0.10416666666666669</v>
      </c>
      <c r="AN200" s="319">
        <f t="shared" si="187"/>
        <v>0.11125000000000002</v>
      </c>
      <c r="AO200" s="577" t="s">
        <v>1850</v>
      </c>
      <c r="AP200" s="579" t="s">
        <v>1901</v>
      </c>
      <c r="AQ200" s="579" t="s">
        <v>2264</v>
      </c>
      <c r="AR200" s="579" t="s">
        <v>2287</v>
      </c>
      <c r="AS200" s="603" t="s">
        <v>2402</v>
      </c>
      <c r="AT200" s="603" t="s">
        <v>2436</v>
      </c>
      <c r="AU200" s="603" t="s">
        <v>2493</v>
      </c>
      <c r="AV200" s="603" t="s">
        <v>1893</v>
      </c>
    </row>
    <row r="201" spans="1:48" ht="122.4" customHeight="1" thickBot="1" x14ac:dyDescent="0.45">
      <c r="A201" s="302"/>
      <c r="B201" s="1450" t="s">
        <v>673</v>
      </c>
      <c r="C201" s="1430" t="s">
        <v>674</v>
      </c>
      <c r="D201" s="350" t="s">
        <v>662</v>
      </c>
      <c r="E201" s="310">
        <v>0.05</v>
      </c>
      <c r="F201" s="311">
        <v>1</v>
      </c>
      <c r="G201" s="381">
        <v>0.5</v>
      </c>
      <c r="H201" s="381">
        <v>0.5</v>
      </c>
      <c r="I201" s="366">
        <v>0.2</v>
      </c>
      <c r="J201" s="320">
        <f>+G201/F201</f>
        <v>0.5</v>
      </c>
      <c r="K201" s="320">
        <f t="shared" si="181"/>
        <v>0.5</v>
      </c>
      <c r="L201" s="373"/>
      <c r="M201" s="374">
        <f>+(G201/F201)*E201</f>
        <v>2.5000000000000001E-2</v>
      </c>
      <c r="N201" s="374">
        <f t="shared" si="183"/>
        <v>2.5000000000000001E-2</v>
      </c>
      <c r="O201" s="374"/>
      <c r="P201" s="366">
        <v>0.5</v>
      </c>
      <c r="Q201" s="527">
        <v>0</v>
      </c>
      <c r="R201" s="527">
        <v>0</v>
      </c>
      <c r="S201" s="527">
        <v>0.5</v>
      </c>
      <c r="T201" s="527">
        <v>0</v>
      </c>
      <c r="U201" s="527"/>
      <c r="V201" s="366">
        <f t="shared" si="174"/>
        <v>0.5</v>
      </c>
      <c r="W201" s="366">
        <f t="shared" si="188"/>
        <v>1</v>
      </c>
      <c r="X201" s="366">
        <v>0</v>
      </c>
      <c r="Y201" s="366"/>
      <c r="Z201" s="366"/>
      <c r="AA201" s="366"/>
      <c r="AB201" s="366">
        <f t="shared" si="184"/>
        <v>0</v>
      </c>
      <c r="AC201" s="364">
        <f>+(P201/G201)</f>
        <v>1</v>
      </c>
      <c r="AD201" s="319">
        <f>+V201/H201</f>
        <v>1</v>
      </c>
      <c r="AE201" s="319">
        <f t="shared" si="176"/>
        <v>0</v>
      </c>
      <c r="AF201" s="319">
        <f>+AC201*E201</f>
        <v>0.05</v>
      </c>
      <c r="AG201" s="319">
        <f>+AD201*E201</f>
        <v>0.05</v>
      </c>
      <c r="AH201" s="319">
        <f t="shared" si="185"/>
        <v>0</v>
      </c>
      <c r="AI201" s="319">
        <f>+P201/F201</f>
        <v>0.5</v>
      </c>
      <c r="AJ201" s="319">
        <v>1</v>
      </c>
      <c r="AK201" s="319">
        <f t="shared" si="186"/>
        <v>1</v>
      </c>
      <c r="AL201" s="319">
        <f>+AI201*E201</f>
        <v>2.5000000000000001E-2</v>
      </c>
      <c r="AM201" s="319">
        <f>+AJ201*E201</f>
        <v>0.05</v>
      </c>
      <c r="AN201" s="319">
        <f t="shared" si="187"/>
        <v>0.05</v>
      </c>
      <c r="AO201" s="577" t="s">
        <v>1850</v>
      </c>
      <c r="AP201" s="579" t="s">
        <v>1901</v>
      </c>
      <c r="AQ201" s="579" t="s">
        <v>2264</v>
      </c>
      <c r="AR201" s="579" t="s">
        <v>2287</v>
      </c>
      <c r="AS201" s="603" t="s">
        <v>2402</v>
      </c>
      <c r="AT201" s="603" t="s">
        <v>2436</v>
      </c>
      <c r="AU201" s="899" t="s">
        <v>1865</v>
      </c>
      <c r="AV201" s="603" t="s">
        <v>1893</v>
      </c>
    </row>
    <row r="202" spans="1:48" ht="122.4" customHeight="1" thickBot="1" x14ac:dyDescent="0.45">
      <c r="A202" s="302"/>
      <c r="B202" s="1450" t="s">
        <v>675</v>
      </c>
      <c r="C202" s="1430" t="s">
        <v>676</v>
      </c>
      <c r="D202" s="350" t="s">
        <v>662</v>
      </c>
      <c r="E202" s="310">
        <v>0.15</v>
      </c>
      <c r="F202" s="383">
        <v>8000</v>
      </c>
      <c r="G202" s="381">
        <v>2000</v>
      </c>
      <c r="H202" s="381">
        <v>2000</v>
      </c>
      <c r="I202" s="366">
        <v>3000</v>
      </c>
      <c r="J202" s="371">
        <f>+G202/F202</f>
        <v>0.25</v>
      </c>
      <c r="K202" s="371"/>
      <c r="L202" s="1084">
        <f t="shared" si="182"/>
        <v>0.375</v>
      </c>
      <c r="M202" s="374">
        <f>+(G202/F202)*E202</f>
        <v>3.7499999999999999E-2</v>
      </c>
      <c r="N202" s="374"/>
      <c r="O202" s="374"/>
      <c r="P202" s="366">
        <v>1095</v>
      </c>
      <c r="Q202" s="527">
        <v>25</v>
      </c>
      <c r="R202" s="527">
        <v>881</v>
      </c>
      <c r="S202" s="527">
        <v>498</v>
      </c>
      <c r="T202" s="527">
        <v>433</v>
      </c>
      <c r="U202" s="527">
        <f>1094-T202</f>
        <v>661</v>
      </c>
      <c r="V202" s="366">
        <f>+Q202+R202+S202+T202+U202</f>
        <v>2498</v>
      </c>
      <c r="W202" s="366">
        <f t="shared" si="188"/>
        <v>3834</v>
      </c>
      <c r="X202" s="366">
        <v>241</v>
      </c>
      <c r="Y202" s="366"/>
      <c r="Z202" s="366"/>
      <c r="AA202" s="366"/>
      <c r="AB202" s="366">
        <f t="shared" si="184"/>
        <v>241</v>
      </c>
      <c r="AC202" s="384">
        <v>1</v>
      </c>
      <c r="AD202" s="319">
        <v>1</v>
      </c>
      <c r="AE202" s="319">
        <f>+AB202/I202</f>
        <v>8.033333333333334E-2</v>
      </c>
      <c r="AF202" s="319">
        <f>+AC202*E202</f>
        <v>0.15</v>
      </c>
      <c r="AG202" s="319"/>
      <c r="AH202" s="319">
        <f t="shared" si="185"/>
        <v>1.205E-2</v>
      </c>
      <c r="AI202" s="319">
        <f>+P202/F202</f>
        <v>0.136875</v>
      </c>
      <c r="AJ202" s="319">
        <v>0.449125</v>
      </c>
      <c r="AK202" s="319">
        <f t="shared" si="186"/>
        <v>0.47925000000000001</v>
      </c>
      <c r="AL202" s="319">
        <f>+AI202*E202</f>
        <v>2.0531249999999997E-2</v>
      </c>
      <c r="AM202" s="319">
        <f>+AJ202*E202</f>
        <v>6.7368749999999991E-2</v>
      </c>
      <c r="AN202" s="319">
        <f t="shared" si="187"/>
        <v>7.1887499999999993E-2</v>
      </c>
      <c r="AO202" s="577" t="s">
        <v>1850</v>
      </c>
      <c r="AP202" s="644" t="s">
        <v>1932</v>
      </c>
      <c r="AQ202" s="579" t="s">
        <v>2264</v>
      </c>
      <c r="AR202" s="579" t="s">
        <v>2287</v>
      </c>
      <c r="AS202" s="603" t="s">
        <v>2402</v>
      </c>
      <c r="AT202" s="603" t="s">
        <v>2436</v>
      </c>
      <c r="AU202" s="899" t="s">
        <v>1865</v>
      </c>
      <c r="AV202" s="603" t="s">
        <v>1893</v>
      </c>
    </row>
    <row r="203" spans="1:48" ht="122.4" customHeight="1" thickBot="1" x14ac:dyDescent="0.55000000000000004">
      <c r="A203" s="302"/>
      <c r="B203" s="1548" t="s">
        <v>1682</v>
      </c>
      <c r="C203" s="1549"/>
      <c r="D203" s="350"/>
      <c r="E203" s="385">
        <v>0.25</v>
      </c>
      <c r="F203" s="386"/>
      <c r="G203" s="381"/>
      <c r="H203" s="381"/>
      <c r="I203" s="366"/>
      <c r="J203" s="387">
        <f>+AVERAGE(J204:J205)</f>
        <v>0.1554520358868185</v>
      </c>
      <c r="K203" s="387">
        <f>+AVERAGE(K204:K205)</f>
        <v>0.28178053830227745</v>
      </c>
      <c r="L203" s="387">
        <f>+AVERAGE(L204:L205)</f>
        <v>0.12077294685990338</v>
      </c>
      <c r="M203" s="309">
        <f>+M204+M205</f>
        <v>0.15741890959282262</v>
      </c>
      <c r="N203" s="309">
        <f>+N204+N205</f>
        <v>0.28128364389233956</v>
      </c>
      <c r="O203" s="309"/>
      <c r="P203" s="331"/>
      <c r="Q203" s="362"/>
      <c r="R203" s="362"/>
      <c r="S203" s="362"/>
      <c r="T203" s="362"/>
      <c r="U203" s="966"/>
      <c r="V203" s="362"/>
      <c r="W203" s="362"/>
      <c r="X203" s="362"/>
      <c r="Y203" s="362"/>
      <c r="Z203" s="362"/>
      <c r="AA203" s="362"/>
      <c r="AB203" s="362"/>
      <c r="AC203" s="526">
        <f>+AVERAGE(AC204:AC206)</f>
        <v>1</v>
      </c>
      <c r="AD203" s="348">
        <f>+AVERAGE(AD204:AD205)</f>
        <v>1</v>
      </c>
      <c r="AE203" s="348">
        <f>+AVERAGE(AE204:AE205)</f>
        <v>0.41149999999999998</v>
      </c>
      <c r="AF203" s="348">
        <f>+(AF204+AF205)*E203</f>
        <v>0.25</v>
      </c>
      <c r="AG203" s="348">
        <f>+(AG204+AG205)*E203</f>
        <v>0.25</v>
      </c>
      <c r="AH203" s="348">
        <f>+(AH204+AH205)*E203</f>
        <v>7.7600000000000002E-2</v>
      </c>
      <c r="AI203" s="309">
        <f>+AVERAGE(AI204:AI205)</f>
        <v>0.43019185645272601</v>
      </c>
      <c r="AJ203" s="309">
        <v>0.84575914423740506</v>
      </c>
      <c r="AK203" s="309">
        <f>+AVERAGE(AK204:AK205)</f>
        <v>0.8970852311939268</v>
      </c>
      <c r="AL203" s="309">
        <f>+(AL204+AL205)*E203</f>
        <v>0.11038109040717736</v>
      </c>
      <c r="AM203" s="309">
        <f>+(AM204+AM205)</f>
        <v>0.87477984817115262</v>
      </c>
      <c r="AN203" s="309">
        <f>+(AN204+AN205)</f>
        <v>0.91151028295376135</v>
      </c>
      <c r="AO203" s="685"/>
      <c r="AP203" s="308"/>
      <c r="AQ203" s="308"/>
      <c r="AR203" s="308"/>
      <c r="AS203" s="308"/>
      <c r="AT203" s="898"/>
      <c r="AU203" s="895"/>
      <c r="AV203" s="898"/>
    </row>
    <row r="204" spans="1:48" ht="122.4" customHeight="1" thickBot="1" x14ac:dyDescent="0.45">
      <c r="A204" s="302"/>
      <c r="B204" s="1450" t="s">
        <v>677</v>
      </c>
      <c r="C204" s="1430" t="s">
        <v>678</v>
      </c>
      <c r="D204" s="350" t="s">
        <v>662</v>
      </c>
      <c r="E204" s="310">
        <v>0.8</v>
      </c>
      <c r="F204" s="386">
        <v>63000</v>
      </c>
      <c r="G204" s="381">
        <v>10000</v>
      </c>
      <c r="H204" s="381">
        <v>17700</v>
      </c>
      <c r="I204" s="366">
        <v>7000</v>
      </c>
      <c r="J204" s="389">
        <f>+G204/F204</f>
        <v>0.15873015873015872</v>
      </c>
      <c r="K204" s="389">
        <f t="shared" ref="K204:K205" si="189">+H204/F204</f>
        <v>0.28095238095238095</v>
      </c>
      <c r="L204" s="1098">
        <f t="shared" ref="L204:L205" si="190">+I204/F204</f>
        <v>0.1111111111111111</v>
      </c>
      <c r="M204" s="374">
        <f>+(G204/F204)*E204</f>
        <v>0.12698412698412698</v>
      </c>
      <c r="N204" s="374">
        <f t="shared" ref="N204:N205" si="191">+(H204/F204)*E204</f>
        <v>0.22476190476190477</v>
      </c>
      <c r="O204" s="374"/>
      <c r="P204" s="366">
        <v>28292</v>
      </c>
      <c r="Q204" s="527">
        <v>1495</v>
      </c>
      <c r="R204" s="527">
        <v>11116</v>
      </c>
      <c r="S204" s="527">
        <v>4638</v>
      </c>
      <c r="T204" s="527">
        <v>3739</v>
      </c>
      <c r="U204" s="527">
        <v>7050</v>
      </c>
      <c r="V204" s="366">
        <f t="shared" si="174"/>
        <v>28038</v>
      </c>
      <c r="W204" s="366">
        <f>+V204+P204+AB204</f>
        <v>58031</v>
      </c>
      <c r="X204" s="366">
        <v>1701</v>
      </c>
      <c r="Y204" s="366"/>
      <c r="Z204" s="366"/>
      <c r="AA204" s="366"/>
      <c r="AB204" s="366">
        <f t="shared" ref="AB204:AB205" si="192">+X204+Y204+Z204+AA204</f>
        <v>1701</v>
      </c>
      <c r="AC204" s="390">
        <v>1</v>
      </c>
      <c r="AD204" s="319">
        <v>1</v>
      </c>
      <c r="AE204" s="319">
        <f t="shared" ref="AE204:AE205" si="193">+AB204/I204</f>
        <v>0.24299999999999999</v>
      </c>
      <c r="AF204" s="319">
        <f>+AC204*E204</f>
        <v>0.8</v>
      </c>
      <c r="AG204" s="319">
        <f>+AD204*E204</f>
        <v>0.8</v>
      </c>
      <c r="AH204" s="319">
        <f>+AE204*E204</f>
        <v>0.19440000000000002</v>
      </c>
      <c r="AI204" s="319">
        <f>+P204/F204</f>
        <v>0.44907936507936508</v>
      </c>
      <c r="AJ204" s="319">
        <v>0.8941269841269841</v>
      </c>
      <c r="AK204" s="319">
        <f t="shared" ref="AK204:AK205" si="194">+W204/F204</f>
        <v>0.92112698412698413</v>
      </c>
      <c r="AL204" s="319">
        <f>+AI204*E204</f>
        <v>0.35926349206349206</v>
      </c>
      <c r="AM204" s="319">
        <f>+AJ204*E204</f>
        <v>0.71530158730158733</v>
      </c>
      <c r="AN204" s="319">
        <f t="shared" ref="AN204:AN205" si="195">+AK204*E204</f>
        <v>0.73690158730158739</v>
      </c>
      <c r="AO204" s="577" t="s">
        <v>1850</v>
      </c>
      <c r="AP204" s="579" t="s">
        <v>1901</v>
      </c>
      <c r="AQ204" s="579" t="s">
        <v>2264</v>
      </c>
      <c r="AR204" s="579" t="s">
        <v>2287</v>
      </c>
      <c r="AS204" s="603" t="s">
        <v>2402</v>
      </c>
      <c r="AT204" s="898"/>
      <c r="AU204" s="603" t="s">
        <v>2493</v>
      </c>
      <c r="AV204" s="603" t="s">
        <v>1893</v>
      </c>
    </row>
    <row r="205" spans="1:48" ht="122.4" customHeight="1" thickBot="1" x14ac:dyDescent="0.45">
      <c r="A205" s="302"/>
      <c r="B205" s="1478" t="s">
        <v>679</v>
      </c>
      <c r="C205" s="1479" t="s">
        <v>680</v>
      </c>
      <c r="D205" s="637" t="s">
        <v>662</v>
      </c>
      <c r="E205" s="310">
        <v>0.2</v>
      </c>
      <c r="F205" s="386">
        <v>2300</v>
      </c>
      <c r="G205" s="381">
        <v>350</v>
      </c>
      <c r="H205" s="381">
        <v>650</v>
      </c>
      <c r="I205" s="366">
        <v>300</v>
      </c>
      <c r="J205" s="389">
        <f>+G205/F205</f>
        <v>0.15217391304347827</v>
      </c>
      <c r="K205" s="389">
        <f t="shared" si="189"/>
        <v>0.28260869565217389</v>
      </c>
      <c r="L205" s="1098">
        <f t="shared" si="190"/>
        <v>0.13043478260869565</v>
      </c>
      <c r="M205" s="374">
        <f>+(G205/F205)*E205</f>
        <v>3.0434782608695657E-2</v>
      </c>
      <c r="N205" s="374">
        <f t="shared" si="191"/>
        <v>5.6521739130434782E-2</v>
      </c>
      <c r="O205" s="374"/>
      <c r="P205" s="366">
        <v>946</v>
      </c>
      <c r="Q205" s="527">
        <v>149</v>
      </c>
      <c r="R205" s="527">
        <v>157</v>
      </c>
      <c r="S205" s="527">
        <v>461</v>
      </c>
      <c r="T205" s="527">
        <v>29</v>
      </c>
      <c r="U205" s="527">
        <f>62+30</f>
        <v>92</v>
      </c>
      <c r="V205" s="366">
        <f t="shared" si="174"/>
        <v>888</v>
      </c>
      <c r="W205" s="366">
        <f>+V205+P205+AB205</f>
        <v>2008</v>
      </c>
      <c r="X205" s="366">
        <v>174</v>
      </c>
      <c r="Y205" s="366"/>
      <c r="Z205" s="366"/>
      <c r="AA205" s="366"/>
      <c r="AB205" s="366">
        <f t="shared" si="192"/>
        <v>174</v>
      </c>
      <c r="AC205" s="390">
        <v>1</v>
      </c>
      <c r="AD205" s="319">
        <v>1</v>
      </c>
      <c r="AE205" s="319">
        <f t="shared" si="193"/>
        <v>0.57999999999999996</v>
      </c>
      <c r="AF205" s="319">
        <f>+AC205*E205</f>
        <v>0.2</v>
      </c>
      <c r="AG205" s="319">
        <f>+AD205*E205</f>
        <v>0.2</v>
      </c>
      <c r="AH205" s="319">
        <f t="shared" ref="AH205" si="196">+AE205*E205</f>
        <v>0.11599999999999999</v>
      </c>
      <c r="AI205" s="319">
        <f>+P205/F205</f>
        <v>0.41130434782608694</v>
      </c>
      <c r="AJ205" s="319">
        <v>0.79739130434782612</v>
      </c>
      <c r="AK205" s="319">
        <f t="shared" si="194"/>
        <v>0.87304347826086959</v>
      </c>
      <c r="AL205" s="319">
        <f>+AI205*E205</f>
        <v>8.2260869565217387E-2</v>
      </c>
      <c r="AM205" s="319">
        <f>+AJ205*E205</f>
        <v>0.15947826086956524</v>
      </c>
      <c r="AN205" s="319">
        <f t="shared" si="195"/>
        <v>0.17460869565217393</v>
      </c>
      <c r="AO205" s="577" t="s">
        <v>1850</v>
      </c>
      <c r="AP205" s="579" t="s">
        <v>1901</v>
      </c>
      <c r="AQ205" s="579" t="s">
        <v>2264</v>
      </c>
      <c r="AR205" s="579" t="s">
        <v>2287</v>
      </c>
      <c r="AS205" s="603" t="s">
        <v>2402</v>
      </c>
      <c r="AT205" s="898"/>
      <c r="AU205" s="603" t="s">
        <v>2493</v>
      </c>
      <c r="AV205" s="603" t="s">
        <v>1893</v>
      </c>
    </row>
    <row r="206" spans="1:48" ht="122.4" customHeight="1" thickBot="1" x14ac:dyDescent="0.45">
      <c r="A206" s="299"/>
      <c r="B206" s="301"/>
      <c r="C206" s="301"/>
      <c r="D206" s="638"/>
      <c r="E206" s="301"/>
      <c r="F206" s="391"/>
      <c r="G206" s="301"/>
      <c r="H206" s="301"/>
      <c r="I206" s="301"/>
      <c r="J206" s="301"/>
      <c r="K206" s="301"/>
      <c r="L206" s="301"/>
      <c r="M206" s="301"/>
      <c r="N206" s="301"/>
      <c r="O206" s="301"/>
      <c r="P206" s="518"/>
      <c r="Q206" s="301"/>
      <c r="R206" s="301"/>
      <c r="S206" s="301"/>
      <c r="T206" s="301"/>
      <c r="U206" s="301"/>
      <c r="V206" s="301"/>
      <c r="W206" s="301"/>
      <c r="X206" s="301"/>
      <c r="Y206" s="301"/>
      <c r="Z206" s="301"/>
      <c r="AA206" s="301"/>
      <c r="AB206" s="301"/>
      <c r="AC206" s="301"/>
      <c r="AD206" s="301"/>
      <c r="AE206" s="301"/>
      <c r="AF206" s="301"/>
      <c r="AG206" s="301"/>
      <c r="AH206" s="301"/>
      <c r="AI206" s="301"/>
      <c r="AJ206" s="301"/>
      <c r="AK206" s="301"/>
      <c r="AL206" s="301"/>
      <c r="AM206" s="301"/>
      <c r="AN206" s="301"/>
      <c r="AO206" s="301"/>
      <c r="AP206" s="301"/>
      <c r="AQ206" s="301"/>
      <c r="AR206" s="301"/>
      <c r="AS206" s="301"/>
    </row>
    <row r="207" spans="1:48" ht="122.4" customHeight="1" thickBot="1" x14ac:dyDescent="0.45">
      <c r="A207" s="299"/>
      <c r="B207" s="299"/>
      <c r="C207" s="299"/>
      <c r="D207" s="639"/>
      <c r="E207" s="299"/>
      <c r="F207" s="392"/>
      <c r="G207" s="299"/>
      <c r="H207" s="299"/>
      <c r="I207" s="299"/>
      <c r="J207" s="299"/>
      <c r="K207" s="299"/>
      <c r="L207" s="299"/>
      <c r="M207" s="299"/>
      <c r="N207" s="299"/>
      <c r="O207" s="299"/>
      <c r="P207" s="519"/>
      <c r="Q207" s="299"/>
      <c r="R207" s="299"/>
      <c r="S207" s="299"/>
      <c r="T207" s="299"/>
      <c r="U207" s="299"/>
      <c r="V207" s="299"/>
      <c r="W207" s="299"/>
      <c r="X207" s="299"/>
      <c r="Y207" s="299"/>
      <c r="Z207" s="299"/>
      <c r="AA207" s="299"/>
      <c r="AB207" s="299"/>
      <c r="AC207" s="299"/>
      <c r="AD207" s="299"/>
      <c r="AE207" s="299"/>
      <c r="AF207" s="299"/>
      <c r="AG207" s="299"/>
      <c r="AH207" s="299"/>
      <c r="AI207" s="299"/>
      <c r="AJ207" s="299"/>
      <c r="AK207" s="299"/>
      <c r="AL207" s="299"/>
      <c r="AM207" s="299"/>
      <c r="AN207" s="299"/>
      <c r="AO207" s="299"/>
      <c r="AP207" s="299"/>
      <c r="AQ207" s="299"/>
      <c r="AR207" s="299"/>
      <c r="AS207" s="299"/>
    </row>
    <row r="208" spans="1:48" ht="122.4" customHeight="1" thickBot="1" x14ac:dyDescent="0.45">
      <c r="A208" s="299"/>
      <c r="B208" s="299"/>
      <c r="C208" s="299"/>
      <c r="D208" s="639"/>
      <c r="E208" s="299"/>
      <c r="F208" s="392"/>
      <c r="G208" s="299"/>
      <c r="H208" s="299"/>
      <c r="I208" s="299"/>
      <c r="J208" s="299"/>
      <c r="K208" s="299"/>
      <c r="L208" s="299"/>
      <c r="M208" s="299"/>
      <c r="N208" s="299"/>
      <c r="O208" s="299"/>
      <c r="P208" s="519"/>
      <c r="Q208" s="299"/>
      <c r="R208" s="299"/>
      <c r="S208" s="299"/>
      <c r="T208" s="299"/>
      <c r="U208" s="299"/>
      <c r="V208" s="299"/>
      <c r="W208" s="299"/>
      <c r="X208" s="299"/>
      <c r="Y208" s="299"/>
      <c r="Z208" s="299"/>
      <c r="AA208" s="299"/>
      <c r="AB208" s="299"/>
      <c r="AC208" s="299"/>
      <c r="AD208" s="299"/>
      <c r="AE208" s="299"/>
      <c r="AF208" s="299"/>
      <c r="AG208" s="299"/>
      <c r="AH208" s="299"/>
      <c r="AI208" s="299"/>
      <c r="AJ208" s="299"/>
      <c r="AK208" s="299"/>
      <c r="AL208" s="299"/>
      <c r="AM208" s="299"/>
      <c r="AN208" s="299"/>
      <c r="AO208" s="299"/>
      <c r="AP208" s="299"/>
      <c r="AQ208" s="299"/>
      <c r="AR208" s="299"/>
      <c r="AS208" s="299"/>
    </row>
    <row r="209" spans="1:45" ht="122.4" customHeight="1" thickBot="1" x14ac:dyDescent="0.45">
      <c r="A209" s="299"/>
      <c r="B209" s="299"/>
      <c r="C209" s="299"/>
      <c r="D209" s="639"/>
      <c r="E209" s="299"/>
      <c r="F209" s="392"/>
      <c r="G209" s="299"/>
      <c r="H209" s="299"/>
      <c r="I209" s="299"/>
      <c r="J209" s="299"/>
      <c r="K209" s="299"/>
      <c r="L209" s="299"/>
      <c r="M209" s="299"/>
      <c r="N209" s="299"/>
      <c r="O209" s="299"/>
      <c r="P209" s="51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row>
    <row r="210" spans="1:45" ht="122.4" customHeight="1" thickBot="1" x14ac:dyDescent="0.45">
      <c r="A210" s="299"/>
      <c r="B210" s="299"/>
      <c r="C210" s="299"/>
      <c r="D210" s="639"/>
      <c r="E210" s="299"/>
      <c r="F210" s="392"/>
      <c r="G210" s="299"/>
      <c r="H210" s="299"/>
      <c r="I210" s="299"/>
      <c r="J210" s="299"/>
      <c r="K210" s="299"/>
      <c r="L210" s="299"/>
      <c r="M210" s="299"/>
      <c r="N210" s="299"/>
      <c r="O210" s="299"/>
      <c r="P210" s="519"/>
      <c r="Q210" s="299"/>
      <c r="R210" s="299"/>
      <c r="S210" s="299"/>
      <c r="T210" s="299"/>
      <c r="U210" s="299"/>
      <c r="V210" s="299"/>
      <c r="W210" s="299"/>
      <c r="X210" s="299"/>
      <c r="Y210" s="299"/>
      <c r="Z210" s="299"/>
      <c r="AA210" s="299"/>
      <c r="AB210" s="299"/>
      <c r="AC210" s="299"/>
      <c r="AD210" s="299"/>
      <c r="AE210" s="299"/>
      <c r="AF210" s="299"/>
      <c r="AG210" s="299"/>
      <c r="AH210" s="299"/>
      <c r="AI210" s="299"/>
      <c r="AJ210" s="299"/>
      <c r="AK210" s="299"/>
      <c r="AL210" s="299"/>
      <c r="AM210" s="299"/>
      <c r="AN210" s="299"/>
      <c r="AO210" s="299"/>
      <c r="AP210" s="299"/>
      <c r="AQ210" s="299"/>
      <c r="AR210" s="299"/>
      <c r="AS210" s="299"/>
    </row>
    <row r="211" spans="1:45" ht="122.4" customHeight="1" thickBot="1" x14ac:dyDescent="0.45">
      <c r="A211" s="299"/>
      <c r="B211" s="299"/>
      <c r="C211" s="299"/>
      <c r="D211" s="639"/>
      <c r="E211" s="299"/>
      <c r="F211" s="392"/>
      <c r="G211" s="299"/>
      <c r="H211" s="299"/>
      <c r="I211" s="299"/>
      <c r="J211" s="299"/>
      <c r="K211" s="299"/>
      <c r="L211" s="299"/>
      <c r="M211" s="299"/>
      <c r="N211" s="299"/>
      <c r="O211" s="299"/>
      <c r="P211" s="519"/>
      <c r="Q211" s="299"/>
      <c r="R211" s="299"/>
      <c r="S211" s="299"/>
      <c r="T211" s="299"/>
      <c r="U211" s="299"/>
      <c r="V211" s="299"/>
      <c r="W211" s="299"/>
      <c r="X211" s="299"/>
      <c r="Y211" s="299"/>
      <c r="Z211" s="299"/>
      <c r="AA211" s="299"/>
      <c r="AB211" s="299"/>
      <c r="AC211" s="299"/>
      <c r="AD211" s="299"/>
      <c r="AE211" s="299"/>
      <c r="AF211" s="299"/>
      <c r="AG211" s="299"/>
      <c r="AH211" s="299"/>
      <c r="AI211" s="299"/>
      <c r="AJ211" s="299"/>
      <c r="AK211" s="299"/>
      <c r="AL211" s="299"/>
      <c r="AM211" s="299"/>
      <c r="AN211" s="299"/>
      <c r="AO211" s="299"/>
      <c r="AP211" s="299"/>
      <c r="AQ211" s="299"/>
      <c r="AR211" s="299"/>
      <c r="AS211" s="299"/>
    </row>
    <row r="212" spans="1:45" ht="122.4" customHeight="1" thickBot="1" x14ac:dyDescent="0.45">
      <c r="A212" s="299"/>
      <c r="B212" s="299"/>
      <c r="C212" s="299"/>
      <c r="D212" s="639"/>
      <c r="E212" s="299"/>
      <c r="F212" s="392"/>
      <c r="G212" s="299"/>
      <c r="H212" s="299"/>
      <c r="I212" s="299"/>
      <c r="J212" s="299"/>
      <c r="K212" s="299"/>
      <c r="L212" s="299"/>
      <c r="M212" s="299"/>
      <c r="N212" s="299"/>
      <c r="O212" s="299"/>
      <c r="P212" s="519"/>
      <c r="Q212" s="299"/>
      <c r="R212" s="299"/>
      <c r="S212" s="299"/>
      <c r="T212" s="299"/>
      <c r="U212" s="299"/>
      <c r="V212" s="299"/>
      <c r="W212" s="299"/>
      <c r="X212" s="299"/>
      <c r="Y212" s="299"/>
      <c r="Z212" s="299"/>
      <c r="AA212" s="299"/>
      <c r="AB212" s="299"/>
      <c r="AC212" s="299"/>
      <c r="AD212" s="299"/>
      <c r="AE212" s="299"/>
      <c r="AF212" s="299"/>
      <c r="AG212" s="299"/>
      <c r="AH212" s="299"/>
      <c r="AI212" s="299"/>
      <c r="AJ212" s="299"/>
      <c r="AK212" s="299"/>
      <c r="AL212" s="299"/>
      <c r="AM212" s="299"/>
      <c r="AN212" s="299"/>
      <c r="AO212" s="299"/>
      <c r="AP212" s="299"/>
      <c r="AQ212" s="299"/>
      <c r="AR212" s="299"/>
      <c r="AS212" s="299"/>
    </row>
    <row r="213" spans="1:45" ht="122.4" customHeight="1" thickBot="1" x14ac:dyDescent="0.45">
      <c r="A213" s="299"/>
      <c r="B213" s="299"/>
      <c r="C213" s="299"/>
      <c r="D213" s="639"/>
      <c r="E213" s="299"/>
      <c r="F213" s="392"/>
      <c r="G213" s="299"/>
      <c r="H213" s="299"/>
      <c r="I213" s="299"/>
      <c r="J213" s="299"/>
      <c r="K213" s="299"/>
      <c r="L213" s="299"/>
      <c r="M213" s="299"/>
      <c r="N213" s="299"/>
      <c r="O213" s="299"/>
      <c r="P213" s="519"/>
      <c r="Q213" s="299"/>
      <c r="R213" s="299"/>
      <c r="S213" s="299"/>
      <c r="T213" s="299"/>
      <c r="U213" s="299"/>
      <c r="V213" s="299"/>
      <c r="W213" s="299"/>
      <c r="X213" s="299"/>
      <c r="Y213" s="299"/>
      <c r="Z213" s="299"/>
      <c r="AA213" s="299"/>
      <c r="AB213" s="299"/>
      <c r="AC213" s="299"/>
      <c r="AD213" s="299"/>
      <c r="AE213" s="299"/>
      <c r="AF213" s="299"/>
      <c r="AG213" s="299"/>
      <c r="AH213" s="299"/>
      <c r="AI213" s="299"/>
      <c r="AJ213" s="299"/>
      <c r="AK213" s="299"/>
      <c r="AL213" s="299"/>
      <c r="AM213" s="299"/>
      <c r="AN213" s="299"/>
      <c r="AO213" s="299"/>
      <c r="AP213" s="299"/>
      <c r="AQ213" s="299"/>
      <c r="AR213" s="299"/>
      <c r="AS213" s="299"/>
    </row>
    <row r="214" spans="1:45" ht="122.4" customHeight="1" thickBot="1" x14ac:dyDescent="0.45">
      <c r="A214" s="299"/>
      <c r="B214" s="299"/>
      <c r="C214" s="299"/>
      <c r="D214" s="639"/>
      <c r="E214" s="299"/>
      <c r="F214" s="392"/>
      <c r="G214" s="299"/>
      <c r="H214" s="299"/>
      <c r="I214" s="299"/>
      <c r="J214" s="299"/>
      <c r="K214" s="299"/>
      <c r="L214" s="299"/>
      <c r="M214" s="299"/>
      <c r="N214" s="299"/>
      <c r="O214" s="299"/>
      <c r="P214" s="519"/>
      <c r="Q214" s="299"/>
      <c r="R214" s="299"/>
      <c r="S214" s="299"/>
      <c r="T214" s="299"/>
      <c r="U214" s="299"/>
      <c r="V214" s="299"/>
      <c r="W214" s="299"/>
      <c r="X214" s="299"/>
      <c r="Y214" s="299"/>
      <c r="Z214" s="299"/>
      <c r="AA214" s="299"/>
      <c r="AB214" s="299"/>
      <c r="AC214" s="299"/>
      <c r="AD214" s="299"/>
      <c r="AE214" s="299"/>
      <c r="AF214" s="299"/>
      <c r="AG214" s="299"/>
      <c r="AH214" s="299"/>
      <c r="AI214" s="299"/>
      <c r="AJ214" s="299"/>
      <c r="AK214" s="299"/>
      <c r="AL214" s="299"/>
      <c r="AM214" s="299"/>
      <c r="AN214" s="299"/>
      <c r="AO214" s="299"/>
      <c r="AP214" s="299"/>
      <c r="AQ214" s="299"/>
      <c r="AR214" s="299"/>
      <c r="AS214" s="299"/>
    </row>
    <row r="215" spans="1:45" ht="122.4" customHeight="1" thickBot="1" x14ac:dyDescent="0.45">
      <c r="A215" s="299"/>
      <c r="B215" s="299"/>
      <c r="C215" s="299"/>
      <c r="D215" s="639"/>
      <c r="E215" s="299"/>
      <c r="F215" s="392"/>
      <c r="G215" s="299"/>
      <c r="H215" s="299"/>
      <c r="I215" s="299"/>
      <c r="J215" s="299"/>
      <c r="K215" s="299"/>
      <c r="L215" s="299"/>
      <c r="M215" s="299"/>
      <c r="N215" s="299"/>
      <c r="O215" s="299"/>
      <c r="P215" s="519"/>
      <c r="Q215" s="299"/>
      <c r="R215" s="299"/>
      <c r="S215" s="299"/>
      <c r="T215" s="299"/>
      <c r="U215" s="299"/>
      <c r="V215" s="299"/>
      <c r="W215" s="299"/>
      <c r="X215" s="299"/>
      <c r="Y215" s="299"/>
      <c r="Z215" s="299"/>
      <c r="AA215" s="299"/>
      <c r="AB215" s="299"/>
      <c r="AC215" s="299"/>
      <c r="AD215" s="299"/>
      <c r="AE215" s="299"/>
      <c r="AF215" s="299"/>
      <c r="AG215" s="299"/>
      <c r="AH215" s="299"/>
      <c r="AI215" s="299"/>
      <c r="AJ215" s="299"/>
      <c r="AK215" s="299"/>
      <c r="AL215" s="299"/>
      <c r="AM215" s="299"/>
      <c r="AN215" s="299"/>
      <c r="AO215" s="299"/>
      <c r="AP215" s="299"/>
      <c r="AQ215" s="299"/>
      <c r="AR215" s="299"/>
      <c r="AS215" s="299"/>
    </row>
    <row r="216" spans="1:45" ht="122.4" customHeight="1" thickBot="1" x14ac:dyDescent="0.45">
      <c r="A216" s="299"/>
      <c r="B216" s="299"/>
      <c r="C216" s="299"/>
      <c r="D216" s="639"/>
      <c r="E216" s="299"/>
      <c r="F216" s="392"/>
      <c r="G216" s="299"/>
      <c r="H216" s="299"/>
      <c r="I216" s="299"/>
      <c r="J216" s="299"/>
      <c r="K216" s="299"/>
      <c r="L216" s="299"/>
      <c r="M216" s="299"/>
      <c r="N216" s="299"/>
      <c r="O216" s="299"/>
      <c r="P216" s="519"/>
      <c r="Q216" s="299"/>
      <c r="R216" s="299"/>
      <c r="S216" s="299"/>
      <c r="T216" s="299"/>
      <c r="U216" s="299"/>
      <c r="V216" s="299"/>
      <c r="W216" s="299"/>
      <c r="X216" s="299"/>
      <c r="Y216" s="299"/>
      <c r="Z216" s="299"/>
      <c r="AA216" s="299"/>
      <c r="AB216" s="299"/>
      <c r="AC216" s="299"/>
      <c r="AD216" s="299"/>
      <c r="AE216" s="299"/>
      <c r="AF216" s="299"/>
      <c r="AG216" s="299"/>
      <c r="AH216" s="299"/>
      <c r="AI216" s="299"/>
      <c r="AJ216" s="299"/>
      <c r="AK216" s="299"/>
      <c r="AL216" s="299"/>
      <c r="AM216" s="299"/>
      <c r="AN216" s="299"/>
      <c r="AO216" s="299"/>
      <c r="AP216" s="299"/>
      <c r="AQ216" s="299"/>
      <c r="AR216" s="299"/>
      <c r="AS216" s="299"/>
    </row>
    <row r="217" spans="1:45" ht="122.4" customHeight="1" thickBot="1" x14ac:dyDescent="0.45">
      <c r="A217" s="299"/>
      <c r="B217" s="299"/>
      <c r="C217" s="299"/>
      <c r="D217" s="639"/>
      <c r="E217" s="299"/>
      <c r="F217" s="392"/>
      <c r="G217" s="299"/>
      <c r="H217" s="299"/>
      <c r="I217" s="299"/>
      <c r="J217" s="299"/>
      <c r="K217" s="299"/>
      <c r="L217" s="299"/>
      <c r="M217" s="299"/>
      <c r="N217" s="299"/>
      <c r="O217" s="299"/>
      <c r="P217" s="519"/>
      <c r="Q217" s="299"/>
      <c r="R217" s="299"/>
      <c r="S217" s="299"/>
      <c r="T217" s="299"/>
      <c r="U217" s="299"/>
      <c r="V217" s="299"/>
      <c r="W217" s="299"/>
      <c r="X217" s="299"/>
      <c r="Y217" s="299"/>
      <c r="Z217" s="299"/>
      <c r="AA217" s="299"/>
      <c r="AB217" s="299"/>
      <c r="AC217" s="299"/>
      <c r="AD217" s="299"/>
      <c r="AE217" s="299"/>
      <c r="AF217" s="299"/>
      <c r="AG217" s="299"/>
      <c r="AH217" s="299"/>
      <c r="AI217" s="299"/>
      <c r="AJ217" s="299"/>
      <c r="AK217" s="299"/>
      <c r="AL217" s="299"/>
      <c r="AM217" s="299"/>
      <c r="AN217" s="299"/>
      <c r="AO217" s="299"/>
      <c r="AP217" s="299"/>
      <c r="AQ217" s="299"/>
      <c r="AR217" s="299"/>
      <c r="AS217" s="299"/>
    </row>
    <row r="218" spans="1:45" ht="122.4" customHeight="1" thickBot="1" x14ac:dyDescent="0.45">
      <c r="A218" s="299"/>
      <c r="B218" s="299"/>
      <c r="C218" s="299"/>
      <c r="D218" s="639"/>
      <c r="E218" s="299"/>
      <c r="F218" s="392"/>
      <c r="G218" s="299"/>
      <c r="H218" s="299"/>
      <c r="I218" s="299"/>
      <c r="J218" s="299"/>
      <c r="K218" s="299"/>
      <c r="L218" s="299"/>
      <c r="M218" s="299"/>
      <c r="N218" s="299"/>
      <c r="O218" s="299"/>
      <c r="P218" s="519"/>
      <c r="Q218" s="299"/>
      <c r="R218" s="299"/>
      <c r="S218" s="299"/>
      <c r="T218" s="299"/>
      <c r="U218" s="299"/>
      <c r="V218" s="299"/>
      <c r="W218" s="299"/>
      <c r="X218" s="299"/>
      <c r="Y218" s="299"/>
      <c r="Z218" s="299"/>
      <c r="AA218" s="299"/>
      <c r="AB218" s="299"/>
      <c r="AC218" s="299"/>
      <c r="AD218" s="299"/>
      <c r="AE218" s="299"/>
      <c r="AF218" s="299"/>
      <c r="AG218" s="299"/>
      <c r="AH218" s="299"/>
      <c r="AI218" s="299"/>
      <c r="AJ218" s="299"/>
      <c r="AK218" s="299"/>
      <c r="AL218" s="299"/>
      <c r="AM218" s="299"/>
      <c r="AN218" s="299"/>
      <c r="AO218" s="299"/>
      <c r="AP218" s="299"/>
      <c r="AQ218" s="299"/>
      <c r="AR218" s="299"/>
      <c r="AS218" s="299"/>
    </row>
    <row r="219" spans="1:45" ht="122.4" customHeight="1" thickBot="1" x14ac:dyDescent="0.45">
      <c r="A219" s="299"/>
      <c r="B219" s="299"/>
      <c r="C219" s="299"/>
      <c r="D219" s="639"/>
      <c r="E219" s="299"/>
      <c r="F219" s="392"/>
      <c r="G219" s="299"/>
      <c r="H219" s="299"/>
      <c r="I219" s="299"/>
      <c r="J219" s="299"/>
      <c r="K219" s="299"/>
      <c r="L219" s="299"/>
      <c r="M219" s="299"/>
      <c r="N219" s="299"/>
      <c r="O219" s="299"/>
      <c r="P219" s="519"/>
      <c r="Q219" s="299"/>
      <c r="R219" s="299"/>
      <c r="S219" s="299"/>
      <c r="T219" s="299"/>
      <c r="U219" s="299"/>
      <c r="V219" s="299"/>
      <c r="W219" s="299"/>
      <c r="X219" s="299"/>
      <c r="Y219" s="299"/>
      <c r="Z219" s="299"/>
      <c r="AA219" s="299"/>
      <c r="AB219" s="299"/>
      <c r="AC219" s="299"/>
      <c r="AD219" s="299"/>
      <c r="AE219" s="299"/>
      <c r="AF219" s="299"/>
      <c r="AG219" s="299"/>
      <c r="AH219" s="299"/>
      <c r="AI219" s="299"/>
      <c r="AJ219" s="299"/>
      <c r="AK219" s="299"/>
      <c r="AL219" s="299"/>
      <c r="AM219" s="299"/>
      <c r="AN219" s="299"/>
      <c r="AO219" s="299"/>
      <c r="AP219" s="299"/>
      <c r="AQ219" s="299"/>
      <c r="AR219" s="299"/>
      <c r="AS219" s="299"/>
    </row>
    <row r="220" spans="1:45" ht="122.4" customHeight="1" thickBot="1" x14ac:dyDescent="0.45">
      <c r="A220" s="299"/>
      <c r="B220" s="299"/>
      <c r="C220" s="299"/>
      <c r="D220" s="639"/>
      <c r="E220" s="299"/>
      <c r="F220" s="392"/>
      <c r="G220" s="299"/>
      <c r="H220" s="299"/>
      <c r="I220" s="299"/>
      <c r="J220" s="299"/>
      <c r="K220" s="299"/>
      <c r="L220" s="299"/>
      <c r="M220" s="299"/>
      <c r="N220" s="299"/>
      <c r="O220" s="299"/>
      <c r="P220" s="519"/>
      <c r="Q220" s="299"/>
      <c r="R220" s="299"/>
      <c r="S220" s="299"/>
      <c r="T220" s="299"/>
      <c r="U220" s="299"/>
      <c r="V220" s="299"/>
      <c r="W220" s="299"/>
      <c r="X220" s="299"/>
      <c r="Y220" s="299"/>
      <c r="Z220" s="299"/>
      <c r="AA220" s="299"/>
      <c r="AB220" s="299"/>
      <c r="AC220" s="299"/>
      <c r="AD220" s="299"/>
      <c r="AE220" s="299"/>
      <c r="AF220" s="299"/>
      <c r="AG220" s="299"/>
      <c r="AH220" s="299"/>
      <c r="AI220" s="299"/>
      <c r="AJ220" s="299"/>
      <c r="AK220" s="299"/>
      <c r="AL220" s="299"/>
      <c r="AM220" s="299"/>
      <c r="AN220" s="299"/>
      <c r="AO220" s="299"/>
      <c r="AP220" s="299"/>
      <c r="AQ220" s="299"/>
      <c r="AR220" s="299"/>
      <c r="AS220" s="299"/>
    </row>
    <row r="221" spans="1:45" ht="122.4" customHeight="1" thickBot="1" x14ac:dyDescent="0.45">
      <c r="A221" s="299"/>
      <c r="B221" s="299"/>
      <c r="C221" s="299"/>
      <c r="D221" s="639"/>
      <c r="E221" s="299"/>
      <c r="F221" s="392"/>
      <c r="G221" s="299"/>
      <c r="H221" s="299"/>
      <c r="I221" s="299"/>
      <c r="J221" s="299"/>
      <c r="K221" s="299"/>
      <c r="L221" s="299"/>
      <c r="M221" s="299"/>
      <c r="N221" s="299"/>
      <c r="O221" s="299"/>
      <c r="P221" s="519"/>
      <c r="Q221" s="299"/>
      <c r="R221" s="299"/>
      <c r="S221" s="299"/>
      <c r="T221" s="299"/>
      <c r="U221" s="299"/>
      <c r="V221" s="299"/>
      <c r="W221" s="299"/>
      <c r="X221" s="299"/>
      <c r="Y221" s="299"/>
      <c r="Z221" s="299"/>
      <c r="AA221" s="299"/>
      <c r="AB221" s="299"/>
      <c r="AC221" s="299"/>
      <c r="AD221" s="299"/>
      <c r="AE221" s="299"/>
      <c r="AF221" s="299"/>
      <c r="AG221" s="299"/>
      <c r="AH221" s="299"/>
      <c r="AI221" s="299"/>
      <c r="AJ221" s="299"/>
      <c r="AK221" s="299"/>
      <c r="AL221" s="299"/>
      <c r="AM221" s="299"/>
      <c r="AN221" s="299"/>
      <c r="AO221" s="299"/>
      <c r="AP221" s="299"/>
      <c r="AQ221" s="299"/>
      <c r="AR221" s="299"/>
      <c r="AS221" s="299"/>
    </row>
    <row r="222" spans="1:45" ht="122.4" customHeight="1" thickBot="1" x14ac:dyDescent="0.45">
      <c r="A222" s="299"/>
      <c r="B222" s="299"/>
      <c r="C222" s="299"/>
      <c r="D222" s="639"/>
      <c r="E222" s="299"/>
      <c r="F222" s="392"/>
      <c r="G222" s="299"/>
      <c r="H222" s="299"/>
      <c r="I222" s="299"/>
      <c r="J222" s="299"/>
      <c r="K222" s="299"/>
      <c r="L222" s="299"/>
      <c r="M222" s="299"/>
      <c r="N222" s="299"/>
      <c r="O222" s="299"/>
      <c r="P222" s="51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row>
    <row r="223" spans="1:45" ht="122.4" customHeight="1" thickBot="1" x14ac:dyDescent="0.45">
      <c r="A223" s="299"/>
      <c r="B223" s="299"/>
      <c r="C223" s="299"/>
      <c r="D223" s="639"/>
      <c r="E223" s="299"/>
      <c r="F223" s="392"/>
      <c r="G223" s="299"/>
      <c r="H223" s="299"/>
      <c r="I223" s="299"/>
      <c r="J223" s="299"/>
      <c r="K223" s="299"/>
      <c r="L223" s="299"/>
      <c r="M223" s="299"/>
      <c r="N223" s="299"/>
      <c r="O223" s="299"/>
      <c r="P223" s="51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c r="AL223" s="299"/>
      <c r="AM223" s="299"/>
      <c r="AN223" s="299"/>
      <c r="AO223" s="299"/>
      <c r="AP223" s="299"/>
      <c r="AQ223" s="299"/>
      <c r="AR223" s="299"/>
      <c r="AS223" s="299"/>
    </row>
    <row r="224" spans="1:45" ht="122.4" customHeight="1" thickBot="1" x14ac:dyDescent="0.45">
      <c r="A224" s="299"/>
      <c r="B224" s="299"/>
      <c r="C224" s="299"/>
      <c r="D224" s="639"/>
      <c r="E224" s="299"/>
      <c r="F224" s="392"/>
      <c r="G224" s="299"/>
      <c r="H224" s="299"/>
      <c r="I224" s="299"/>
      <c r="J224" s="299"/>
      <c r="K224" s="299"/>
      <c r="L224" s="299"/>
      <c r="M224" s="299"/>
      <c r="N224" s="299"/>
      <c r="O224" s="299"/>
      <c r="P224" s="51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row>
    <row r="225" spans="1:45" ht="122.4" customHeight="1" thickBot="1" x14ac:dyDescent="0.45">
      <c r="A225" s="299"/>
      <c r="B225" s="299"/>
      <c r="C225" s="299"/>
      <c r="D225" s="639"/>
      <c r="E225" s="299"/>
      <c r="F225" s="392"/>
      <c r="G225" s="299"/>
      <c r="H225" s="299"/>
      <c r="I225" s="299"/>
      <c r="J225" s="299"/>
      <c r="K225" s="299"/>
      <c r="L225" s="299"/>
      <c r="M225" s="299"/>
      <c r="N225" s="299"/>
      <c r="O225" s="299"/>
      <c r="P225" s="51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row>
    <row r="226" spans="1:45" ht="122.4" customHeight="1" thickBot="1" x14ac:dyDescent="0.45">
      <c r="A226" s="299"/>
      <c r="B226" s="299"/>
      <c r="C226" s="299"/>
      <c r="D226" s="639"/>
      <c r="E226" s="299"/>
      <c r="F226" s="392"/>
      <c r="G226" s="299"/>
      <c r="H226" s="299"/>
      <c r="I226" s="299"/>
      <c r="J226" s="299"/>
      <c r="K226" s="299"/>
      <c r="L226" s="299"/>
      <c r="M226" s="299"/>
      <c r="N226" s="299"/>
      <c r="O226" s="299"/>
      <c r="P226" s="51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c r="AL226" s="299"/>
      <c r="AM226" s="299"/>
      <c r="AN226" s="299"/>
      <c r="AO226" s="299"/>
      <c r="AP226" s="299"/>
      <c r="AQ226" s="299"/>
      <c r="AR226" s="299"/>
      <c r="AS226" s="299"/>
    </row>
    <row r="227" spans="1:45" ht="122.4" customHeight="1" thickBot="1" x14ac:dyDescent="0.45">
      <c r="A227" s="299"/>
      <c r="B227" s="299"/>
      <c r="C227" s="299"/>
      <c r="D227" s="639"/>
      <c r="E227" s="299"/>
      <c r="F227" s="392"/>
      <c r="G227" s="299"/>
      <c r="H227" s="299"/>
      <c r="I227" s="299"/>
      <c r="J227" s="299"/>
      <c r="K227" s="299"/>
      <c r="L227" s="299"/>
      <c r="M227" s="299"/>
      <c r="N227" s="299"/>
      <c r="O227" s="299"/>
      <c r="P227" s="51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row>
    <row r="228" spans="1:45" ht="122.4" customHeight="1" thickBot="1" x14ac:dyDescent="0.45">
      <c r="A228" s="299"/>
      <c r="B228" s="299"/>
      <c r="C228" s="299"/>
      <c r="D228" s="639"/>
      <c r="E228" s="299"/>
      <c r="F228" s="392"/>
      <c r="G228" s="299"/>
      <c r="H228" s="299"/>
      <c r="I228" s="299"/>
      <c r="J228" s="299"/>
      <c r="K228" s="299"/>
      <c r="L228" s="299"/>
      <c r="M228" s="299"/>
      <c r="N228" s="299"/>
      <c r="O228" s="299"/>
      <c r="P228" s="519"/>
      <c r="Q228" s="299"/>
      <c r="R228" s="299"/>
      <c r="S228" s="299"/>
      <c r="T228" s="299"/>
      <c r="U228" s="299"/>
      <c r="V228" s="299"/>
      <c r="W228" s="299"/>
      <c r="X228" s="299"/>
      <c r="Y228" s="299"/>
      <c r="Z228" s="299"/>
      <c r="AA228" s="299"/>
      <c r="AB228" s="299"/>
      <c r="AC228" s="299"/>
      <c r="AD228" s="299"/>
      <c r="AE228" s="299"/>
      <c r="AF228" s="299"/>
      <c r="AG228" s="299"/>
      <c r="AH228" s="299"/>
      <c r="AI228" s="299"/>
      <c r="AJ228" s="299"/>
      <c r="AK228" s="299"/>
      <c r="AL228" s="299"/>
      <c r="AM228" s="299"/>
      <c r="AN228" s="299"/>
      <c r="AO228" s="299"/>
      <c r="AP228" s="299"/>
      <c r="AQ228" s="299"/>
      <c r="AR228" s="299"/>
      <c r="AS228" s="299"/>
    </row>
    <row r="229" spans="1:45" ht="122.4" customHeight="1" thickBot="1" x14ac:dyDescent="0.45">
      <c r="A229" s="299"/>
      <c r="B229" s="299"/>
      <c r="C229" s="299"/>
      <c r="D229" s="639"/>
      <c r="E229" s="299"/>
      <c r="F229" s="392"/>
      <c r="G229" s="299"/>
      <c r="H229" s="299"/>
      <c r="I229" s="299"/>
      <c r="J229" s="299"/>
      <c r="K229" s="299"/>
      <c r="L229" s="299"/>
      <c r="M229" s="299"/>
      <c r="N229" s="299"/>
      <c r="O229" s="299"/>
      <c r="P229" s="51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row>
    <row r="230" spans="1:45" ht="122.4" customHeight="1" thickBot="1" x14ac:dyDescent="0.45">
      <c r="A230" s="299"/>
      <c r="B230" s="299"/>
      <c r="C230" s="299"/>
      <c r="D230" s="639"/>
      <c r="E230" s="299"/>
      <c r="F230" s="392"/>
      <c r="G230" s="299"/>
      <c r="H230" s="299"/>
      <c r="I230" s="299"/>
      <c r="J230" s="299"/>
      <c r="K230" s="299"/>
      <c r="L230" s="299"/>
      <c r="M230" s="299"/>
      <c r="N230" s="299"/>
      <c r="O230" s="299"/>
      <c r="P230" s="51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row>
    <row r="231" spans="1:45" ht="122.4" customHeight="1" thickBot="1" x14ac:dyDescent="0.45">
      <c r="A231" s="299"/>
      <c r="B231" s="299"/>
      <c r="C231" s="299"/>
      <c r="D231" s="639"/>
      <c r="E231" s="299"/>
      <c r="F231" s="392"/>
      <c r="G231" s="299"/>
      <c r="H231" s="299"/>
      <c r="I231" s="299"/>
      <c r="J231" s="299"/>
      <c r="K231" s="299"/>
      <c r="L231" s="299"/>
      <c r="M231" s="299"/>
      <c r="N231" s="299"/>
      <c r="O231" s="299"/>
      <c r="P231" s="51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299"/>
    </row>
    <row r="232" spans="1:45" ht="122.4" customHeight="1" thickBot="1" x14ac:dyDescent="0.45">
      <c r="A232" s="299"/>
      <c r="B232" s="299"/>
      <c r="C232" s="299"/>
      <c r="D232" s="639"/>
      <c r="E232" s="299"/>
      <c r="F232" s="392"/>
      <c r="G232" s="299"/>
      <c r="H232" s="299"/>
      <c r="I232" s="299"/>
      <c r="J232" s="299"/>
      <c r="K232" s="299"/>
      <c r="L232" s="299"/>
      <c r="M232" s="299"/>
      <c r="N232" s="299"/>
      <c r="O232" s="299"/>
      <c r="P232" s="51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row>
    <row r="233" spans="1:45" ht="122.4" customHeight="1" thickBot="1" x14ac:dyDescent="0.45">
      <c r="A233" s="299"/>
      <c r="B233" s="299"/>
      <c r="C233" s="299"/>
      <c r="D233" s="639"/>
      <c r="E233" s="299"/>
      <c r="F233" s="392"/>
      <c r="G233" s="299"/>
      <c r="H233" s="299"/>
      <c r="I233" s="299"/>
      <c r="J233" s="299"/>
      <c r="K233" s="299"/>
      <c r="L233" s="299"/>
      <c r="M233" s="299"/>
      <c r="N233" s="299"/>
      <c r="O233" s="299"/>
      <c r="P233" s="51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row>
    <row r="234" spans="1:45" ht="122.4" customHeight="1" thickBot="1" x14ac:dyDescent="0.45">
      <c r="A234" s="299"/>
      <c r="B234" s="299"/>
      <c r="C234" s="299"/>
      <c r="D234" s="639"/>
      <c r="E234" s="299"/>
      <c r="F234" s="392"/>
      <c r="G234" s="299"/>
      <c r="H234" s="299"/>
      <c r="I234" s="299"/>
      <c r="J234" s="299"/>
      <c r="K234" s="299"/>
      <c r="L234" s="299"/>
      <c r="M234" s="299"/>
      <c r="N234" s="299"/>
      <c r="O234" s="299"/>
      <c r="P234" s="519"/>
      <c r="Q234" s="299"/>
      <c r="R234" s="299"/>
      <c r="S234" s="299"/>
      <c r="T234" s="299"/>
      <c r="U234" s="299"/>
      <c r="V234" s="299"/>
      <c r="W234" s="299"/>
      <c r="X234" s="299"/>
      <c r="Y234" s="299"/>
      <c r="Z234" s="299"/>
      <c r="AA234" s="299"/>
      <c r="AB234" s="299"/>
      <c r="AC234" s="299"/>
      <c r="AD234" s="299"/>
      <c r="AE234" s="299"/>
      <c r="AF234" s="299"/>
      <c r="AG234" s="299"/>
      <c r="AH234" s="299"/>
      <c r="AI234" s="299"/>
      <c r="AJ234" s="299"/>
      <c r="AK234" s="299"/>
      <c r="AL234" s="299"/>
      <c r="AM234" s="299"/>
      <c r="AN234" s="299"/>
      <c r="AO234" s="299"/>
      <c r="AP234" s="299"/>
      <c r="AQ234" s="299"/>
      <c r="AR234" s="299"/>
      <c r="AS234" s="299"/>
    </row>
    <row r="235" spans="1:45" ht="122.4" customHeight="1" thickBot="1" x14ac:dyDescent="0.45">
      <c r="A235" s="299"/>
      <c r="B235" s="299"/>
      <c r="C235" s="299"/>
      <c r="D235" s="639"/>
      <c r="E235" s="299"/>
      <c r="F235" s="392"/>
      <c r="G235" s="299"/>
      <c r="H235" s="299"/>
      <c r="I235" s="299"/>
      <c r="J235" s="299"/>
      <c r="K235" s="299"/>
      <c r="L235" s="299"/>
      <c r="M235" s="299"/>
      <c r="N235" s="299"/>
      <c r="O235" s="299"/>
      <c r="P235" s="51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299"/>
      <c r="AP235" s="299"/>
      <c r="AQ235" s="299"/>
      <c r="AR235" s="299"/>
      <c r="AS235" s="299"/>
    </row>
    <row r="236" spans="1:45" ht="122.4" customHeight="1" thickBot="1" x14ac:dyDescent="0.45">
      <c r="A236" s="299"/>
      <c r="B236" s="299"/>
      <c r="C236" s="299"/>
      <c r="D236" s="639"/>
      <c r="E236" s="299"/>
      <c r="F236" s="392"/>
      <c r="G236" s="299"/>
      <c r="H236" s="299"/>
      <c r="I236" s="299"/>
      <c r="J236" s="299"/>
      <c r="K236" s="299"/>
      <c r="L236" s="299"/>
      <c r="M236" s="299"/>
      <c r="N236" s="299"/>
      <c r="O236" s="299"/>
      <c r="P236" s="51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row>
    <row r="237" spans="1:45" ht="122.4" customHeight="1" thickBot="1" x14ac:dyDescent="0.45">
      <c r="A237" s="299"/>
      <c r="B237" s="299"/>
      <c r="C237" s="299"/>
      <c r="D237" s="639"/>
      <c r="E237" s="299"/>
      <c r="F237" s="392"/>
      <c r="G237" s="299"/>
      <c r="H237" s="299"/>
      <c r="I237" s="299"/>
      <c r="J237" s="299"/>
      <c r="K237" s="299"/>
      <c r="L237" s="299"/>
      <c r="M237" s="299"/>
      <c r="N237" s="299"/>
      <c r="O237" s="299"/>
      <c r="P237" s="519"/>
      <c r="Q237" s="299"/>
      <c r="R237" s="299"/>
      <c r="S237" s="299"/>
      <c r="T237" s="299"/>
      <c r="U237" s="299"/>
      <c r="V237" s="299"/>
      <c r="W237" s="299"/>
      <c r="X237" s="299"/>
      <c r="Y237" s="299"/>
      <c r="Z237" s="299"/>
      <c r="AA237" s="299"/>
      <c r="AB237" s="299"/>
      <c r="AC237" s="299"/>
      <c r="AD237" s="299"/>
      <c r="AE237" s="299"/>
      <c r="AF237" s="299"/>
      <c r="AG237" s="299"/>
      <c r="AH237" s="299"/>
      <c r="AI237" s="299"/>
      <c r="AJ237" s="299"/>
      <c r="AK237" s="299"/>
      <c r="AL237" s="299"/>
      <c r="AM237" s="299"/>
      <c r="AN237" s="299"/>
      <c r="AO237" s="299"/>
      <c r="AP237" s="299"/>
      <c r="AQ237" s="299"/>
      <c r="AR237" s="299"/>
      <c r="AS237" s="299"/>
    </row>
    <row r="238" spans="1:45" ht="122.4" customHeight="1" thickBot="1" x14ac:dyDescent="0.45">
      <c r="A238" s="299"/>
      <c r="B238" s="299"/>
      <c r="C238" s="299"/>
      <c r="D238" s="639"/>
      <c r="E238" s="299"/>
      <c r="F238" s="392"/>
      <c r="G238" s="299"/>
      <c r="H238" s="299"/>
      <c r="I238" s="299"/>
      <c r="J238" s="299"/>
      <c r="K238" s="299"/>
      <c r="L238" s="299"/>
      <c r="M238" s="299"/>
      <c r="N238" s="299"/>
      <c r="O238" s="299"/>
      <c r="P238" s="519"/>
      <c r="Q238" s="299"/>
      <c r="R238" s="299"/>
      <c r="S238" s="299"/>
      <c r="T238" s="299"/>
      <c r="U238" s="299"/>
      <c r="V238" s="299"/>
      <c r="W238" s="299"/>
      <c r="X238" s="299"/>
      <c r="Y238" s="299"/>
      <c r="Z238" s="299"/>
      <c r="AA238" s="299"/>
      <c r="AB238" s="299"/>
      <c r="AC238" s="299"/>
      <c r="AD238" s="299"/>
      <c r="AE238" s="299"/>
      <c r="AF238" s="299"/>
      <c r="AG238" s="299"/>
      <c r="AH238" s="299"/>
      <c r="AI238" s="299"/>
      <c r="AJ238" s="299"/>
      <c r="AK238" s="299"/>
      <c r="AL238" s="299"/>
      <c r="AM238" s="299"/>
      <c r="AN238" s="299"/>
      <c r="AO238" s="299"/>
      <c r="AP238" s="299"/>
      <c r="AQ238" s="299"/>
      <c r="AR238" s="299"/>
      <c r="AS238" s="299"/>
    </row>
    <row r="239" spans="1:45" ht="122.4" customHeight="1" thickBot="1" x14ac:dyDescent="0.45">
      <c r="A239" s="299"/>
      <c r="B239" s="299"/>
      <c r="C239" s="299"/>
      <c r="D239" s="639"/>
      <c r="E239" s="299"/>
      <c r="F239" s="392"/>
      <c r="G239" s="299"/>
      <c r="H239" s="299"/>
      <c r="I239" s="299"/>
      <c r="J239" s="299"/>
      <c r="K239" s="299"/>
      <c r="L239" s="299"/>
      <c r="M239" s="299"/>
      <c r="N239" s="299"/>
      <c r="O239" s="299"/>
      <c r="P239" s="519"/>
      <c r="Q239" s="299"/>
      <c r="R239" s="299"/>
      <c r="S239" s="299"/>
      <c r="T239" s="299"/>
      <c r="U239" s="299"/>
      <c r="V239" s="299"/>
      <c r="W239" s="299"/>
      <c r="X239" s="299"/>
      <c r="Y239" s="299"/>
      <c r="Z239" s="299"/>
      <c r="AA239" s="299"/>
      <c r="AB239" s="299"/>
      <c r="AC239" s="299"/>
      <c r="AD239" s="299"/>
      <c r="AE239" s="299"/>
      <c r="AF239" s="299"/>
      <c r="AG239" s="299"/>
      <c r="AH239" s="299"/>
      <c r="AI239" s="299"/>
      <c r="AJ239" s="299"/>
      <c r="AK239" s="299"/>
      <c r="AL239" s="299"/>
      <c r="AM239" s="299"/>
      <c r="AN239" s="299"/>
      <c r="AO239" s="299"/>
      <c r="AP239" s="299"/>
      <c r="AQ239" s="299"/>
      <c r="AR239" s="299"/>
      <c r="AS239" s="299"/>
    </row>
    <row r="240" spans="1:45" ht="122.4" customHeight="1" thickBot="1" x14ac:dyDescent="0.45">
      <c r="A240" s="299"/>
      <c r="B240" s="299"/>
      <c r="C240" s="299"/>
      <c r="D240" s="639"/>
      <c r="E240" s="299"/>
      <c r="F240" s="392"/>
      <c r="G240" s="299"/>
      <c r="H240" s="299"/>
      <c r="I240" s="299"/>
      <c r="J240" s="299"/>
      <c r="K240" s="299"/>
      <c r="L240" s="299"/>
      <c r="M240" s="299"/>
      <c r="N240" s="299"/>
      <c r="O240" s="299"/>
      <c r="P240" s="519"/>
      <c r="Q240" s="299"/>
      <c r="R240" s="299"/>
      <c r="S240" s="299"/>
      <c r="T240" s="299"/>
      <c r="U240" s="299"/>
      <c r="V240" s="299"/>
      <c r="W240" s="299"/>
      <c r="X240" s="299"/>
      <c r="Y240" s="299"/>
      <c r="Z240" s="299"/>
      <c r="AA240" s="299"/>
      <c r="AB240" s="299"/>
      <c r="AC240" s="299"/>
      <c r="AD240" s="299"/>
      <c r="AE240" s="299"/>
      <c r="AF240" s="299"/>
      <c r="AG240" s="299"/>
      <c r="AH240" s="299"/>
      <c r="AI240" s="299"/>
      <c r="AJ240" s="299"/>
      <c r="AK240" s="299"/>
      <c r="AL240" s="299"/>
      <c r="AM240" s="299"/>
      <c r="AN240" s="299"/>
      <c r="AO240" s="299"/>
      <c r="AP240" s="299"/>
      <c r="AQ240" s="299"/>
      <c r="AR240" s="299"/>
      <c r="AS240" s="299"/>
    </row>
    <row r="241" spans="1:45" ht="122.4" customHeight="1" thickBot="1" x14ac:dyDescent="0.45">
      <c r="A241" s="299"/>
      <c r="B241" s="299"/>
      <c r="C241" s="299"/>
      <c r="D241" s="639"/>
      <c r="E241" s="299"/>
      <c r="F241" s="392"/>
      <c r="G241" s="299"/>
      <c r="H241" s="299"/>
      <c r="I241" s="299"/>
      <c r="J241" s="299"/>
      <c r="K241" s="299"/>
      <c r="L241" s="299"/>
      <c r="M241" s="299"/>
      <c r="N241" s="299"/>
      <c r="O241" s="299"/>
      <c r="P241" s="519"/>
      <c r="Q241" s="299"/>
      <c r="R241" s="299"/>
      <c r="S241" s="299"/>
      <c r="T241" s="299"/>
      <c r="U241" s="299"/>
      <c r="V241" s="299"/>
      <c r="W241" s="299"/>
      <c r="X241" s="299"/>
      <c r="Y241" s="299"/>
      <c r="Z241" s="299"/>
      <c r="AA241" s="299"/>
      <c r="AB241" s="299"/>
      <c r="AC241" s="299"/>
      <c r="AD241" s="299"/>
      <c r="AE241" s="299"/>
      <c r="AF241" s="299"/>
      <c r="AG241" s="299"/>
      <c r="AH241" s="299"/>
      <c r="AI241" s="299"/>
      <c r="AJ241" s="299"/>
      <c r="AK241" s="299"/>
      <c r="AL241" s="299"/>
      <c r="AM241" s="299"/>
      <c r="AN241" s="299"/>
      <c r="AO241" s="299"/>
      <c r="AP241" s="299"/>
      <c r="AQ241" s="299"/>
      <c r="AR241" s="299"/>
      <c r="AS241" s="299"/>
    </row>
    <row r="242" spans="1:45" ht="122.4" customHeight="1" thickBot="1" x14ac:dyDescent="0.45">
      <c r="A242" s="299"/>
      <c r="B242" s="299"/>
      <c r="C242" s="299"/>
      <c r="D242" s="639"/>
      <c r="E242" s="299"/>
      <c r="F242" s="392"/>
      <c r="G242" s="299"/>
      <c r="H242" s="299"/>
      <c r="I242" s="299"/>
      <c r="J242" s="299"/>
      <c r="K242" s="299"/>
      <c r="L242" s="299"/>
      <c r="M242" s="299"/>
      <c r="N242" s="299"/>
      <c r="O242" s="299"/>
      <c r="P242" s="51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row>
    <row r="243" spans="1:45" ht="122.4" customHeight="1" thickBot="1" x14ac:dyDescent="0.45">
      <c r="A243" s="299"/>
      <c r="B243" s="299"/>
      <c r="C243" s="299"/>
      <c r="D243" s="639"/>
      <c r="E243" s="299"/>
      <c r="F243" s="392"/>
      <c r="G243" s="299"/>
      <c r="H243" s="299"/>
      <c r="I243" s="299"/>
      <c r="J243" s="299"/>
      <c r="K243" s="299"/>
      <c r="L243" s="299"/>
      <c r="M243" s="299"/>
      <c r="N243" s="299"/>
      <c r="O243" s="299"/>
      <c r="P243" s="51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299"/>
      <c r="AP243" s="299"/>
      <c r="AQ243" s="299"/>
      <c r="AR243" s="299"/>
      <c r="AS243" s="299"/>
    </row>
    <row r="244" spans="1:45" ht="122.4" customHeight="1" thickBot="1" x14ac:dyDescent="0.45">
      <c r="A244" s="299"/>
      <c r="B244" s="299"/>
      <c r="C244" s="299"/>
      <c r="D244" s="639"/>
      <c r="E244" s="299"/>
      <c r="F244" s="392"/>
      <c r="G244" s="299"/>
      <c r="H244" s="299"/>
      <c r="I244" s="299"/>
      <c r="J244" s="299"/>
      <c r="K244" s="299"/>
      <c r="L244" s="299"/>
      <c r="M244" s="299"/>
      <c r="N244" s="299"/>
      <c r="O244" s="299"/>
      <c r="P244" s="51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299"/>
      <c r="AP244" s="299"/>
      <c r="AQ244" s="299"/>
      <c r="AR244" s="299"/>
      <c r="AS244" s="299"/>
    </row>
    <row r="245" spans="1:45" ht="122.4" customHeight="1" thickBot="1" x14ac:dyDescent="0.45">
      <c r="A245" s="299"/>
      <c r="B245" s="299"/>
      <c r="C245" s="299"/>
      <c r="D245" s="639"/>
      <c r="E245" s="299"/>
      <c r="F245" s="392"/>
      <c r="G245" s="299"/>
      <c r="H245" s="299"/>
      <c r="I245" s="299"/>
      <c r="J245" s="299"/>
      <c r="K245" s="299"/>
      <c r="L245" s="299"/>
      <c r="M245" s="299"/>
      <c r="N245" s="299"/>
      <c r="O245" s="299"/>
      <c r="P245" s="519"/>
      <c r="Q245" s="299"/>
      <c r="R245" s="299"/>
      <c r="S245" s="299"/>
      <c r="T245" s="299"/>
      <c r="U245" s="299"/>
      <c r="V245" s="299"/>
      <c r="W245" s="299"/>
      <c r="X245" s="299"/>
      <c r="Y245" s="299"/>
      <c r="Z245" s="299"/>
      <c r="AA245" s="299"/>
      <c r="AB245" s="299"/>
      <c r="AC245" s="299"/>
      <c r="AD245" s="299"/>
      <c r="AE245" s="299"/>
      <c r="AF245" s="299"/>
      <c r="AG245" s="299"/>
      <c r="AH245" s="299"/>
      <c r="AI245" s="299"/>
      <c r="AJ245" s="299"/>
      <c r="AK245" s="299"/>
      <c r="AL245" s="299"/>
      <c r="AM245" s="299"/>
      <c r="AN245" s="299"/>
      <c r="AO245" s="299"/>
      <c r="AP245" s="299"/>
      <c r="AQ245" s="299"/>
      <c r="AR245" s="299"/>
      <c r="AS245" s="299"/>
    </row>
    <row r="246" spans="1:45" ht="122.4" customHeight="1" thickBot="1" x14ac:dyDescent="0.45">
      <c r="A246" s="299"/>
      <c r="B246" s="299"/>
      <c r="C246" s="299"/>
      <c r="D246" s="639"/>
      <c r="E246" s="299"/>
      <c r="F246" s="392"/>
      <c r="G246" s="299"/>
      <c r="H246" s="299"/>
      <c r="I246" s="299"/>
      <c r="J246" s="299"/>
      <c r="K246" s="299"/>
      <c r="L246" s="299"/>
      <c r="M246" s="299"/>
      <c r="N246" s="299"/>
      <c r="O246" s="299"/>
      <c r="P246" s="519"/>
      <c r="Q246" s="299"/>
      <c r="R246" s="299"/>
      <c r="S246" s="299"/>
      <c r="T246" s="299"/>
      <c r="U246" s="299"/>
      <c r="V246" s="299"/>
      <c r="W246" s="299"/>
      <c r="X246" s="299"/>
      <c r="Y246" s="299"/>
      <c r="Z246" s="299"/>
      <c r="AA246" s="299"/>
      <c r="AB246" s="299"/>
      <c r="AC246" s="299"/>
      <c r="AD246" s="299"/>
      <c r="AE246" s="299"/>
      <c r="AF246" s="299"/>
      <c r="AG246" s="299"/>
      <c r="AH246" s="299"/>
      <c r="AI246" s="299"/>
      <c r="AJ246" s="299"/>
      <c r="AK246" s="299"/>
      <c r="AL246" s="299"/>
      <c r="AM246" s="299"/>
      <c r="AN246" s="299"/>
      <c r="AO246" s="299"/>
      <c r="AP246" s="299"/>
      <c r="AQ246" s="299"/>
      <c r="AR246" s="299"/>
      <c r="AS246" s="299"/>
    </row>
    <row r="247" spans="1:45" ht="122.4" customHeight="1" thickBot="1" x14ac:dyDescent="0.45">
      <c r="A247" s="299"/>
      <c r="B247" s="299"/>
      <c r="C247" s="299"/>
      <c r="D247" s="639"/>
      <c r="E247" s="299"/>
      <c r="F247" s="392"/>
      <c r="G247" s="299"/>
      <c r="H247" s="299"/>
      <c r="I247" s="299"/>
      <c r="J247" s="299"/>
      <c r="K247" s="299"/>
      <c r="L247" s="299"/>
      <c r="M247" s="299"/>
      <c r="N247" s="299"/>
      <c r="O247" s="299"/>
      <c r="P247" s="519"/>
      <c r="Q247" s="299"/>
      <c r="R247" s="299"/>
      <c r="S247" s="299"/>
      <c r="T247" s="299"/>
      <c r="U247" s="299"/>
      <c r="V247" s="299"/>
      <c r="W247" s="299"/>
      <c r="X247" s="299"/>
      <c r="Y247" s="299"/>
      <c r="Z247" s="299"/>
      <c r="AA247" s="299"/>
      <c r="AB247" s="299"/>
      <c r="AC247" s="299"/>
      <c r="AD247" s="299"/>
      <c r="AE247" s="299"/>
      <c r="AF247" s="299"/>
      <c r="AG247" s="299"/>
      <c r="AH247" s="299"/>
      <c r="AI247" s="299"/>
      <c r="AJ247" s="299"/>
      <c r="AK247" s="299"/>
      <c r="AL247" s="299"/>
      <c r="AM247" s="299"/>
      <c r="AN247" s="299"/>
      <c r="AO247" s="299"/>
      <c r="AP247" s="299"/>
      <c r="AQ247" s="299"/>
      <c r="AR247" s="299"/>
      <c r="AS247" s="299"/>
    </row>
    <row r="248" spans="1:45" ht="122.4" customHeight="1" thickBot="1" x14ac:dyDescent="0.45">
      <c r="A248" s="299"/>
      <c r="B248" s="299"/>
      <c r="C248" s="299"/>
      <c r="D248" s="639"/>
      <c r="E248" s="299"/>
      <c r="F248" s="392"/>
      <c r="G248" s="299"/>
      <c r="H248" s="299"/>
      <c r="I248" s="299"/>
      <c r="J248" s="299"/>
      <c r="K248" s="299"/>
      <c r="L248" s="299"/>
      <c r="M248" s="299"/>
      <c r="N248" s="299"/>
      <c r="O248" s="299"/>
      <c r="P248" s="519"/>
      <c r="Q248" s="299"/>
      <c r="R248" s="299"/>
      <c r="S248" s="299"/>
      <c r="T248" s="299"/>
      <c r="U248" s="299"/>
      <c r="V248" s="299"/>
      <c r="W248" s="299"/>
      <c r="X248" s="299"/>
      <c r="Y248" s="299"/>
      <c r="Z248" s="299"/>
      <c r="AA248" s="299"/>
      <c r="AB248" s="299"/>
      <c r="AC248" s="299"/>
      <c r="AD248" s="299"/>
      <c r="AE248" s="299"/>
      <c r="AF248" s="299"/>
      <c r="AG248" s="299"/>
      <c r="AH248" s="299"/>
      <c r="AI248" s="299"/>
      <c r="AJ248" s="299"/>
      <c r="AK248" s="299"/>
      <c r="AL248" s="299"/>
      <c r="AM248" s="299"/>
      <c r="AN248" s="299"/>
      <c r="AO248" s="299"/>
      <c r="AP248" s="299"/>
      <c r="AQ248" s="299"/>
      <c r="AR248" s="299"/>
      <c r="AS248" s="299"/>
    </row>
    <row r="249" spans="1:45" ht="122.4" customHeight="1" thickBot="1" x14ac:dyDescent="0.45">
      <c r="A249" s="299"/>
      <c r="B249" s="299"/>
      <c r="C249" s="299"/>
      <c r="D249" s="639"/>
      <c r="E249" s="299"/>
      <c r="F249" s="392"/>
      <c r="G249" s="299"/>
      <c r="H249" s="299"/>
      <c r="I249" s="299"/>
      <c r="J249" s="299"/>
      <c r="K249" s="299"/>
      <c r="L249" s="299"/>
      <c r="M249" s="299"/>
      <c r="N249" s="299"/>
      <c r="O249" s="299"/>
      <c r="P249" s="519"/>
      <c r="Q249" s="299"/>
      <c r="R249" s="299"/>
      <c r="S249" s="299"/>
      <c r="T249" s="299"/>
      <c r="U249" s="299"/>
      <c r="V249" s="299"/>
      <c r="W249" s="299"/>
      <c r="X249" s="299"/>
      <c r="Y249" s="299"/>
      <c r="Z249" s="299"/>
      <c r="AA249" s="299"/>
      <c r="AB249" s="299"/>
      <c r="AC249" s="299"/>
      <c r="AD249" s="299"/>
      <c r="AE249" s="299"/>
      <c r="AF249" s="299"/>
      <c r="AG249" s="299"/>
      <c r="AH249" s="299"/>
      <c r="AI249" s="299"/>
      <c r="AJ249" s="299"/>
      <c r="AK249" s="299"/>
      <c r="AL249" s="299"/>
      <c r="AM249" s="299"/>
      <c r="AN249" s="299"/>
      <c r="AO249" s="299"/>
      <c r="AP249" s="299"/>
      <c r="AQ249" s="299"/>
      <c r="AR249" s="299"/>
      <c r="AS249" s="299"/>
    </row>
    <row r="250" spans="1:45" ht="122.4" customHeight="1" thickBot="1" x14ac:dyDescent="0.45">
      <c r="A250" s="299"/>
      <c r="B250" s="299"/>
      <c r="C250" s="299"/>
      <c r="D250" s="639"/>
      <c r="E250" s="299"/>
      <c r="F250" s="392"/>
      <c r="G250" s="299"/>
      <c r="H250" s="299"/>
      <c r="I250" s="299"/>
      <c r="J250" s="299"/>
      <c r="K250" s="299"/>
      <c r="L250" s="299"/>
      <c r="M250" s="299"/>
      <c r="N250" s="299"/>
      <c r="O250" s="299"/>
      <c r="P250" s="51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299"/>
      <c r="AQ250" s="299"/>
      <c r="AR250" s="299"/>
      <c r="AS250" s="299"/>
    </row>
    <row r="251" spans="1:45" ht="122.4" customHeight="1" thickBot="1" x14ac:dyDescent="0.45">
      <c r="A251" s="299"/>
      <c r="B251" s="299"/>
      <c r="C251" s="299"/>
      <c r="D251" s="639"/>
      <c r="E251" s="299"/>
      <c r="F251" s="392"/>
      <c r="G251" s="299"/>
      <c r="H251" s="299"/>
      <c r="I251" s="299"/>
      <c r="J251" s="299"/>
      <c r="K251" s="299"/>
      <c r="L251" s="299"/>
      <c r="M251" s="299"/>
      <c r="N251" s="299"/>
      <c r="O251" s="299"/>
      <c r="P251" s="519"/>
      <c r="Q251" s="299"/>
      <c r="R251" s="299"/>
      <c r="S251" s="299"/>
      <c r="T251" s="299"/>
      <c r="U251" s="299"/>
      <c r="V251" s="299"/>
      <c r="W251" s="299"/>
      <c r="X251" s="299"/>
      <c r="Y251" s="299"/>
      <c r="Z251" s="299"/>
      <c r="AA251" s="299"/>
      <c r="AB251" s="299"/>
      <c r="AC251" s="299"/>
      <c r="AD251" s="299"/>
      <c r="AE251" s="299"/>
      <c r="AF251" s="299"/>
      <c r="AG251" s="299"/>
      <c r="AH251" s="299"/>
      <c r="AI251" s="299"/>
      <c r="AJ251" s="299"/>
      <c r="AK251" s="299"/>
      <c r="AL251" s="299"/>
      <c r="AM251" s="299"/>
      <c r="AN251" s="299"/>
      <c r="AO251" s="299"/>
      <c r="AP251" s="299"/>
      <c r="AQ251" s="299"/>
      <c r="AR251" s="299"/>
      <c r="AS251" s="299"/>
    </row>
    <row r="252" spans="1:45" ht="122.4" customHeight="1" thickBot="1" x14ac:dyDescent="0.45">
      <c r="A252" s="299"/>
      <c r="B252" s="299"/>
      <c r="C252" s="299"/>
      <c r="D252" s="639"/>
      <c r="E252" s="299"/>
      <c r="F252" s="392"/>
      <c r="G252" s="299"/>
      <c r="H252" s="299"/>
      <c r="I252" s="299"/>
      <c r="J252" s="299"/>
      <c r="K252" s="299"/>
      <c r="L252" s="299"/>
      <c r="M252" s="299"/>
      <c r="N252" s="299"/>
      <c r="O252" s="299"/>
      <c r="P252" s="51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row>
    <row r="253" spans="1:45" ht="122.4" customHeight="1" thickBot="1" x14ac:dyDescent="0.45">
      <c r="A253" s="299"/>
      <c r="B253" s="299"/>
      <c r="C253" s="299"/>
      <c r="D253" s="639"/>
      <c r="E253" s="299"/>
      <c r="F253" s="392"/>
      <c r="G253" s="299"/>
      <c r="H253" s="299"/>
      <c r="I253" s="299"/>
      <c r="J253" s="299"/>
      <c r="K253" s="299"/>
      <c r="L253" s="299"/>
      <c r="M253" s="299"/>
      <c r="N253" s="299"/>
      <c r="O253" s="299"/>
      <c r="P253" s="519"/>
      <c r="Q253" s="299"/>
      <c r="R253" s="299"/>
      <c r="S253" s="299"/>
      <c r="T253" s="299"/>
      <c r="U253" s="299"/>
      <c r="V253" s="299"/>
      <c r="W253" s="299"/>
      <c r="X253" s="299"/>
      <c r="Y253" s="299"/>
      <c r="Z253" s="299"/>
      <c r="AA253" s="299"/>
      <c r="AB253" s="299"/>
      <c r="AC253" s="299"/>
      <c r="AD253" s="299"/>
      <c r="AE253" s="299"/>
      <c r="AF253" s="299"/>
      <c r="AG253" s="299"/>
      <c r="AH253" s="299"/>
      <c r="AI253" s="299"/>
      <c r="AJ253" s="299"/>
      <c r="AK253" s="299"/>
      <c r="AL253" s="299"/>
      <c r="AM253" s="299"/>
      <c r="AN253" s="299"/>
      <c r="AO253" s="299"/>
      <c r="AP253" s="299"/>
      <c r="AQ253" s="299"/>
      <c r="AR253" s="299"/>
      <c r="AS253" s="299"/>
    </row>
    <row r="254" spans="1:45" ht="122.4" customHeight="1" thickBot="1" x14ac:dyDescent="0.45">
      <c r="A254" s="299"/>
      <c r="B254" s="299"/>
      <c r="C254" s="299"/>
      <c r="D254" s="639"/>
      <c r="E254" s="299"/>
      <c r="F254" s="392"/>
      <c r="G254" s="299"/>
      <c r="H254" s="299"/>
      <c r="I254" s="299"/>
      <c r="J254" s="299"/>
      <c r="K254" s="299"/>
      <c r="L254" s="299"/>
      <c r="M254" s="299"/>
      <c r="N254" s="299"/>
      <c r="O254" s="299"/>
      <c r="P254" s="51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row>
    <row r="255" spans="1:45" ht="122.4" customHeight="1" thickBot="1" x14ac:dyDescent="0.45">
      <c r="A255" s="299"/>
      <c r="B255" s="299"/>
      <c r="C255" s="299"/>
      <c r="D255" s="639"/>
      <c r="E255" s="299"/>
      <c r="F255" s="392"/>
      <c r="G255" s="299"/>
      <c r="H255" s="299"/>
      <c r="I255" s="299"/>
      <c r="J255" s="299"/>
      <c r="K255" s="299"/>
      <c r="L255" s="299"/>
      <c r="M255" s="299"/>
      <c r="N255" s="299"/>
      <c r="O255" s="299"/>
      <c r="P255" s="519"/>
      <c r="Q255" s="299"/>
      <c r="R255" s="299"/>
      <c r="S255" s="299"/>
      <c r="T255" s="299"/>
      <c r="U255" s="299"/>
      <c r="V255" s="299"/>
      <c r="W255" s="299"/>
      <c r="X255" s="299"/>
      <c r="Y255" s="299"/>
      <c r="Z255" s="299"/>
      <c r="AA255" s="299"/>
      <c r="AB255" s="299"/>
      <c r="AC255" s="299"/>
      <c r="AD255" s="299"/>
      <c r="AE255" s="299"/>
      <c r="AF255" s="299"/>
      <c r="AG255" s="299"/>
      <c r="AH255" s="299"/>
      <c r="AI255" s="299"/>
      <c r="AJ255" s="299"/>
      <c r="AK255" s="299"/>
      <c r="AL255" s="299"/>
      <c r="AM255" s="299"/>
      <c r="AN255" s="299"/>
      <c r="AO255" s="299"/>
      <c r="AP255" s="299"/>
      <c r="AQ255" s="299"/>
      <c r="AR255" s="299"/>
      <c r="AS255" s="299"/>
    </row>
    <row r="256" spans="1:45" ht="122.4" customHeight="1" thickBot="1" x14ac:dyDescent="0.45">
      <c r="A256" s="299"/>
      <c r="B256" s="299"/>
      <c r="C256" s="299"/>
      <c r="D256" s="639"/>
      <c r="E256" s="299"/>
      <c r="F256" s="392"/>
      <c r="G256" s="299"/>
      <c r="H256" s="299"/>
      <c r="I256" s="299"/>
      <c r="J256" s="299"/>
      <c r="K256" s="299"/>
      <c r="L256" s="299"/>
      <c r="M256" s="299"/>
      <c r="N256" s="299"/>
      <c r="O256" s="299"/>
      <c r="P256" s="519"/>
      <c r="Q256" s="299"/>
      <c r="R256" s="299"/>
      <c r="S256" s="299"/>
      <c r="T256" s="299"/>
      <c r="U256" s="299"/>
      <c r="V256" s="299"/>
      <c r="W256" s="299"/>
      <c r="X256" s="299"/>
      <c r="Y256" s="299"/>
      <c r="Z256" s="299"/>
      <c r="AA256" s="299"/>
      <c r="AB256" s="299"/>
      <c r="AC256" s="299"/>
      <c r="AD256" s="299"/>
      <c r="AE256" s="299"/>
      <c r="AF256" s="299"/>
      <c r="AG256" s="299"/>
      <c r="AH256" s="299"/>
      <c r="AI256" s="299"/>
      <c r="AJ256" s="299"/>
      <c r="AK256" s="299"/>
      <c r="AL256" s="299"/>
      <c r="AM256" s="299"/>
      <c r="AN256" s="299"/>
      <c r="AO256" s="299"/>
      <c r="AP256" s="299"/>
      <c r="AQ256" s="299"/>
      <c r="AR256" s="299"/>
      <c r="AS256" s="299"/>
    </row>
    <row r="257" spans="1:45" ht="122.4" customHeight="1" thickBot="1" x14ac:dyDescent="0.45">
      <c r="A257" s="299"/>
      <c r="B257" s="299"/>
      <c r="C257" s="299"/>
      <c r="D257" s="639"/>
      <c r="E257" s="299"/>
      <c r="F257" s="392"/>
      <c r="G257" s="299"/>
      <c r="H257" s="299"/>
      <c r="I257" s="299"/>
      <c r="J257" s="299"/>
      <c r="K257" s="299"/>
      <c r="L257" s="299"/>
      <c r="M257" s="299"/>
      <c r="N257" s="299"/>
      <c r="O257" s="299"/>
      <c r="P257" s="519"/>
      <c r="Q257" s="299"/>
      <c r="R257" s="299"/>
      <c r="S257" s="299"/>
      <c r="T257" s="299"/>
      <c r="U257" s="299"/>
      <c r="V257" s="299"/>
      <c r="W257" s="299"/>
      <c r="X257" s="299"/>
      <c r="Y257" s="299"/>
      <c r="Z257" s="299"/>
      <c r="AA257" s="299"/>
      <c r="AB257" s="299"/>
      <c r="AC257" s="299"/>
      <c r="AD257" s="299"/>
      <c r="AE257" s="299"/>
      <c r="AF257" s="299"/>
      <c r="AG257" s="299"/>
      <c r="AH257" s="299"/>
      <c r="AI257" s="299"/>
      <c r="AJ257" s="299"/>
      <c r="AK257" s="299"/>
      <c r="AL257" s="299"/>
      <c r="AM257" s="299"/>
      <c r="AN257" s="299"/>
      <c r="AO257" s="299"/>
      <c r="AP257" s="299"/>
      <c r="AQ257" s="299"/>
      <c r="AR257" s="299"/>
      <c r="AS257" s="299"/>
    </row>
    <row r="258" spans="1:45" ht="122.4" customHeight="1" thickBot="1" x14ac:dyDescent="0.45">
      <c r="A258" s="299"/>
      <c r="B258" s="299"/>
      <c r="C258" s="299"/>
      <c r="D258" s="639"/>
      <c r="E258" s="299"/>
      <c r="F258" s="392"/>
      <c r="G258" s="299"/>
      <c r="H258" s="299"/>
      <c r="I258" s="299"/>
      <c r="J258" s="299"/>
      <c r="K258" s="299"/>
      <c r="L258" s="299"/>
      <c r="M258" s="299"/>
      <c r="N258" s="299"/>
      <c r="O258" s="299"/>
      <c r="P258" s="519"/>
      <c r="Q258" s="299"/>
      <c r="R258" s="299"/>
      <c r="S258" s="299"/>
      <c r="T258" s="299"/>
      <c r="U258" s="299"/>
      <c r="V258" s="299"/>
      <c r="W258" s="299"/>
      <c r="X258" s="299"/>
      <c r="Y258" s="299"/>
      <c r="Z258" s="299"/>
      <c r="AA258" s="299"/>
      <c r="AB258" s="299"/>
      <c r="AC258" s="299"/>
      <c r="AD258" s="299"/>
      <c r="AE258" s="299"/>
      <c r="AF258" s="299"/>
      <c r="AG258" s="299"/>
      <c r="AH258" s="299"/>
      <c r="AI258" s="299"/>
      <c r="AJ258" s="299"/>
      <c r="AK258" s="299"/>
      <c r="AL258" s="299"/>
      <c r="AM258" s="299"/>
      <c r="AN258" s="299"/>
      <c r="AO258" s="299"/>
      <c r="AP258" s="299"/>
      <c r="AQ258" s="299"/>
      <c r="AR258" s="299"/>
      <c r="AS258" s="299"/>
    </row>
    <row r="259" spans="1:45" ht="122.4" customHeight="1" thickBot="1" x14ac:dyDescent="0.45">
      <c r="A259" s="299"/>
      <c r="B259" s="299"/>
      <c r="C259" s="299"/>
      <c r="D259" s="639"/>
      <c r="E259" s="299"/>
      <c r="F259" s="392"/>
      <c r="G259" s="299"/>
      <c r="H259" s="299"/>
      <c r="I259" s="299"/>
      <c r="J259" s="299"/>
      <c r="K259" s="299"/>
      <c r="L259" s="299"/>
      <c r="M259" s="299"/>
      <c r="N259" s="299"/>
      <c r="O259" s="299"/>
      <c r="P259" s="51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c r="AL259" s="299"/>
      <c r="AM259" s="299"/>
      <c r="AN259" s="299"/>
      <c r="AO259" s="299"/>
      <c r="AP259" s="299"/>
      <c r="AQ259" s="299"/>
      <c r="AR259" s="299"/>
      <c r="AS259" s="299"/>
    </row>
    <row r="260" spans="1:45" ht="122.4" customHeight="1" thickBot="1" x14ac:dyDescent="0.45">
      <c r="A260" s="299"/>
      <c r="B260" s="299"/>
      <c r="C260" s="299"/>
      <c r="D260" s="639"/>
      <c r="E260" s="299"/>
      <c r="F260" s="392"/>
      <c r="G260" s="299"/>
      <c r="H260" s="299"/>
      <c r="I260" s="299"/>
      <c r="J260" s="299"/>
      <c r="K260" s="299"/>
      <c r="L260" s="299"/>
      <c r="M260" s="299"/>
      <c r="N260" s="299"/>
      <c r="O260" s="299"/>
      <c r="P260" s="51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299"/>
      <c r="AQ260" s="299"/>
      <c r="AR260" s="299"/>
      <c r="AS260" s="299"/>
    </row>
    <row r="261" spans="1:45" ht="122.4" customHeight="1" thickBot="1" x14ac:dyDescent="0.45">
      <c r="A261" s="299"/>
      <c r="B261" s="299"/>
      <c r="C261" s="299"/>
      <c r="D261" s="639"/>
      <c r="E261" s="299"/>
      <c r="F261" s="392"/>
      <c r="G261" s="299"/>
      <c r="H261" s="299"/>
      <c r="I261" s="299"/>
      <c r="J261" s="299"/>
      <c r="K261" s="299"/>
      <c r="L261" s="299"/>
      <c r="M261" s="299"/>
      <c r="N261" s="299"/>
      <c r="O261" s="299"/>
      <c r="P261" s="519"/>
      <c r="Q261" s="299"/>
      <c r="R261" s="299"/>
      <c r="S261" s="299"/>
      <c r="T261" s="299"/>
      <c r="U261" s="299"/>
      <c r="V261" s="299"/>
      <c r="W261" s="299"/>
      <c r="X261" s="299"/>
      <c r="Y261" s="299"/>
      <c r="Z261" s="299"/>
      <c r="AA261" s="299"/>
      <c r="AB261" s="299"/>
      <c r="AC261" s="299"/>
      <c r="AD261" s="299"/>
      <c r="AE261" s="299"/>
      <c r="AF261" s="299"/>
      <c r="AG261" s="299"/>
      <c r="AH261" s="299"/>
      <c r="AI261" s="299"/>
      <c r="AJ261" s="299"/>
      <c r="AK261" s="299"/>
      <c r="AL261" s="299"/>
      <c r="AM261" s="299"/>
      <c r="AN261" s="299"/>
      <c r="AO261" s="299"/>
      <c r="AP261" s="299"/>
      <c r="AQ261" s="299"/>
      <c r="AR261" s="299"/>
      <c r="AS261" s="299"/>
    </row>
    <row r="262" spans="1:45" ht="122.4" customHeight="1" thickBot="1" x14ac:dyDescent="0.45">
      <c r="A262" s="299"/>
      <c r="B262" s="299"/>
      <c r="C262" s="299"/>
      <c r="D262" s="639"/>
      <c r="E262" s="299"/>
      <c r="F262" s="392"/>
      <c r="G262" s="299"/>
      <c r="H262" s="299"/>
      <c r="I262" s="299"/>
      <c r="J262" s="299"/>
      <c r="K262" s="299"/>
      <c r="L262" s="299"/>
      <c r="M262" s="299"/>
      <c r="N262" s="299"/>
      <c r="O262" s="299"/>
      <c r="P262" s="51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row>
    <row r="263" spans="1:45" ht="122.4" customHeight="1" thickBot="1" x14ac:dyDescent="0.45">
      <c r="A263" s="299"/>
      <c r="B263" s="299"/>
      <c r="C263" s="299"/>
      <c r="D263" s="639"/>
      <c r="E263" s="299"/>
      <c r="F263" s="392"/>
      <c r="G263" s="299"/>
      <c r="H263" s="299"/>
      <c r="I263" s="299"/>
      <c r="J263" s="299"/>
      <c r="K263" s="299"/>
      <c r="L263" s="299"/>
      <c r="M263" s="299"/>
      <c r="N263" s="299"/>
      <c r="O263" s="299"/>
      <c r="P263" s="51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row>
    <row r="264" spans="1:45" ht="122.4" customHeight="1" thickBot="1" x14ac:dyDescent="0.45">
      <c r="A264" s="299"/>
      <c r="B264" s="299"/>
      <c r="C264" s="299"/>
      <c r="D264" s="639"/>
      <c r="E264" s="299"/>
      <c r="F264" s="392"/>
      <c r="G264" s="299"/>
      <c r="H264" s="299"/>
      <c r="I264" s="299"/>
      <c r="J264" s="299"/>
      <c r="K264" s="299"/>
      <c r="L264" s="299"/>
      <c r="M264" s="299"/>
      <c r="N264" s="299"/>
      <c r="O264" s="299"/>
      <c r="P264" s="519"/>
      <c r="Q264" s="299"/>
      <c r="R264" s="299"/>
      <c r="S264" s="299"/>
      <c r="T264" s="299"/>
      <c r="U264" s="299"/>
      <c r="V264" s="299"/>
      <c r="W264" s="299"/>
      <c r="X264" s="299"/>
      <c r="Y264" s="299"/>
      <c r="Z264" s="299"/>
      <c r="AA264" s="299"/>
      <c r="AB264" s="299"/>
      <c r="AC264" s="299"/>
      <c r="AD264" s="299"/>
      <c r="AE264" s="299"/>
      <c r="AF264" s="299"/>
      <c r="AG264" s="299"/>
      <c r="AH264" s="299"/>
      <c r="AI264" s="299"/>
      <c r="AJ264" s="299"/>
      <c r="AK264" s="299"/>
      <c r="AL264" s="299"/>
      <c r="AM264" s="299"/>
      <c r="AN264" s="299"/>
      <c r="AO264" s="299"/>
      <c r="AP264" s="299"/>
      <c r="AQ264" s="299"/>
      <c r="AR264" s="299"/>
      <c r="AS264" s="299"/>
    </row>
    <row r="265" spans="1:45" ht="122.4" customHeight="1" thickBot="1" x14ac:dyDescent="0.45">
      <c r="A265" s="299"/>
      <c r="B265" s="299"/>
      <c r="C265" s="299"/>
      <c r="D265" s="639"/>
      <c r="E265" s="299"/>
      <c r="F265" s="392"/>
      <c r="G265" s="299"/>
      <c r="H265" s="299"/>
      <c r="I265" s="299"/>
      <c r="J265" s="299"/>
      <c r="K265" s="299"/>
      <c r="L265" s="299"/>
      <c r="M265" s="299"/>
      <c r="N265" s="299"/>
      <c r="O265" s="299"/>
      <c r="P265" s="519"/>
      <c r="Q265" s="299"/>
      <c r="R265" s="299"/>
      <c r="S265" s="299"/>
      <c r="T265" s="299"/>
      <c r="U265" s="299"/>
      <c r="V265" s="299"/>
      <c r="W265" s="299"/>
      <c r="X265" s="299"/>
      <c r="Y265" s="299"/>
      <c r="Z265" s="299"/>
      <c r="AA265" s="299"/>
      <c r="AB265" s="299"/>
      <c r="AC265" s="299"/>
      <c r="AD265" s="299"/>
      <c r="AE265" s="299"/>
      <c r="AF265" s="299"/>
      <c r="AG265" s="299"/>
      <c r="AH265" s="299"/>
      <c r="AI265" s="299"/>
      <c r="AJ265" s="299"/>
      <c r="AK265" s="299"/>
      <c r="AL265" s="299"/>
      <c r="AM265" s="299"/>
      <c r="AN265" s="299"/>
      <c r="AO265" s="299"/>
      <c r="AP265" s="299"/>
      <c r="AQ265" s="299"/>
      <c r="AR265" s="299"/>
      <c r="AS265" s="299"/>
    </row>
    <row r="266" spans="1:45" ht="122.4" customHeight="1" thickBot="1" x14ac:dyDescent="0.45">
      <c r="A266" s="299"/>
      <c r="B266" s="299"/>
      <c r="C266" s="299"/>
      <c r="D266" s="639"/>
      <c r="E266" s="299"/>
      <c r="F266" s="392"/>
      <c r="G266" s="299"/>
      <c r="H266" s="299"/>
      <c r="I266" s="299"/>
      <c r="J266" s="299"/>
      <c r="K266" s="299"/>
      <c r="L266" s="299"/>
      <c r="M266" s="299"/>
      <c r="N266" s="299"/>
      <c r="O266" s="299"/>
      <c r="P266" s="51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row>
    <row r="267" spans="1:45" ht="122.4" customHeight="1" thickBot="1" x14ac:dyDescent="0.45">
      <c r="A267" s="299"/>
      <c r="B267" s="299"/>
      <c r="C267" s="299"/>
      <c r="D267" s="639"/>
      <c r="E267" s="299"/>
      <c r="F267" s="392"/>
      <c r="G267" s="299"/>
      <c r="H267" s="299"/>
      <c r="I267" s="299"/>
      <c r="J267" s="299"/>
      <c r="K267" s="299"/>
      <c r="L267" s="299"/>
      <c r="M267" s="299"/>
      <c r="N267" s="299"/>
      <c r="O267" s="299"/>
      <c r="P267" s="519"/>
      <c r="Q267" s="299"/>
      <c r="R267" s="299"/>
      <c r="S267" s="299"/>
      <c r="T267" s="299"/>
      <c r="U267" s="299"/>
      <c r="V267" s="299"/>
      <c r="W267" s="299"/>
      <c r="X267" s="299"/>
      <c r="Y267" s="299"/>
      <c r="Z267" s="299"/>
      <c r="AA267" s="299"/>
      <c r="AB267" s="299"/>
      <c r="AC267" s="299"/>
      <c r="AD267" s="299"/>
      <c r="AE267" s="299"/>
      <c r="AF267" s="299"/>
      <c r="AG267" s="299"/>
      <c r="AH267" s="299"/>
      <c r="AI267" s="299"/>
      <c r="AJ267" s="299"/>
      <c r="AK267" s="299"/>
      <c r="AL267" s="299"/>
      <c r="AM267" s="299"/>
      <c r="AN267" s="299"/>
      <c r="AO267" s="299"/>
      <c r="AP267" s="299"/>
      <c r="AQ267" s="299"/>
      <c r="AR267" s="299"/>
      <c r="AS267" s="299"/>
    </row>
    <row r="268" spans="1:45" ht="122.4" customHeight="1" thickBot="1" x14ac:dyDescent="0.45">
      <c r="A268" s="299"/>
      <c r="B268" s="299"/>
      <c r="C268" s="299"/>
      <c r="D268" s="639"/>
      <c r="E268" s="299"/>
      <c r="F268" s="392"/>
      <c r="G268" s="299"/>
      <c r="H268" s="299"/>
      <c r="I268" s="299"/>
      <c r="J268" s="299"/>
      <c r="K268" s="299"/>
      <c r="L268" s="299"/>
      <c r="M268" s="299"/>
      <c r="N268" s="299"/>
      <c r="O268" s="299"/>
      <c r="P268" s="519"/>
      <c r="Q268" s="299"/>
      <c r="R268" s="299"/>
      <c r="S268" s="299"/>
      <c r="T268" s="299"/>
      <c r="U268" s="299"/>
      <c r="V268" s="299"/>
      <c r="W268" s="299"/>
      <c r="X268" s="299"/>
      <c r="Y268" s="299"/>
      <c r="Z268" s="299"/>
      <c r="AA268" s="299"/>
      <c r="AB268" s="299"/>
      <c r="AC268" s="299"/>
      <c r="AD268" s="299"/>
      <c r="AE268" s="299"/>
      <c r="AF268" s="299"/>
      <c r="AG268" s="299"/>
      <c r="AH268" s="299"/>
      <c r="AI268" s="299"/>
      <c r="AJ268" s="299"/>
      <c r="AK268" s="299"/>
      <c r="AL268" s="299"/>
      <c r="AM268" s="299"/>
      <c r="AN268" s="299"/>
      <c r="AO268" s="299"/>
      <c r="AP268" s="299"/>
      <c r="AQ268" s="299"/>
      <c r="AR268" s="299"/>
      <c r="AS268" s="299"/>
    </row>
    <row r="269" spans="1:45" ht="122.4" customHeight="1" thickBot="1" x14ac:dyDescent="0.45">
      <c r="A269" s="299"/>
      <c r="B269" s="299"/>
      <c r="C269" s="299"/>
      <c r="D269" s="639"/>
      <c r="E269" s="299"/>
      <c r="F269" s="392"/>
      <c r="G269" s="299"/>
      <c r="H269" s="299"/>
      <c r="I269" s="299"/>
      <c r="J269" s="299"/>
      <c r="K269" s="299"/>
      <c r="L269" s="299"/>
      <c r="M269" s="299"/>
      <c r="N269" s="299"/>
      <c r="O269" s="299"/>
      <c r="P269" s="519"/>
      <c r="Q269" s="299"/>
      <c r="R269" s="299"/>
      <c r="S269" s="299"/>
      <c r="T269" s="299"/>
      <c r="U269" s="299"/>
      <c r="V269" s="299"/>
      <c r="W269" s="299"/>
      <c r="X269" s="299"/>
      <c r="Y269" s="299"/>
      <c r="Z269" s="299"/>
      <c r="AA269" s="299"/>
      <c r="AB269" s="299"/>
      <c r="AC269" s="299"/>
      <c r="AD269" s="299"/>
      <c r="AE269" s="299"/>
      <c r="AF269" s="299"/>
      <c r="AG269" s="299"/>
      <c r="AH269" s="299"/>
      <c r="AI269" s="299"/>
      <c r="AJ269" s="299"/>
      <c r="AK269" s="299"/>
      <c r="AL269" s="299"/>
      <c r="AM269" s="299"/>
      <c r="AN269" s="299"/>
      <c r="AO269" s="299"/>
      <c r="AP269" s="299"/>
      <c r="AQ269" s="299"/>
      <c r="AR269" s="299"/>
      <c r="AS269" s="299"/>
    </row>
    <row r="270" spans="1:45" ht="122.4" customHeight="1" thickBot="1" x14ac:dyDescent="0.45">
      <c r="A270" s="299"/>
      <c r="B270" s="299"/>
      <c r="C270" s="299"/>
      <c r="D270" s="639"/>
      <c r="E270" s="299"/>
      <c r="F270" s="392"/>
      <c r="G270" s="299"/>
      <c r="H270" s="299"/>
      <c r="I270" s="299"/>
      <c r="J270" s="299"/>
      <c r="K270" s="299"/>
      <c r="L270" s="299"/>
      <c r="M270" s="299"/>
      <c r="N270" s="299"/>
      <c r="O270" s="299"/>
      <c r="P270" s="519"/>
      <c r="Q270" s="299"/>
      <c r="R270" s="299"/>
      <c r="S270" s="299"/>
      <c r="T270" s="299"/>
      <c r="U270" s="299"/>
      <c r="V270" s="299"/>
      <c r="W270" s="299"/>
      <c r="X270" s="299"/>
      <c r="Y270" s="299"/>
      <c r="Z270" s="299"/>
      <c r="AA270" s="299"/>
      <c r="AB270" s="299"/>
      <c r="AC270" s="299"/>
      <c r="AD270" s="299"/>
      <c r="AE270" s="299"/>
      <c r="AF270" s="299"/>
      <c r="AG270" s="299"/>
      <c r="AH270" s="299"/>
      <c r="AI270" s="299"/>
      <c r="AJ270" s="299"/>
      <c r="AK270" s="299"/>
      <c r="AL270" s="299"/>
      <c r="AM270" s="299"/>
      <c r="AN270" s="299"/>
      <c r="AO270" s="299"/>
      <c r="AP270" s="299"/>
      <c r="AQ270" s="299"/>
      <c r="AR270" s="299"/>
      <c r="AS270" s="299"/>
    </row>
    <row r="271" spans="1:45" ht="122.4" customHeight="1" thickBot="1" x14ac:dyDescent="0.45">
      <c r="A271" s="299"/>
      <c r="B271" s="299"/>
      <c r="C271" s="299"/>
      <c r="D271" s="639"/>
      <c r="E271" s="299"/>
      <c r="F271" s="392"/>
      <c r="G271" s="299"/>
      <c r="H271" s="299"/>
      <c r="I271" s="299"/>
      <c r="J271" s="299"/>
      <c r="K271" s="299"/>
      <c r="L271" s="299"/>
      <c r="M271" s="299"/>
      <c r="N271" s="299"/>
      <c r="O271" s="299"/>
      <c r="P271" s="519"/>
      <c r="Q271" s="299"/>
      <c r="R271" s="299"/>
      <c r="S271" s="299"/>
      <c r="T271" s="299"/>
      <c r="U271" s="299"/>
      <c r="V271" s="299"/>
      <c r="W271" s="299"/>
      <c r="X271" s="299"/>
      <c r="Y271" s="299"/>
      <c r="Z271" s="299"/>
      <c r="AA271" s="299"/>
      <c r="AB271" s="299"/>
      <c r="AC271" s="299"/>
      <c r="AD271" s="299"/>
      <c r="AE271" s="299"/>
      <c r="AF271" s="299"/>
      <c r="AG271" s="299"/>
      <c r="AH271" s="299"/>
      <c r="AI271" s="299"/>
      <c r="AJ271" s="299"/>
      <c r="AK271" s="299"/>
      <c r="AL271" s="299"/>
      <c r="AM271" s="299"/>
      <c r="AN271" s="299"/>
      <c r="AO271" s="299"/>
      <c r="AP271" s="299"/>
      <c r="AQ271" s="299"/>
      <c r="AR271" s="299"/>
      <c r="AS271" s="299"/>
    </row>
    <row r="272" spans="1:45" ht="122.4" customHeight="1" thickBot="1" x14ac:dyDescent="0.45">
      <c r="A272" s="299"/>
      <c r="B272" s="299"/>
      <c r="C272" s="299"/>
      <c r="D272" s="639"/>
      <c r="E272" s="299"/>
      <c r="F272" s="392"/>
      <c r="G272" s="299"/>
      <c r="H272" s="299"/>
      <c r="I272" s="299"/>
      <c r="J272" s="299"/>
      <c r="K272" s="299"/>
      <c r="L272" s="299"/>
      <c r="M272" s="299"/>
      <c r="N272" s="299"/>
      <c r="O272" s="299"/>
      <c r="P272" s="519"/>
      <c r="Q272" s="299"/>
      <c r="R272" s="299"/>
      <c r="S272" s="299"/>
      <c r="T272" s="299"/>
      <c r="U272" s="299"/>
      <c r="V272" s="299"/>
      <c r="W272" s="299"/>
      <c r="X272" s="299"/>
      <c r="Y272" s="299"/>
      <c r="Z272" s="299"/>
      <c r="AA272" s="299"/>
      <c r="AB272" s="299"/>
      <c r="AC272" s="299"/>
      <c r="AD272" s="299"/>
      <c r="AE272" s="299"/>
      <c r="AF272" s="299"/>
      <c r="AG272" s="299"/>
      <c r="AH272" s="299"/>
      <c r="AI272" s="299"/>
      <c r="AJ272" s="299"/>
      <c r="AK272" s="299"/>
      <c r="AL272" s="299"/>
      <c r="AM272" s="299"/>
      <c r="AN272" s="299"/>
      <c r="AO272" s="299"/>
      <c r="AP272" s="299"/>
      <c r="AQ272" s="299"/>
      <c r="AR272" s="299"/>
      <c r="AS272" s="299"/>
    </row>
    <row r="273" spans="1:45" ht="122.4" customHeight="1" thickBot="1" x14ac:dyDescent="0.45">
      <c r="A273" s="299"/>
      <c r="B273" s="299"/>
      <c r="C273" s="299"/>
      <c r="D273" s="639"/>
      <c r="E273" s="299"/>
      <c r="F273" s="392"/>
      <c r="G273" s="299"/>
      <c r="H273" s="299"/>
      <c r="I273" s="299"/>
      <c r="J273" s="299"/>
      <c r="K273" s="299"/>
      <c r="L273" s="299"/>
      <c r="M273" s="299"/>
      <c r="N273" s="299"/>
      <c r="O273" s="299"/>
      <c r="P273" s="519"/>
      <c r="Q273" s="299"/>
      <c r="R273" s="299"/>
      <c r="S273" s="299"/>
      <c r="T273" s="299"/>
      <c r="U273" s="299"/>
      <c r="V273" s="299"/>
      <c r="W273" s="299"/>
      <c r="X273" s="299"/>
      <c r="Y273" s="299"/>
      <c r="Z273" s="299"/>
      <c r="AA273" s="299"/>
      <c r="AB273" s="299"/>
      <c r="AC273" s="299"/>
      <c r="AD273" s="299"/>
      <c r="AE273" s="299"/>
      <c r="AF273" s="299"/>
      <c r="AG273" s="299"/>
      <c r="AH273" s="299"/>
      <c r="AI273" s="299"/>
      <c r="AJ273" s="299"/>
      <c r="AK273" s="299"/>
      <c r="AL273" s="299"/>
      <c r="AM273" s="299"/>
      <c r="AN273" s="299"/>
      <c r="AO273" s="299"/>
      <c r="AP273" s="299"/>
      <c r="AQ273" s="299"/>
      <c r="AR273" s="299"/>
      <c r="AS273" s="299"/>
    </row>
    <row r="274" spans="1:45" ht="122.4" customHeight="1" thickBot="1" x14ac:dyDescent="0.45">
      <c r="A274" s="299"/>
      <c r="B274" s="299"/>
      <c r="C274" s="299"/>
      <c r="D274" s="639"/>
      <c r="E274" s="299"/>
      <c r="F274" s="392"/>
      <c r="G274" s="299"/>
      <c r="H274" s="299"/>
      <c r="I274" s="299"/>
      <c r="J274" s="299"/>
      <c r="K274" s="299"/>
      <c r="L274" s="299"/>
      <c r="M274" s="299"/>
      <c r="N274" s="299"/>
      <c r="O274" s="299"/>
      <c r="P274" s="519"/>
      <c r="Q274" s="299"/>
      <c r="R274" s="299"/>
      <c r="S274" s="299"/>
      <c r="T274" s="299"/>
      <c r="U274" s="299"/>
      <c r="V274" s="299"/>
      <c r="W274" s="299"/>
      <c r="X274" s="299"/>
      <c r="Y274" s="299"/>
      <c r="Z274" s="299"/>
      <c r="AA274" s="299"/>
      <c r="AB274" s="299"/>
      <c r="AC274" s="299"/>
      <c r="AD274" s="299"/>
      <c r="AE274" s="299"/>
      <c r="AF274" s="299"/>
      <c r="AG274" s="299"/>
      <c r="AH274" s="299"/>
      <c r="AI274" s="299"/>
      <c r="AJ274" s="299"/>
      <c r="AK274" s="299"/>
      <c r="AL274" s="299"/>
      <c r="AM274" s="299"/>
      <c r="AN274" s="299"/>
      <c r="AO274" s="299"/>
      <c r="AP274" s="299"/>
      <c r="AQ274" s="299"/>
      <c r="AR274" s="299"/>
      <c r="AS274" s="299"/>
    </row>
    <row r="275" spans="1:45" ht="122.4" customHeight="1" thickBot="1" x14ac:dyDescent="0.45">
      <c r="A275" s="299"/>
      <c r="B275" s="299"/>
      <c r="C275" s="299"/>
      <c r="D275" s="639"/>
      <c r="E275" s="299"/>
      <c r="F275" s="392"/>
      <c r="G275" s="299"/>
      <c r="H275" s="299"/>
      <c r="I275" s="299"/>
      <c r="J275" s="299"/>
      <c r="K275" s="299"/>
      <c r="L275" s="299"/>
      <c r="M275" s="299"/>
      <c r="N275" s="299"/>
      <c r="O275" s="299"/>
      <c r="P275" s="519"/>
      <c r="Q275" s="299"/>
      <c r="R275" s="299"/>
      <c r="S275" s="299"/>
      <c r="T275" s="299"/>
      <c r="U275" s="299"/>
      <c r="V275" s="299"/>
      <c r="W275" s="299"/>
      <c r="X275" s="299"/>
      <c r="Y275" s="299"/>
      <c r="Z275" s="299"/>
      <c r="AA275" s="299"/>
      <c r="AB275" s="299"/>
      <c r="AC275" s="299"/>
      <c r="AD275" s="299"/>
      <c r="AE275" s="299"/>
      <c r="AF275" s="299"/>
      <c r="AG275" s="299"/>
      <c r="AH275" s="299"/>
      <c r="AI275" s="299"/>
      <c r="AJ275" s="299"/>
      <c r="AK275" s="299"/>
      <c r="AL275" s="299"/>
      <c r="AM275" s="299"/>
      <c r="AN275" s="299"/>
      <c r="AO275" s="299"/>
      <c r="AP275" s="299"/>
      <c r="AQ275" s="299"/>
      <c r="AR275" s="299"/>
      <c r="AS275" s="299"/>
    </row>
    <row r="276" spans="1:45" ht="122.4" customHeight="1" thickBot="1" x14ac:dyDescent="0.45">
      <c r="A276" s="299"/>
      <c r="B276" s="299"/>
      <c r="C276" s="299"/>
      <c r="D276" s="639"/>
      <c r="E276" s="299"/>
      <c r="F276" s="392"/>
      <c r="G276" s="299"/>
      <c r="H276" s="299"/>
      <c r="I276" s="299"/>
      <c r="J276" s="299"/>
      <c r="K276" s="299"/>
      <c r="L276" s="299"/>
      <c r="M276" s="299"/>
      <c r="N276" s="299"/>
      <c r="O276" s="299"/>
      <c r="P276" s="519"/>
      <c r="Q276" s="299"/>
      <c r="R276" s="299"/>
      <c r="S276" s="299"/>
      <c r="T276" s="299"/>
      <c r="U276" s="299"/>
      <c r="V276" s="299"/>
      <c r="W276" s="299"/>
      <c r="X276" s="299"/>
      <c r="Y276" s="299"/>
      <c r="Z276" s="299"/>
      <c r="AA276" s="299"/>
      <c r="AB276" s="299"/>
      <c r="AC276" s="299"/>
      <c r="AD276" s="299"/>
      <c r="AE276" s="299"/>
      <c r="AF276" s="299"/>
      <c r="AG276" s="299"/>
      <c r="AH276" s="299"/>
      <c r="AI276" s="299"/>
      <c r="AJ276" s="299"/>
      <c r="AK276" s="299"/>
      <c r="AL276" s="299"/>
      <c r="AM276" s="299"/>
      <c r="AN276" s="299"/>
      <c r="AO276" s="299"/>
      <c r="AP276" s="299"/>
      <c r="AQ276" s="299"/>
      <c r="AR276" s="299"/>
      <c r="AS276" s="299"/>
    </row>
    <row r="277" spans="1:45" ht="122.4" customHeight="1" thickBot="1" x14ac:dyDescent="0.45">
      <c r="A277" s="299"/>
      <c r="B277" s="299"/>
      <c r="C277" s="299"/>
      <c r="D277" s="639"/>
      <c r="E277" s="299"/>
      <c r="F277" s="392"/>
      <c r="G277" s="299"/>
      <c r="H277" s="299"/>
      <c r="I277" s="299"/>
      <c r="J277" s="299"/>
      <c r="K277" s="299"/>
      <c r="L277" s="299"/>
      <c r="M277" s="299"/>
      <c r="N277" s="299"/>
      <c r="O277" s="299"/>
      <c r="P277" s="519"/>
      <c r="Q277" s="299"/>
      <c r="R277" s="299"/>
      <c r="S277" s="299"/>
      <c r="T277" s="299"/>
      <c r="U277" s="299"/>
      <c r="V277" s="299"/>
      <c r="W277" s="299"/>
      <c r="X277" s="299"/>
      <c r="Y277" s="299"/>
      <c r="Z277" s="299"/>
      <c r="AA277" s="299"/>
      <c r="AB277" s="299"/>
      <c r="AC277" s="299"/>
      <c r="AD277" s="299"/>
      <c r="AE277" s="299"/>
      <c r="AF277" s="299"/>
      <c r="AG277" s="299"/>
      <c r="AH277" s="299"/>
      <c r="AI277" s="299"/>
      <c r="AJ277" s="299"/>
      <c r="AK277" s="299"/>
      <c r="AL277" s="299"/>
      <c r="AM277" s="299"/>
      <c r="AN277" s="299"/>
      <c r="AO277" s="299"/>
      <c r="AP277" s="299"/>
      <c r="AQ277" s="299"/>
      <c r="AR277" s="299"/>
      <c r="AS277" s="299"/>
    </row>
    <row r="278" spans="1:45" ht="122.4" customHeight="1" thickBot="1" x14ac:dyDescent="0.45">
      <c r="A278" s="299"/>
      <c r="B278" s="299"/>
      <c r="C278" s="299"/>
      <c r="D278" s="639"/>
      <c r="E278" s="299"/>
      <c r="F278" s="392"/>
      <c r="G278" s="299"/>
      <c r="H278" s="299"/>
      <c r="I278" s="299"/>
      <c r="J278" s="299"/>
      <c r="K278" s="299"/>
      <c r="L278" s="299"/>
      <c r="M278" s="299"/>
      <c r="N278" s="299"/>
      <c r="O278" s="299"/>
      <c r="P278" s="51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row>
    <row r="279" spans="1:45" ht="122.4" customHeight="1" thickBot="1" x14ac:dyDescent="0.45">
      <c r="A279" s="299"/>
      <c r="B279" s="299"/>
      <c r="C279" s="299"/>
      <c r="D279" s="639"/>
      <c r="E279" s="299"/>
      <c r="F279" s="392"/>
      <c r="G279" s="299"/>
      <c r="H279" s="299"/>
      <c r="I279" s="299"/>
      <c r="J279" s="299"/>
      <c r="K279" s="299"/>
      <c r="L279" s="299"/>
      <c r="M279" s="299"/>
      <c r="N279" s="299"/>
      <c r="O279" s="299"/>
      <c r="P279" s="519"/>
      <c r="Q279" s="299"/>
      <c r="R279" s="299"/>
      <c r="S279" s="299"/>
      <c r="T279" s="299"/>
      <c r="U279" s="299"/>
      <c r="V279" s="299"/>
      <c r="W279" s="299"/>
      <c r="X279" s="299"/>
      <c r="Y279" s="299"/>
      <c r="Z279" s="299"/>
      <c r="AA279" s="299"/>
      <c r="AB279" s="299"/>
      <c r="AC279" s="299"/>
      <c r="AD279" s="299"/>
      <c r="AE279" s="299"/>
      <c r="AF279" s="299"/>
      <c r="AG279" s="299"/>
      <c r="AH279" s="299"/>
      <c r="AI279" s="299"/>
      <c r="AJ279" s="299"/>
      <c r="AK279" s="299"/>
      <c r="AL279" s="299"/>
      <c r="AM279" s="299"/>
      <c r="AN279" s="299"/>
      <c r="AO279" s="299"/>
      <c r="AP279" s="299"/>
      <c r="AQ279" s="299"/>
      <c r="AR279" s="299"/>
      <c r="AS279" s="299"/>
    </row>
    <row r="280" spans="1:45" ht="122.4" customHeight="1" thickBot="1" x14ac:dyDescent="0.45">
      <c r="A280" s="299"/>
      <c r="B280" s="299"/>
      <c r="C280" s="299"/>
      <c r="D280" s="639"/>
      <c r="E280" s="299"/>
      <c r="F280" s="392"/>
      <c r="G280" s="299"/>
      <c r="H280" s="299"/>
      <c r="I280" s="299"/>
      <c r="J280" s="299"/>
      <c r="K280" s="299"/>
      <c r="L280" s="299"/>
      <c r="M280" s="299"/>
      <c r="N280" s="299"/>
      <c r="O280" s="299"/>
      <c r="P280" s="519"/>
      <c r="Q280" s="299"/>
      <c r="R280" s="299"/>
      <c r="S280" s="299"/>
      <c r="T280" s="299"/>
      <c r="U280" s="299"/>
      <c r="V280" s="299"/>
      <c r="W280" s="299"/>
      <c r="X280" s="299"/>
      <c r="Y280" s="299"/>
      <c r="Z280" s="299"/>
      <c r="AA280" s="299"/>
      <c r="AB280" s="299"/>
      <c r="AC280" s="299"/>
      <c r="AD280" s="299"/>
      <c r="AE280" s="299"/>
      <c r="AF280" s="299"/>
      <c r="AG280" s="299"/>
      <c r="AH280" s="299"/>
      <c r="AI280" s="299"/>
      <c r="AJ280" s="299"/>
      <c r="AK280" s="299"/>
      <c r="AL280" s="299"/>
      <c r="AM280" s="299"/>
      <c r="AN280" s="299"/>
      <c r="AO280" s="299"/>
      <c r="AP280" s="299"/>
      <c r="AQ280" s="299"/>
      <c r="AR280" s="299"/>
      <c r="AS280" s="299"/>
    </row>
    <row r="281" spans="1:45" ht="122.4" customHeight="1" thickBot="1" x14ac:dyDescent="0.45">
      <c r="A281" s="299"/>
      <c r="B281" s="299"/>
      <c r="C281" s="299"/>
      <c r="D281" s="639"/>
      <c r="E281" s="299"/>
      <c r="F281" s="392"/>
      <c r="G281" s="299"/>
      <c r="H281" s="299"/>
      <c r="I281" s="299"/>
      <c r="J281" s="299"/>
      <c r="K281" s="299"/>
      <c r="L281" s="299"/>
      <c r="M281" s="299"/>
      <c r="N281" s="299"/>
      <c r="O281" s="299"/>
      <c r="P281" s="51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row>
    <row r="282" spans="1:45" ht="122.4" customHeight="1" thickBot="1" x14ac:dyDescent="0.45">
      <c r="A282" s="299"/>
      <c r="B282" s="299"/>
      <c r="C282" s="299"/>
      <c r="D282" s="639"/>
      <c r="E282" s="299"/>
      <c r="F282" s="392"/>
      <c r="G282" s="299"/>
      <c r="H282" s="299"/>
      <c r="I282" s="299"/>
      <c r="J282" s="299"/>
      <c r="K282" s="299"/>
      <c r="L282" s="299"/>
      <c r="M282" s="299"/>
      <c r="N282" s="299"/>
      <c r="O282" s="299"/>
      <c r="P282" s="51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row>
    <row r="283" spans="1:45" ht="122.4" customHeight="1" thickBot="1" x14ac:dyDescent="0.45">
      <c r="A283" s="299"/>
      <c r="B283" s="299"/>
      <c r="C283" s="299"/>
      <c r="D283" s="639"/>
      <c r="E283" s="299"/>
      <c r="F283" s="392"/>
      <c r="G283" s="299"/>
      <c r="H283" s="299"/>
      <c r="I283" s="299"/>
      <c r="J283" s="299"/>
      <c r="K283" s="299"/>
      <c r="L283" s="299"/>
      <c r="M283" s="299"/>
      <c r="N283" s="299"/>
      <c r="O283" s="299"/>
      <c r="P283" s="519"/>
      <c r="Q283" s="299"/>
      <c r="R283" s="299"/>
      <c r="S283" s="299"/>
      <c r="T283" s="299"/>
      <c r="U283" s="299"/>
      <c r="V283" s="299"/>
      <c r="W283" s="299"/>
      <c r="X283" s="299"/>
      <c r="Y283" s="299"/>
      <c r="Z283" s="299"/>
      <c r="AA283" s="299"/>
      <c r="AB283" s="299"/>
      <c r="AC283" s="299"/>
      <c r="AD283" s="299"/>
      <c r="AE283" s="299"/>
      <c r="AF283" s="299"/>
      <c r="AG283" s="299"/>
      <c r="AH283" s="299"/>
      <c r="AI283" s="299"/>
      <c r="AJ283" s="299"/>
      <c r="AK283" s="299"/>
      <c r="AL283" s="299"/>
      <c r="AM283" s="299"/>
      <c r="AN283" s="299"/>
      <c r="AO283" s="299"/>
      <c r="AP283" s="299"/>
      <c r="AQ283" s="299"/>
      <c r="AR283" s="299"/>
      <c r="AS283" s="299"/>
    </row>
    <row r="284" spans="1:45" ht="122.4" customHeight="1" thickBot="1" x14ac:dyDescent="0.45">
      <c r="A284" s="299"/>
      <c r="B284" s="299"/>
      <c r="C284" s="299"/>
      <c r="D284" s="639"/>
      <c r="E284" s="299"/>
      <c r="F284" s="392"/>
      <c r="G284" s="299"/>
      <c r="H284" s="299"/>
      <c r="I284" s="299"/>
      <c r="J284" s="299"/>
      <c r="K284" s="299"/>
      <c r="L284" s="299"/>
      <c r="M284" s="299"/>
      <c r="N284" s="299"/>
      <c r="O284" s="299"/>
      <c r="P284" s="519"/>
      <c r="Q284" s="299"/>
      <c r="R284" s="299"/>
      <c r="S284" s="299"/>
      <c r="T284" s="299"/>
      <c r="U284" s="299"/>
      <c r="V284" s="299"/>
      <c r="W284" s="299"/>
      <c r="X284" s="299"/>
      <c r="Y284" s="299"/>
      <c r="Z284" s="299"/>
      <c r="AA284" s="299"/>
      <c r="AB284" s="299"/>
      <c r="AC284" s="299"/>
      <c r="AD284" s="299"/>
      <c r="AE284" s="299"/>
      <c r="AF284" s="299"/>
      <c r="AG284" s="299"/>
      <c r="AH284" s="299"/>
      <c r="AI284" s="299"/>
      <c r="AJ284" s="299"/>
      <c r="AK284" s="299"/>
      <c r="AL284" s="299"/>
      <c r="AM284" s="299"/>
      <c r="AN284" s="299"/>
      <c r="AO284" s="299"/>
      <c r="AP284" s="299"/>
      <c r="AQ284" s="299"/>
      <c r="AR284" s="299"/>
      <c r="AS284" s="299"/>
    </row>
    <row r="285" spans="1:45" ht="122.4" customHeight="1" thickBot="1" x14ac:dyDescent="0.45">
      <c r="A285" s="299"/>
      <c r="B285" s="299"/>
      <c r="C285" s="299"/>
      <c r="D285" s="639"/>
      <c r="E285" s="299"/>
      <c r="F285" s="392"/>
      <c r="G285" s="299"/>
      <c r="H285" s="299"/>
      <c r="I285" s="299"/>
      <c r="J285" s="299"/>
      <c r="K285" s="299"/>
      <c r="L285" s="299"/>
      <c r="M285" s="299"/>
      <c r="N285" s="299"/>
      <c r="O285" s="299"/>
      <c r="P285" s="519"/>
      <c r="Q285" s="299"/>
      <c r="R285" s="299"/>
      <c r="S285" s="299"/>
      <c r="T285" s="299"/>
      <c r="U285" s="299"/>
      <c r="V285" s="299"/>
      <c r="W285" s="299"/>
      <c r="X285" s="299"/>
      <c r="Y285" s="299"/>
      <c r="Z285" s="299"/>
      <c r="AA285" s="299"/>
      <c r="AB285" s="299"/>
      <c r="AC285" s="299"/>
      <c r="AD285" s="299"/>
      <c r="AE285" s="299"/>
      <c r="AF285" s="299"/>
      <c r="AG285" s="299"/>
      <c r="AH285" s="299"/>
      <c r="AI285" s="299"/>
      <c r="AJ285" s="299"/>
      <c r="AK285" s="299"/>
      <c r="AL285" s="299"/>
      <c r="AM285" s="299"/>
      <c r="AN285" s="299"/>
      <c r="AO285" s="299"/>
      <c r="AP285" s="299"/>
      <c r="AQ285" s="299"/>
      <c r="AR285" s="299"/>
      <c r="AS285" s="299"/>
    </row>
    <row r="286" spans="1:45" ht="122.4" customHeight="1" thickBot="1" x14ac:dyDescent="0.45">
      <c r="A286" s="299"/>
      <c r="B286" s="299"/>
      <c r="C286" s="299"/>
      <c r="D286" s="639"/>
      <c r="E286" s="299"/>
      <c r="F286" s="392"/>
      <c r="G286" s="299"/>
      <c r="H286" s="299"/>
      <c r="I286" s="299"/>
      <c r="J286" s="299"/>
      <c r="K286" s="299"/>
      <c r="L286" s="299"/>
      <c r="M286" s="299"/>
      <c r="N286" s="299"/>
      <c r="O286" s="299"/>
      <c r="P286" s="519"/>
      <c r="Q286" s="299"/>
      <c r="R286" s="299"/>
      <c r="S286" s="299"/>
      <c r="T286" s="299"/>
      <c r="U286" s="299"/>
      <c r="V286" s="299"/>
      <c r="W286" s="299"/>
      <c r="X286" s="299"/>
      <c r="Y286" s="299"/>
      <c r="Z286" s="299"/>
      <c r="AA286" s="299"/>
      <c r="AB286" s="299"/>
      <c r="AC286" s="299"/>
      <c r="AD286" s="299"/>
      <c r="AE286" s="299"/>
      <c r="AF286" s="299"/>
      <c r="AG286" s="299"/>
      <c r="AH286" s="299"/>
      <c r="AI286" s="299"/>
      <c r="AJ286" s="299"/>
      <c r="AK286" s="299"/>
      <c r="AL286" s="299"/>
      <c r="AM286" s="299"/>
      <c r="AN286" s="299"/>
      <c r="AO286" s="299"/>
      <c r="AP286" s="299"/>
      <c r="AQ286" s="299"/>
      <c r="AR286" s="299"/>
      <c r="AS286" s="299"/>
    </row>
    <row r="287" spans="1:45" ht="122.4" customHeight="1" thickBot="1" x14ac:dyDescent="0.45">
      <c r="A287" s="299"/>
      <c r="B287" s="299"/>
      <c r="C287" s="299"/>
      <c r="D287" s="639"/>
      <c r="E287" s="299"/>
      <c r="F287" s="392"/>
      <c r="G287" s="299"/>
      <c r="H287" s="299"/>
      <c r="I287" s="299"/>
      <c r="J287" s="299"/>
      <c r="K287" s="299"/>
      <c r="L287" s="299"/>
      <c r="M287" s="299"/>
      <c r="N287" s="299"/>
      <c r="O287" s="299"/>
      <c r="P287" s="519"/>
      <c r="Q287" s="299"/>
      <c r="R287" s="299"/>
      <c r="S287" s="299"/>
      <c r="T287" s="299"/>
      <c r="U287" s="299"/>
      <c r="V287" s="299"/>
      <c r="W287" s="299"/>
      <c r="X287" s="299"/>
      <c r="Y287" s="299"/>
      <c r="Z287" s="299"/>
      <c r="AA287" s="299"/>
      <c r="AB287" s="299"/>
      <c r="AC287" s="299"/>
      <c r="AD287" s="299"/>
      <c r="AE287" s="299"/>
      <c r="AF287" s="299"/>
      <c r="AG287" s="299"/>
      <c r="AH287" s="299"/>
      <c r="AI287" s="299"/>
      <c r="AJ287" s="299"/>
      <c r="AK287" s="299"/>
      <c r="AL287" s="299"/>
      <c r="AM287" s="299"/>
      <c r="AN287" s="299"/>
      <c r="AO287" s="299"/>
      <c r="AP287" s="299"/>
      <c r="AQ287" s="299"/>
      <c r="AR287" s="299"/>
      <c r="AS287" s="299"/>
    </row>
    <row r="288" spans="1:45" ht="122.4" customHeight="1" thickBot="1" x14ac:dyDescent="0.45">
      <c r="A288" s="299"/>
      <c r="B288" s="299"/>
      <c r="C288" s="299"/>
      <c r="D288" s="639"/>
      <c r="E288" s="299"/>
      <c r="F288" s="392"/>
      <c r="G288" s="299"/>
      <c r="H288" s="299"/>
      <c r="I288" s="299"/>
      <c r="J288" s="299"/>
      <c r="K288" s="299"/>
      <c r="L288" s="299"/>
      <c r="M288" s="299"/>
      <c r="N288" s="299"/>
      <c r="O288" s="299"/>
      <c r="P288" s="519"/>
      <c r="Q288" s="299"/>
      <c r="R288" s="299"/>
      <c r="S288" s="299"/>
      <c r="T288" s="299"/>
      <c r="U288" s="299"/>
      <c r="V288" s="299"/>
      <c r="W288" s="299"/>
      <c r="X288" s="299"/>
      <c r="Y288" s="299"/>
      <c r="Z288" s="299"/>
      <c r="AA288" s="299"/>
      <c r="AB288" s="299"/>
      <c r="AC288" s="299"/>
      <c r="AD288" s="299"/>
      <c r="AE288" s="299"/>
      <c r="AF288" s="299"/>
      <c r="AG288" s="299"/>
      <c r="AH288" s="299"/>
      <c r="AI288" s="299"/>
      <c r="AJ288" s="299"/>
      <c r="AK288" s="299"/>
      <c r="AL288" s="299"/>
      <c r="AM288" s="299"/>
      <c r="AN288" s="299"/>
      <c r="AO288" s="299"/>
      <c r="AP288" s="299"/>
      <c r="AQ288" s="299"/>
      <c r="AR288" s="299"/>
      <c r="AS288" s="299"/>
    </row>
    <row r="289" spans="1:45" ht="122.4" customHeight="1" thickBot="1" x14ac:dyDescent="0.45">
      <c r="A289" s="299"/>
      <c r="B289" s="299"/>
      <c r="C289" s="299"/>
      <c r="D289" s="639"/>
      <c r="E289" s="299"/>
      <c r="F289" s="392"/>
      <c r="G289" s="299"/>
      <c r="H289" s="299"/>
      <c r="I289" s="299"/>
      <c r="J289" s="299"/>
      <c r="K289" s="299"/>
      <c r="L289" s="299"/>
      <c r="M289" s="299"/>
      <c r="N289" s="299"/>
      <c r="O289" s="299"/>
      <c r="P289" s="519"/>
      <c r="Q289" s="299"/>
      <c r="R289" s="299"/>
      <c r="S289" s="299"/>
      <c r="T289" s="299"/>
      <c r="U289" s="299"/>
      <c r="V289" s="299"/>
      <c r="W289" s="299"/>
      <c r="X289" s="299"/>
      <c r="Y289" s="299"/>
      <c r="Z289" s="299"/>
      <c r="AA289" s="299"/>
      <c r="AB289" s="299"/>
      <c r="AC289" s="299"/>
      <c r="AD289" s="299"/>
      <c r="AE289" s="299"/>
      <c r="AF289" s="299"/>
      <c r="AG289" s="299"/>
      <c r="AH289" s="299"/>
      <c r="AI289" s="299"/>
      <c r="AJ289" s="299"/>
      <c r="AK289" s="299"/>
      <c r="AL289" s="299"/>
      <c r="AM289" s="299"/>
      <c r="AN289" s="299"/>
      <c r="AO289" s="299"/>
      <c r="AP289" s="299"/>
      <c r="AQ289" s="299"/>
      <c r="AR289" s="299"/>
      <c r="AS289" s="299"/>
    </row>
    <row r="290" spans="1:45" ht="122.4" customHeight="1" thickBot="1" x14ac:dyDescent="0.45">
      <c r="A290" s="299"/>
      <c r="B290" s="299"/>
      <c r="C290" s="299"/>
      <c r="D290" s="639"/>
      <c r="E290" s="299"/>
      <c r="F290" s="392"/>
      <c r="G290" s="299"/>
      <c r="H290" s="299"/>
      <c r="I290" s="299"/>
      <c r="J290" s="299"/>
      <c r="K290" s="299"/>
      <c r="L290" s="299"/>
      <c r="M290" s="299"/>
      <c r="N290" s="299"/>
      <c r="O290" s="299"/>
      <c r="P290" s="51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row>
    <row r="291" spans="1:45" ht="122.4" customHeight="1" thickBot="1" x14ac:dyDescent="0.45">
      <c r="A291" s="299"/>
      <c r="B291" s="299"/>
      <c r="C291" s="299"/>
      <c r="D291" s="639"/>
      <c r="E291" s="299"/>
      <c r="F291" s="392"/>
      <c r="G291" s="299"/>
      <c r="H291" s="299"/>
      <c r="I291" s="299"/>
      <c r="J291" s="299"/>
      <c r="K291" s="299"/>
      <c r="L291" s="299"/>
      <c r="M291" s="299"/>
      <c r="N291" s="299"/>
      <c r="O291" s="299"/>
      <c r="P291" s="519"/>
      <c r="Q291" s="299"/>
      <c r="R291" s="299"/>
      <c r="S291" s="299"/>
      <c r="T291" s="299"/>
      <c r="U291" s="299"/>
      <c r="V291" s="299"/>
      <c r="W291" s="299"/>
      <c r="X291" s="299"/>
      <c r="Y291" s="299"/>
      <c r="Z291" s="299"/>
      <c r="AA291" s="299"/>
      <c r="AB291" s="299"/>
      <c r="AC291" s="299"/>
      <c r="AD291" s="299"/>
      <c r="AE291" s="299"/>
      <c r="AF291" s="299"/>
      <c r="AG291" s="299"/>
      <c r="AH291" s="299"/>
      <c r="AI291" s="299"/>
      <c r="AJ291" s="299"/>
      <c r="AK291" s="299"/>
      <c r="AL291" s="299"/>
      <c r="AM291" s="299"/>
      <c r="AN291" s="299"/>
      <c r="AO291" s="299"/>
      <c r="AP291" s="299"/>
      <c r="AQ291" s="299"/>
      <c r="AR291" s="299"/>
      <c r="AS291" s="299"/>
    </row>
    <row r="292" spans="1:45" ht="122.4" customHeight="1" thickBot="1" x14ac:dyDescent="0.45">
      <c r="A292" s="299"/>
      <c r="B292" s="299"/>
      <c r="C292" s="299"/>
      <c r="D292" s="639"/>
      <c r="E292" s="299"/>
      <c r="F292" s="392"/>
      <c r="G292" s="299"/>
      <c r="H292" s="299"/>
      <c r="I292" s="299"/>
      <c r="J292" s="299"/>
      <c r="K292" s="299"/>
      <c r="L292" s="299"/>
      <c r="M292" s="299"/>
      <c r="N292" s="299"/>
      <c r="O292" s="299"/>
      <c r="P292" s="51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row>
    <row r="293" spans="1:45" ht="122.4" customHeight="1" thickBot="1" x14ac:dyDescent="0.45">
      <c r="A293" s="299"/>
      <c r="B293" s="299"/>
      <c r="C293" s="299"/>
      <c r="D293" s="639"/>
      <c r="E293" s="299"/>
      <c r="F293" s="392"/>
      <c r="G293" s="299"/>
      <c r="H293" s="299"/>
      <c r="I293" s="299"/>
      <c r="J293" s="299"/>
      <c r="K293" s="299"/>
      <c r="L293" s="299"/>
      <c r="M293" s="299"/>
      <c r="N293" s="299"/>
      <c r="O293" s="299"/>
      <c r="P293" s="519"/>
      <c r="Q293" s="299"/>
      <c r="R293" s="299"/>
      <c r="S293" s="299"/>
      <c r="T293" s="299"/>
      <c r="U293" s="299"/>
      <c r="V293" s="299"/>
      <c r="W293" s="299"/>
      <c r="X293" s="299"/>
      <c r="Y293" s="299"/>
      <c r="Z293" s="299"/>
      <c r="AA293" s="299"/>
      <c r="AB293" s="299"/>
      <c r="AC293" s="299"/>
      <c r="AD293" s="299"/>
      <c r="AE293" s="299"/>
      <c r="AF293" s="299"/>
      <c r="AG293" s="299"/>
      <c r="AH293" s="299"/>
      <c r="AI293" s="299"/>
      <c r="AJ293" s="299"/>
      <c r="AK293" s="299"/>
      <c r="AL293" s="299"/>
      <c r="AM293" s="299"/>
      <c r="AN293" s="299"/>
      <c r="AO293" s="299"/>
      <c r="AP293" s="299"/>
      <c r="AQ293" s="299"/>
      <c r="AR293" s="299"/>
      <c r="AS293" s="299"/>
    </row>
    <row r="294" spans="1:45" ht="122.4" customHeight="1" thickBot="1" x14ac:dyDescent="0.45">
      <c r="A294" s="299"/>
      <c r="B294" s="299"/>
      <c r="C294" s="299"/>
      <c r="D294" s="639"/>
      <c r="E294" s="299"/>
      <c r="F294" s="392"/>
      <c r="G294" s="299"/>
      <c r="H294" s="299"/>
      <c r="I294" s="299"/>
      <c r="J294" s="299"/>
      <c r="K294" s="299"/>
      <c r="L294" s="299"/>
      <c r="M294" s="299"/>
      <c r="N294" s="299"/>
      <c r="O294" s="299"/>
      <c r="P294" s="519"/>
      <c r="Q294" s="299"/>
      <c r="R294" s="299"/>
      <c r="S294" s="299"/>
      <c r="T294" s="299"/>
      <c r="U294" s="299"/>
      <c r="V294" s="299"/>
      <c r="W294" s="299"/>
      <c r="X294" s="299"/>
      <c r="Y294" s="299"/>
      <c r="Z294" s="299"/>
      <c r="AA294" s="299"/>
      <c r="AB294" s="299"/>
      <c r="AC294" s="299"/>
      <c r="AD294" s="299"/>
      <c r="AE294" s="299"/>
      <c r="AF294" s="299"/>
      <c r="AG294" s="299"/>
      <c r="AH294" s="299"/>
      <c r="AI294" s="299"/>
      <c r="AJ294" s="299"/>
      <c r="AK294" s="299"/>
      <c r="AL294" s="299"/>
      <c r="AM294" s="299"/>
      <c r="AN294" s="299"/>
      <c r="AO294" s="299"/>
      <c r="AP294" s="299"/>
      <c r="AQ294" s="299"/>
      <c r="AR294" s="299"/>
      <c r="AS294" s="299"/>
    </row>
    <row r="295" spans="1:45" ht="122.4" customHeight="1" thickBot="1" x14ac:dyDescent="0.45">
      <c r="A295" s="299"/>
      <c r="B295" s="299"/>
      <c r="C295" s="299"/>
      <c r="D295" s="639"/>
      <c r="E295" s="299"/>
      <c r="F295" s="392"/>
      <c r="G295" s="299"/>
      <c r="H295" s="299"/>
      <c r="I295" s="299"/>
      <c r="J295" s="299"/>
      <c r="K295" s="299"/>
      <c r="L295" s="299"/>
      <c r="M295" s="299"/>
      <c r="N295" s="299"/>
      <c r="O295" s="299"/>
      <c r="P295" s="519"/>
      <c r="Q295" s="299"/>
      <c r="R295" s="299"/>
      <c r="S295" s="299"/>
      <c r="T295" s="299"/>
      <c r="U295" s="299"/>
      <c r="V295" s="299"/>
      <c r="W295" s="299"/>
      <c r="X295" s="299"/>
      <c r="Y295" s="299"/>
      <c r="Z295" s="299"/>
      <c r="AA295" s="299"/>
      <c r="AB295" s="299"/>
      <c r="AC295" s="299"/>
      <c r="AD295" s="299"/>
      <c r="AE295" s="299"/>
      <c r="AF295" s="299"/>
      <c r="AG295" s="299"/>
      <c r="AH295" s="299"/>
      <c r="AI295" s="299"/>
      <c r="AJ295" s="299"/>
      <c r="AK295" s="299"/>
      <c r="AL295" s="299"/>
      <c r="AM295" s="299"/>
      <c r="AN295" s="299"/>
      <c r="AO295" s="299"/>
      <c r="AP295" s="299"/>
      <c r="AQ295" s="299"/>
      <c r="AR295" s="299"/>
      <c r="AS295" s="299"/>
    </row>
    <row r="296" spans="1:45" ht="122.4" customHeight="1" thickBot="1" x14ac:dyDescent="0.45">
      <c r="A296" s="299"/>
      <c r="B296" s="299"/>
      <c r="C296" s="299"/>
      <c r="D296" s="639"/>
      <c r="E296" s="299"/>
      <c r="F296" s="392"/>
      <c r="G296" s="299"/>
      <c r="H296" s="299"/>
      <c r="I296" s="299"/>
      <c r="J296" s="299"/>
      <c r="K296" s="299"/>
      <c r="L296" s="299"/>
      <c r="M296" s="299"/>
      <c r="N296" s="299"/>
      <c r="O296" s="299"/>
      <c r="P296" s="519"/>
      <c r="Q296" s="299"/>
      <c r="R296" s="299"/>
      <c r="S296" s="299"/>
      <c r="T296" s="299"/>
      <c r="U296" s="299"/>
      <c r="V296" s="299"/>
      <c r="W296" s="299"/>
      <c r="X296" s="299"/>
      <c r="Y296" s="299"/>
      <c r="Z296" s="299"/>
      <c r="AA296" s="299"/>
      <c r="AB296" s="299"/>
      <c r="AC296" s="299"/>
      <c r="AD296" s="299"/>
      <c r="AE296" s="299"/>
      <c r="AF296" s="299"/>
      <c r="AG296" s="299"/>
      <c r="AH296" s="299"/>
      <c r="AI296" s="299"/>
      <c r="AJ296" s="299"/>
      <c r="AK296" s="299"/>
      <c r="AL296" s="299"/>
      <c r="AM296" s="299"/>
      <c r="AN296" s="299"/>
      <c r="AO296" s="299"/>
      <c r="AP296" s="299"/>
      <c r="AQ296" s="299"/>
      <c r="AR296" s="299"/>
      <c r="AS296" s="299"/>
    </row>
    <row r="297" spans="1:45" ht="122.4" customHeight="1" thickBot="1" x14ac:dyDescent="0.45">
      <c r="A297" s="299"/>
      <c r="B297" s="299"/>
      <c r="C297" s="299"/>
      <c r="D297" s="639"/>
      <c r="E297" s="299"/>
      <c r="F297" s="392"/>
      <c r="G297" s="299"/>
      <c r="H297" s="299"/>
      <c r="I297" s="299"/>
      <c r="J297" s="299"/>
      <c r="K297" s="299"/>
      <c r="L297" s="299"/>
      <c r="M297" s="299"/>
      <c r="N297" s="299"/>
      <c r="O297" s="299"/>
      <c r="P297" s="519"/>
      <c r="Q297" s="299"/>
      <c r="R297" s="299"/>
      <c r="S297" s="299"/>
      <c r="T297" s="299"/>
      <c r="U297" s="299"/>
      <c r="V297" s="299"/>
      <c r="W297" s="299"/>
      <c r="X297" s="299"/>
      <c r="Y297" s="299"/>
      <c r="Z297" s="299"/>
      <c r="AA297" s="299"/>
      <c r="AB297" s="299"/>
      <c r="AC297" s="299"/>
      <c r="AD297" s="299"/>
      <c r="AE297" s="299"/>
      <c r="AF297" s="299"/>
      <c r="AG297" s="299"/>
      <c r="AH297" s="299"/>
      <c r="AI297" s="299"/>
      <c r="AJ297" s="299"/>
      <c r="AK297" s="299"/>
      <c r="AL297" s="299"/>
      <c r="AM297" s="299"/>
      <c r="AN297" s="299"/>
      <c r="AO297" s="299"/>
      <c r="AP297" s="299"/>
      <c r="AQ297" s="299"/>
      <c r="AR297" s="299"/>
      <c r="AS297" s="299"/>
    </row>
    <row r="298" spans="1:45" ht="122.4" customHeight="1" thickBot="1" x14ac:dyDescent="0.45">
      <c r="A298" s="299"/>
      <c r="B298" s="299"/>
      <c r="C298" s="299"/>
      <c r="D298" s="639"/>
      <c r="E298" s="299"/>
      <c r="F298" s="392"/>
      <c r="G298" s="299"/>
      <c r="H298" s="299"/>
      <c r="I298" s="299"/>
      <c r="J298" s="299"/>
      <c r="K298" s="299"/>
      <c r="L298" s="299"/>
      <c r="M298" s="299"/>
      <c r="N298" s="299"/>
      <c r="O298" s="299"/>
      <c r="P298" s="519"/>
      <c r="Q298" s="299"/>
      <c r="R298" s="299"/>
      <c r="S298" s="299"/>
      <c r="T298" s="299"/>
      <c r="U298" s="299"/>
      <c r="V298" s="299"/>
      <c r="W298" s="299"/>
      <c r="X298" s="299"/>
      <c r="Y298" s="299"/>
      <c r="Z298" s="299"/>
      <c r="AA298" s="299"/>
      <c r="AB298" s="299"/>
      <c r="AC298" s="299"/>
      <c r="AD298" s="299"/>
      <c r="AE298" s="299"/>
      <c r="AF298" s="299"/>
      <c r="AG298" s="299"/>
      <c r="AH298" s="299"/>
      <c r="AI298" s="299"/>
      <c r="AJ298" s="299"/>
      <c r="AK298" s="299"/>
      <c r="AL298" s="299"/>
      <c r="AM298" s="299"/>
      <c r="AN298" s="299"/>
      <c r="AO298" s="299"/>
      <c r="AP298" s="299"/>
      <c r="AQ298" s="299"/>
      <c r="AR298" s="299"/>
      <c r="AS298" s="299"/>
    </row>
    <row r="299" spans="1:45" ht="122.4" customHeight="1" thickBot="1" x14ac:dyDescent="0.45">
      <c r="A299" s="299"/>
      <c r="B299" s="299"/>
      <c r="C299" s="299"/>
      <c r="D299" s="639"/>
      <c r="E299" s="299"/>
      <c r="F299" s="392"/>
      <c r="G299" s="299"/>
      <c r="H299" s="299"/>
      <c r="I299" s="299"/>
      <c r="J299" s="299"/>
      <c r="K299" s="299"/>
      <c r="L299" s="299"/>
      <c r="M299" s="299"/>
      <c r="N299" s="299"/>
      <c r="O299" s="299"/>
      <c r="P299" s="519"/>
      <c r="Q299" s="299"/>
      <c r="R299" s="299"/>
      <c r="S299" s="299"/>
      <c r="T299" s="299"/>
      <c r="U299" s="299"/>
      <c r="V299" s="299"/>
      <c r="W299" s="299"/>
      <c r="X299" s="299"/>
      <c r="Y299" s="299"/>
      <c r="Z299" s="299"/>
      <c r="AA299" s="299"/>
      <c r="AB299" s="299"/>
      <c r="AC299" s="299"/>
      <c r="AD299" s="299"/>
      <c r="AE299" s="299"/>
      <c r="AF299" s="299"/>
      <c r="AG299" s="299"/>
      <c r="AH299" s="299"/>
      <c r="AI299" s="299"/>
      <c r="AJ299" s="299"/>
      <c r="AK299" s="299"/>
      <c r="AL299" s="299"/>
      <c r="AM299" s="299"/>
      <c r="AN299" s="299"/>
      <c r="AO299" s="299"/>
      <c r="AP299" s="299"/>
      <c r="AQ299" s="299"/>
      <c r="AR299" s="299"/>
      <c r="AS299" s="299"/>
    </row>
    <row r="300" spans="1:45" ht="122.4" customHeight="1" thickBot="1" x14ac:dyDescent="0.45">
      <c r="A300" s="299"/>
      <c r="B300" s="299"/>
      <c r="C300" s="299"/>
      <c r="D300" s="639"/>
      <c r="E300" s="299"/>
      <c r="F300" s="392"/>
      <c r="G300" s="299"/>
      <c r="H300" s="299"/>
      <c r="I300" s="299"/>
      <c r="J300" s="299"/>
      <c r="K300" s="299"/>
      <c r="L300" s="299"/>
      <c r="M300" s="299"/>
      <c r="N300" s="299"/>
      <c r="O300" s="299"/>
      <c r="P300" s="519"/>
      <c r="Q300" s="299"/>
      <c r="R300" s="299"/>
      <c r="S300" s="299"/>
      <c r="T300" s="299"/>
      <c r="U300" s="299"/>
      <c r="V300" s="299"/>
      <c r="W300" s="299"/>
      <c r="X300" s="299"/>
      <c r="Y300" s="299"/>
      <c r="Z300" s="299"/>
      <c r="AA300" s="299"/>
      <c r="AB300" s="299"/>
      <c r="AC300" s="299"/>
      <c r="AD300" s="299"/>
      <c r="AE300" s="299"/>
      <c r="AF300" s="299"/>
      <c r="AG300" s="299"/>
      <c r="AH300" s="299"/>
      <c r="AI300" s="299"/>
      <c r="AJ300" s="299"/>
      <c r="AK300" s="299"/>
      <c r="AL300" s="299"/>
      <c r="AM300" s="299"/>
      <c r="AN300" s="299"/>
      <c r="AO300" s="299"/>
      <c r="AP300" s="299"/>
      <c r="AQ300" s="299"/>
      <c r="AR300" s="299"/>
      <c r="AS300" s="299"/>
    </row>
    <row r="301" spans="1:45" ht="122.4" customHeight="1" thickBot="1" x14ac:dyDescent="0.45">
      <c r="A301" s="299"/>
      <c r="B301" s="299"/>
      <c r="C301" s="299"/>
      <c r="D301" s="639"/>
      <c r="E301" s="299"/>
      <c r="F301" s="392"/>
      <c r="G301" s="299"/>
      <c r="H301" s="299"/>
      <c r="I301" s="299"/>
      <c r="J301" s="299"/>
      <c r="K301" s="299"/>
      <c r="L301" s="299"/>
      <c r="M301" s="299"/>
      <c r="N301" s="299"/>
      <c r="O301" s="299"/>
      <c r="P301" s="519"/>
      <c r="Q301" s="299"/>
      <c r="R301" s="299"/>
      <c r="S301" s="299"/>
      <c r="T301" s="299"/>
      <c r="U301" s="299"/>
      <c r="V301" s="299"/>
      <c r="W301" s="299"/>
      <c r="X301" s="299"/>
      <c r="Y301" s="299"/>
      <c r="Z301" s="299"/>
      <c r="AA301" s="299"/>
      <c r="AB301" s="299"/>
      <c r="AC301" s="299"/>
      <c r="AD301" s="299"/>
      <c r="AE301" s="299"/>
      <c r="AF301" s="299"/>
      <c r="AG301" s="299"/>
      <c r="AH301" s="299"/>
      <c r="AI301" s="299"/>
      <c r="AJ301" s="299"/>
      <c r="AK301" s="299"/>
      <c r="AL301" s="299"/>
      <c r="AM301" s="299"/>
      <c r="AN301" s="299"/>
      <c r="AO301" s="299"/>
      <c r="AP301" s="299"/>
      <c r="AQ301" s="299"/>
      <c r="AR301" s="299"/>
      <c r="AS301" s="299"/>
    </row>
    <row r="302" spans="1:45" ht="122.4" customHeight="1" thickBot="1" x14ac:dyDescent="0.45">
      <c r="A302" s="299"/>
      <c r="B302" s="299"/>
      <c r="C302" s="299"/>
      <c r="D302" s="639"/>
      <c r="E302" s="299"/>
      <c r="F302" s="392"/>
      <c r="G302" s="299"/>
      <c r="H302" s="299"/>
      <c r="I302" s="299"/>
      <c r="J302" s="299"/>
      <c r="K302" s="299"/>
      <c r="L302" s="299"/>
      <c r="M302" s="299"/>
      <c r="N302" s="299"/>
      <c r="O302" s="299"/>
      <c r="P302" s="51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row>
    <row r="303" spans="1:45" ht="122.4" customHeight="1" thickBot="1" x14ac:dyDescent="0.45">
      <c r="A303" s="299"/>
      <c r="B303" s="299"/>
      <c r="C303" s="299"/>
      <c r="D303" s="639"/>
      <c r="E303" s="299"/>
      <c r="F303" s="392"/>
      <c r="G303" s="299"/>
      <c r="H303" s="299"/>
      <c r="I303" s="299"/>
      <c r="J303" s="299"/>
      <c r="K303" s="299"/>
      <c r="L303" s="299"/>
      <c r="M303" s="299"/>
      <c r="N303" s="299"/>
      <c r="O303" s="299"/>
      <c r="P303" s="519"/>
      <c r="Q303" s="299"/>
      <c r="R303" s="299"/>
      <c r="S303" s="299"/>
      <c r="T303" s="299"/>
      <c r="U303" s="299"/>
      <c r="V303" s="299"/>
      <c r="W303" s="299"/>
      <c r="X303" s="299"/>
      <c r="Y303" s="299"/>
      <c r="Z303" s="299"/>
      <c r="AA303" s="299"/>
      <c r="AB303" s="299"/>
      <c r="AC303" s="299"/>
      <c r="AD303" s="299"/>
      <c r="AE303" s="299"/>
      <c r="AF303" s="299"/>
      <c r="AG303" s="299"/>
      <c r="AH303" s="299"/>
      <c r="AI303" s="299"/>
      <c r="AJ303" s="299"/>
      <c r="AK303" s="299"/>
      <c r="AL303" s="299"/>
      <c r="AM303" s="299"/>
      <c r="AN303" s="299"/>
      <c r="AO303" s="299"/>
      <c r="AP303" s="299"/>
      <c r="AQ303" s="299"/>
      <c r="AR303" s="299"/>
      <c r="AS303" s="299"/>
    </row>
    <row r="304" spans="1:45" ht="122.4" customHeight="1" thickBot="1" x14ac:dyDescent="0.45">
      <c r="A304" s="299"/>
      <c r="B304" s="299"/>
      <c r="C304" s="299"/>
      <c r="D304" s="639"/>
      <c r="E304" s="299"/>
      <c r="F304" s="392"/>
      <c r="G304" s="299"/>
      <c r="H304" s="299"/>
      <c r="I304" s="299"/>
      <c r="J304" s="299"/>
      <c r="K304" s="299"/>
      <c r="L304" s="299"/>
      <c r="M304" s="299"/>
      <c r="N304" s="299"/>
      <c r="O304" s="299"/>
      <c r="P304" s="519"/>
      <c r="Q304" s="299"/>
      <c r="R304" s="299"/>
      <c r="S304" s="299"/>
      <c r="T304" s="299"/>
      <c r="U304" s="299"/>
      <c r="V304" s="299"/>
      <c r="W304" s="299"/>
      <c r="X304" s="299"/>
      <c r="Y304" s="299"/>
      <c r="Z304" s="299"/>
      <c r="AA304" s="299"/>
      <c r="AB304" s="299"/>
      <c r="AC304" s="299"/>
      <c r="AD304" s="299"/>
      <c r="AE304" s="299"/>
      <c r="AF304" s="299"/>
      <c r="AG304" s="299"/>
      <c r="AH304" s="299"/>
      <c r="AI304" s="299"/>
      <c r="AJ304" s="299"/>
      <c r="AK304" s="299"/>
      <c r="AL304" s="299"/>
      <c r="AM304" s="299"/>
      <c r="AN304" s="299"/>
      <c r="AO304" s="299"/>
      <c r="AP304" s="299"/>
      <c r="AQ304" s="299"/>
      <c r="AR304" s="299"/>
      <c r="AS304" s="299"/>
    </row>
    <row r="305" spans="1:45" ht="122.4" customHeight="1" thickBot="1" x14ac:dyDescent="0.45">
      <c r="A305" s="299"/>
      <c r="B305" s="299"/>
      <c r="C305" s="299"/>
      <c r="D305" s="639"/>
      <c r="E305" s="299"/>
      <c r="F305" s="392"/>
      <c r="G305" s="299"/>
      <c r="H305" s="299"/>
      <c r="I305" s="299"/>
      <c r="J305" s="299"/>
      <c r="K305" s="299"/>
      <c r="L305" s="299"/>
      <c r="M305" s="299"/>
      <c r="N305" s="299"/>
      <c r="O305" s="299"/>
      <c r="P305" s="519"/>
      <c r="Q305" s="299"/>
      <c r="R305" s="299"/>
      <c r="S305" s="299"/>
      <c r="T305" s="299"/>
      <c r="U305" s="299"/>
      <c r="V305" s="299"/>
      <c r="W305" s="299"/>
      <c r="X305" s="299"/>
      <c r="Y305" s="299"/>
      <c r="Z305" s="299"/>
      <c r="AA305" s="299"/>
      <c r="AB305" s="299"/>
      <c r="AC305" s="299"/>
      <c r="AD305" s="299"/>
      <c r="AE305" s="299"/>
      <c r="AF305" s="299"/>
      <c r="AG305" s="299"/>
      <c r="AH305" s="299"/>
      <c r="AI305" s="299"/>
      <c r="AJ305" s="299"/>
      <c r="AK305" s="299"/>
      <c r="AL305" s="299"/>
      <c r="AM305" s="299"/>
      <c r="AN305" s="299"/>
      <c r="AO305" s="299"/>
      <c r="AP305" s="299"/>
      <c r="AQ305" s="299"/>
      <c r="AR305" s="299"/>
      <c r="AS305" s="299"/>
    </row>
    <row r="306" spans="1:45" ht="122.4" customHeight="1" thickBot="1" x14ac:dyDescent="0.45">
      <c r="A306" s="299"/>
      <c r="B306" s="299"/>
      <c r="C306" s="299"/>
      <c r="D306" s="639"/>
      <c r="E306" s="299"/>
      <c r="F306" s="392"/>
      <c r="G306" s="299"/>
      <c r="H306" s="299"/>
      <c r="I306" s="299"/>
      <c r="J306" s="299"/>
      <c r="K306" s="299"/>
      <c r="L306" s="299"/>
      <c r="M306" s="299"/>
      <c r="N306" s="299"/>
      <c r="O306" s="299"/>
      <c r="P306" s="519"/>
      <c r="Q306" s="299"/>
      <c r="R306" s="299"/>
      <c r="S306" s="299"/>
      <c r="T306" s="299"/>
      <c r="U306" s="299"/>
      <c r="V306" s="299"/>
      <c r="W306" s="299"/>
      <c r="X306" s="299"/>
      <c r="Y306" s="299"/>
      <c r="Z306" s="299"/>
      <c r="AA306" s="299"/>
      <c r="AB306" s="299"/>
      <c r="AC306" s="299"/>
      <c r="AD306" s="299"/>
      <c r="AE306" s="299"/>
      <c r="AF306" s="299"/>
      <c r="AG306" s="299"/>
      <c r="AH306" s="299"/>
      <c r="AI306" s="299"/>
      <c r="AJ306" s="299"/>
      <c r="AK306" s="299"/>
      <c r="AL306" s="299"/>
      <c r="AM306" s="299"/>
      <c r="AN306" s="299"/>
      <c r="AO306" s="299"/>
      <c r="AP306" s="299"/>
      <c r="AQ306" s="299"/>
      <c r="AR306" s="299"/>
      <c r="AS306" s="299"/>
    </row>
    <row r="307" spans="1:45" ht="122.4" customHeight="1" thickBot="1" x14ac:dyDescent="0.45">
      <c r="A307" s="299"/>
      <c r="B307" s="299"/>
      <c r="C307" s="299"/>
      <c r="D307" s="639"/>
      <c r="E307" s="299"/>
      <c r="F307" s="392"/>
      <c r="G307" s="299"/>
      <c r="H307" s="299"/>
      <c r="I307" s="299"/>
      <c r="J307" s="299"/>
      <c r="K307" s="299"/>
      <c r="L307" s="299"/>
      <c r="M307" s="299"/>
      <c r="N307" s="299"/>
      <c r="O307" s="299"/>
      <c r="P307" s="51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c r="AL307" s="299"/>
      <c r="AM307" s="299"/>
      <c r="AN307" s="299"/>
      <c r="AO307" s="299"/>
      <c r="AP307" s="299"/>
      <c r="AQ307" s="299"/>
      <c r="AR307" s="299"/>
      <c r="AS307" s="299"/>
    </row>
    <row r="308" spans="1:45" ht="122.4" customHeight="1" thickBot="1" x14ac:dyDescent="0.45">
      <c r="A308" s="299"/>
      <c r="B308" s="299"/>
      <c r="C308" s="299"/>
      <c r="D308" s="639"/>
      <c r="E308" s="299"/>
      <c r="F308" s="392"/>
      <c r="G308" s="299"/>
      <c r="H308" s="299"/>
      <c r="I308" s="299"/>
      <c r="J308" s="299"/>
      <c r="K308" s="299"/>
      <c r="L308" s="299"/>
      <c r="M308" s="299"/>
      <c r="N308" s="299"/>
      <c r="O308" s="299"/>
      <c r="P308" s="51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row>
    <row r="309" spans="1:45" ht="122.4" customHeight="1" thickBot="1" x14ac:dyDescent="0.45">
      <c r="A309" s="299"/>
      <c r="B309" s="299"/>
      <c r="C309" s="299"/>
      <c r="D309" s="639"/>
      <c r="E309" s="299"/>
      <c r="F309" s="392"/>
      <c r="G309" s="299"/>
      <c r="H309" s="299"/>
      <c r="I309" s="299"/>
      <c r="J309" s="299"/>
      <c r="K309" s="299"/>
      <c r="L309" s="299"/>
      <c r="M309" s="299"/>
      <c r="N309" s="299"/>
      <c r="O309" s="299"/>
      <c r="P309" s="519"/>
      <c r="Q309" s="299"/>
      <c r="R309" s="299"/>
      <c r="S309" s="299"/>
      <c r="T309" s="299"/>
      <c r="U309" s="299"/>
      <c r="V309" s="299"/>
      <c r="W309" s="299"/>
      <c r="X309" s="299"/>
      <c r="Y309" s="299"/>
      <c r="Z309" s="299"/>
      <c r="AA309" s="299"/>
      <c r="AB309" s="299"/>
      <c r="AC309" s="299"/>
      <c r="AD309" s="299"/>
      <c r="AE309" s="299"/>
      <c r="AF309" s="299"/>
      <c r="AG309" s="299"/>
      <c r="AH309" s="299"/>
      <c r="AI309" s="299"/>
      <c r="AJ309" s="299"/>
      <c r="AK309" s="299"/>
      <c r="AL309" s="299"/>
      <c r="AM309" s="299"/>
      <c r="AN309" s="299"/>
      <c r="AO309" s="299"/>
      <c r="AP309" s="299"/>
      <c r="AQ309" s="299"/>
      <c r="AR309" s="299"/>
      <c r="AS309" s="299"/>
    </row>
    <row r="310" spans="1:45" ht="122.4" customHeight="1" thickBot="1" x14ac:dyDescent="0.45">
      <c r="A310" s="299"/>
      <c r="B310" s="299"/>
      <c r="C310" s="299"/>
      <c r="D310" s="639"/>
      <c r="E310" s="299"/>
      <c r="F310" s="392"/>
      <c r="G310" s="299"/>
      <c r="H310" s="299"/>
      <c r="I310" s="299"/>
      <c r="J310" s="299"/>
      <c r="K310" s="299"/>
      <c r="L310" s="299"/>
      <c r="M310" s="299"/>
      <c r="N310" s="299"/>
      <c r="O310" s="299"/>
      <c r="P310" s="519"/>
      <c r="Q310" s="299"/>
      <c r="R310" s="299"/>
      <c r="S310" s="299"/>
      <c r="T310" s="299"/>
      <c r="U310" s="299"/>
      <c r="V310" s="299"/>
      <c r="W310" s="299"/>
      <c r="X310" s="299"/>
      <c r="Y310" s="299"/>
      <c r="Z310" s="299"/>
      <c r="AA310" s="299"/>
      <c r="AB310" s="299"/>
      <c r="AC310" s="299"/>
      <c r="AD310" s="299"/>
      <c r="AE310" s="299"/>
      <c r="AF310" s="299"/>
      <c r="AG310" s="299"/>
      <c r="AH310" s="299"/>
      <c r="AI310" s="299"/>
      <c r="AJ310" s="299"/>
      <c r="AK310" s="299"/>
      <c r="AL310" s="299"/>
      <c r="AM310" s="299"/>
      <c r="AN310" s="299"/>
      <c r="AO310" s="299"/>
      <c r="AP310" s="299"/>
      <c r="AQ310" s="299"/>
      <c r="AR310" s="299"/>
      <c r="AS310" s="299"/>
    </row>
    <row r="311" spans="1:45" ht="122.4" customHeight="1" thickBot="1" x14ac:dyDescent="0.45">
      <c r="A311" s="299"/>
      <c r="B311" s="299"/>
      <c r="C311" s="299"/>
      <c r="D311" s="639"/>
      <c r="E311" s="299"/>
      <c r="F311" s="392"/>
      <c r="G311" s="299"/>
      <c r="H311" s="299"/>
      <c r="I311" s="299"/>
      <c r="J311" s="299"/>
      <c r="K311" s="299"/>
      <c r="L311" s="299"/>
      <c r="M311" s="299"/>
      <c r="N311" s="299"/>
      <c r="O311" s="299"/>
      <c r="P311" s="51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row>
    <row r="312" spans="1:45" ht="122.4" customHeight="1" thickBot="1" x14ac:dyDescent="0.45">
      <c r="A312" s="299"/>
      <c r="B312" s="299"/>
      <c r="C312" s="299"/>
      <c r="D312" s="639"/>
      <c r="E312" s="299"/>
      <c r="F312" s="392"/>
      <c r="G312" s="299"/>
      <c r="H312" s="299"/>
      <c r="I312" s="299"/>
      <c r="J312" s="299"/>
      <c r="K312" s="299"/>
      <c r="L312" s="299"/>
      <c r="M312" s="299"/>
      <c r="N312" s="299"/>
      <c r="O312" s="299"/>
      <c r="P312" s="51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row>
    <row r="313" spans="1:45" ht="122.4" customHeight="1" thickBot="1" x14ac:dyDescent="0.45">
      <c r="A313" s="299"/>
      <c r="B313" s="299"/>
      <c r="C313" s="299"/>
      <c r="D313" s="639"/>
      <c r="E313" s="299"/>
      <c r="F313" s="392"/>
      <c r="G313" s="299"/>
      <c r="H313" s="299"/>
      <c r="I313" s="299"/>
      <c r="J313" s="299"/>
      <c r="K313" s="299"/>
      <c r="L313" s="299"/>
      <c r="M313" s="299"/>
      <c r="N313" s="299"/>
      <c r="O313" s="299"/>
      <c r="P313" s="519"/>
      <c r="Q313" s="299"/>
      <c r="R313" s="299"/>
      <c r="S313" s="299"/>
      <c r="T313" s="299"/>
      <c r="U313" s="299"/>
      <c r="V313" s="299"/>
      <c r="W313" s="299"/>
      <c r="X313" s="299"/>
      <c r="Y313" s="299"/>
      <c r="Z313" s="299"/>
      <c r="AA313" s="299"/>
      <c r="AB313" s="299"/>
      <c r="AC313" s="299"/>
      <c r="AD313" s="299"/>
      <c r="AE313" s="299"/>
      <c r="AF313" s="299"/>
      <c r="AG313" s="299"/>
      <c r="AH313" s="299"/>
      <c r="AI313" s="299"/>
      <c r="AJ313" s="299"/>
      <c r="AK313" s="299"/>
      <c r="AL313" s="299"/>
      <c r="AM313" s="299"/>
      <c r="AN313" s="299"/>
      <c r="AO313" s="299"/>
      <c r="AP313" s="299"/>
      <c r="AQ313" s="299"/>
      <c r="AR313" s="299"/>
      <c r="AS313" s="299"/>
    </row>
    <row r="314" spans="1:45" ht="122.4" customHeight="1" thickBot="1" x14ac:dyDescent="0.45">
      <c r="A314" s="299"/>
      <c r="B314" s="299"/>
      <c r="C314" s="299"/>
      <c r="D314" s="639"/>
      <c r="E314" s="299"/>
      <c r="F314" s="392"/>
      <c r="G314" s="299"/>
      <c r="H314" s="299"/>
      <c r="I314" s="299"/>
      <c r="J314" s="299"/>
      <c r="K314" s="299"/>
      <c r="L314" s="299"/>
      <c r="M314" s="299"/>
      <c r="N314" s="299"/>
      <c r="O314" s="299"/>
      <c r="P314" s="51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row>
    <row r="315" spans="1:45" ht="122.4" customHeight="1" thickBot="1" x14ac:dyDescent="0.45">
      <c r="A315" s="299"/>
      <c r="B315" s="299"/>
      <c r="C315" s="299"/>
      <c r="D315" s="639"/>
      <c r="E315" s="299"/>
      <c r="F315" s="392"/>
      <c r="G315" s="299"/>
      <c r="H315" s="299"/>
      <c r="I315" s="299"/>
      <c r="J315" s="299"/>
      <c r="K315" s="299"/>
      <c r="L315" s="299"/>
      <c r="M315" s="299"/>
      <c r="N315" s="299"/>
      <c r="O315" s="299"/>
      <c r="P315" s="519"/>
      <c r="Q315" s="299"/>
      <c r="R315" s="299"/>
      <c r="S315" s="299"/>
      <c r="T315" s="299"/>
      <c r="U315" s="299"/>
      <c r="V315" s="299"/>
      <c r="W315" s="299"/>
      <c r="X315" s="299"/>
      <c r="Y315" s="299"/>
      <c r="Z315" s="299"/>
      <c r="AA315" s="299"/>
      <c r="AB315" s="299"/>
      <c r="AC315" s="299"/>
      <c r="AD315" s="299"/>
      <c r="AE315" s="299"/>
      <c r="AF315" s="299"/>
      <c r="AG315" s="299"/>
      <c r="AH315" s="299"/>
      <c r="AI315" s="299"/>
      <c r="AJ315" s="299"/>
      <c r="AK315" s="299"/>
      <c r="AL315" s="299"/>
      <c r="AM315" s="299"/>
      <c r="AN315" s="299"/>
      <c r="AO315" s="299"/>
      <c r="AP315" s="299"/>
      <c r="AQ315" s="299"/>
      <c r="AR315" s="299"/>
      <c r="AS315" s="299"/>
    </row>
    <row r="316" spans="1:45" ht="122.4" customHeight="1" thickBot="1" x14ac:dyDescent="0.45">
      <c r="A316" s="299"/>
      <c r="B316" s="299"/>
      <c r="C316" s="299"/>
      <c r="D316" s="639"/>
      <c r="E316" s="299"/>
      <c r="F316" s="392"/>
      <c r="G316" s="299"/>
      <c r="H316" s="299"/>
      <c r="I316" s="299"/>
      <c r="J316" s="299"/>
      <c r="K316" s="299"/>
      <c r="L316" s="299"/>
      <c r="M316" s="299"/>
      <c r="N316" s="299"/>
      <c r="O316" s="299"/>
      <c r="P316" s="519"/>
      <c r="Q316" s="299"/>
      <c r="R316" s="299"/>
      <c r="S316" s="299"/>
      <c r="T316" s="299"/>
      <c r="U316" s="299"/>
      <c r="V316" s="299"/>
      <c r="W316" s="299"/>
      <c r="X316" s="299"/>
      <c r="Y316" s="299"/>
      <c r="Z316" s="299"/>
      <c r="AA316" s="299"/>
      <c r="AB316" s="299"/>
      <c r="AC316" s="299"/>
      <c r="AD316" s="299"/>
      <c r="AE316" s="299"/>
      <c r="AF316" s="299"/>
      <c r="AG316" s="299"/>
      <c r="AH316" s="299"/>
      <c r="AI316" s="299"/>
      <c r="AJ316" s="299"/>
      <c r="AK316" s="299"/>
      <c r="AL316" s="299"/>
      <c r="AM316" s="299"/>
      <c r="AN316" s="299"/>
      <c r="AO316" s="299"/>
      <c r="AP316" s="299"/>
      <c r="AQ316" s="299"/>
      <c r="AR316" s="299"/>
      <c r="AS316" s="299"/>
    </row>
    <row r="317" spans="1:45" ht="122.4" customHeight="1" thickBot="1" x14ac:dyDescent="0.45">
      <c r="A317" s="299"/>
      <c r="B317" s="299"/>
      <c r="C317" s="299"/>
      <c r="D317" s="639"/>
      <c r="E317" s="299"/>
      <c r="F317" s="392"/>
      <c r="G317" s="299"/>
      <c r="H317" s="299"/>
      <c r="I317" s="299"/>
      <c r="J317" s="299"/>
      <c r="K317" s="299"/>
      <c r="L317" s="299"/>
      <c r="M317" s="299"/>
      <c r="N317" s="299"/>
      <c r="O317" s="299"/>
      <c r="P317" s="51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row>
    <row r="318" spans="1:45" ht="122.4" customHeight="1" thickBot="1" x14ac:dyDescent="0.45">
      <c r="A318" s="299"/>
      <c r="B318" s="299"/>
      <c r="C318" s="299"/>
      <c r="D318" s="639"/>
      <c r="E318" s="299"/>
      <c r="F318" s="392"/>
      <c r="G318" s="299"/>
      <c r="H318" s="299"/>
      <c r="I318" s="299"/>
      <c r="J318" s="299"/>
      <c r="K318" s="299"/>
      <c r="L318" s="299"/>
      <c r="M318" s="299"/>
      <c r="N318" s="299"/>
      <c r="O318" s="299"/>
      <c r="P318" s="519"/>
      <c r="Q318" s="299"/>
      <c r="R318" s="299"/>
      <c r="S318" s="299"/>
      <c r="T318" s="299"/>
      <c r="U318" s="299"/>
      <c r="V318" s="299"/>
      <c r="W318" s="299"/>
      <c r="X318" s="299"/>
      <c r="Y318" s="299"/>
      <c r="Z318" s="299"/>
      <c r="AA318" s="299"/>
      <c r="AB318" s="299"/>
      <c r="AC318" s="299"/>
      <c r="AD318" s="299"/>
      <c r="AE318" s="299"/>
      <c r="AF318" s="299"/>
      <c r="AG318" s="299"/>
      <c r="AH318" s="299"/>
      <c r="AI318" s="299"/>
      <c r="AJ318" s="299"/>
      <c r="AK318" s="299"/>
      <c r="AL318" s="299"/>
      <c r="AM318" s="299"/>
      <c r="AN318" s="299"/>
      <c r="AO318" s="299"/>
      <c r="AP318" s="299"/>
      <c r="AQ318" s="299"/>
      <c r="AR318" s="299"/>
      <c r="AS318" s="299"/>
    </row>
    <row r="319" spans="1:45" ht="122.4" customHeight="1" thickBot="1" x14ac:dyDescent="0.45">
      <c r="A319" s="299"/>
      <c r="B319" s="299"/>
      <c r="C319" s="299"/>
      <c r="D319" s="639"/>
      <c r="E319" s="299"/>
      <c r="F319" s="392"/>
      <c r="G319" s="299"/>
      <c r="H319" s="299"/>
      <c r="I319" s="299"/>
      <c r="J319" s="299"/>
      <c r="K319" s="299"/>
      <c r="L319" s="299"/>
      <c r="M319" s="299"/>
      <c r="N319" s="299"/>
      <c r="O319" s="299"/>
      <c r="P319" s="519"/>
      <c r="Q319" s="299"/>
      <c r="R319" s="299"/>
      <c r="S319" s="299"/>
      <c r="T319" s="299"/>
      <c r="U319" s="299"/>
      <c r="V319" s="299"/>
      <c r="W319" s="299"/>
      <c r="X319" s="299"/>
      <c r="Y319" s="299"/>
      <c r="Z319" s="299"/>
      <c r="AA319" s="299"/>
      <c r="AB319" s="299"/>
      <c r="AC319" s="299"/>
      <c r="AD319" s="299"/>
      <c r="AE319" s="299"/>
      <c r="AF319" s="299"/>
      <c r="AG319" s="299"/>
      <c r="AH319" s="299"/>
      <c r="AI319" s="299"/>
      <c r="AJ319" s="299"/>
      <c r="AK319" s="299"/>
      <c r="AL319" s="299"/>
      <c r="AM319" s="299"/>
      <c r="AN319" s="299"/>
      <c r="AO319" s="299"/>
      <c r="AP319" s="299"/>
      <c r="AQ319" s="299"/>
      <c r="AR319" s="299"/>
      <c r="AS319" s="299"/>
    </row>
    <row r="320" spans="1:45" ht="122.4" customHeight="1" thickBot="1" x14ac:dyDescent="0.45">
      <c r="A320" s="299"/>
      <c r="B320" s="299"/>
      <c r="C320" s="299"/>
      <c r="D320" s="639"/>
      <c r="E320" s="299"/>
      <c r="F320" s="392"/>
      <c r="G320" s="299"/>
      <c r="H320" s="299"/>
      <c r="I320" s="299"/>
      <c r="J320" s="299"/>
      <c r="K320" s="299"/>
      <c r="L320" s="299"/>
      <c r="M320" s="299"/>
      <c r="N320" s="299"/>
      <c r="O320" s="299"/>
      <c r="P320" s="519"/>
      <c r="Q320" s="299"/>
      <c r="R320" s="299"/>
      <c r="S320" s="299"/>
      <c r="T320" s="299"/>
      <c r="U320" s="299"/>
      <c r="V320" s="299"/>
      <c r="W320" s="299"/>
      <c r="X320" s="299"/>
      <c r="Y320" s="299"/>
      <c r="Z320" s="299"/>
      <c r="AA320" s="299"/>
      <c r="AB320" s="299"/>
      <c r="AC320" s="299"/>
      <c r="AD320" s="299"/>
      <c r="AE320" s="299"/>
      <c r="AF320" s="299"/>
      <c r="AG320" s="299"/>
      <c r="AH320" s="299"/>
      <c r="AI320" s="299"/>
      <c r="AJ320" s="299"/>
      <c r="AK320" s="299"/>
      <c r="AL320" s="299"/>
      <c r="AM320" s="299"/>
      <c r="AN320" s="299"/>
      <c r="AO320" s="299"/>
      <c r="AP320" s="299"/>
      <c r="AQ320" s="299"/>
      <c r="AR320" s="299"/>
      <c r="AS320" s="299"/>
    </row>
    <row r="321" spans="1:45" ht="122.4" customHeight="1" thickBot="1" x14ac:dyDescent="0.45">
      <c r="A321" s="299"/>
      <c r="B321" s="299"/>
      <c r="C321" s="299"/>
      <c r="D321" s="639"/>
      <c r="E321" s="299"/>
      <c r="F321" s="392"/>
      <c r="G321" s="299"/>
      <c r="H321" s="299"/>
      <c r="I321" s="299"/>
      <c r="J321" s="299"/>
      <c r="K321" s="299"/>
      <c r="L321" s="299"/>
      <c r="M321" s="299"/>
      <c r="N321" s="299"/>
      <c r="O321" s="299"/>
      <c r="P321" s="519"/>
      <c r="Q321" s="299"/>
      <c r="R321" s="299"/>
      <c r="S321" s="299"/>
      <c r="T321" s="299"/>
      <c r="U321" s="299"/>
      <c r="V321" s="299"/>
      <c r="W321" s="299"/>
      <c r="X321" s="299"/>
      <c r="Y321" s="299"/>
      <c r="Z321" s="299"/>
      <c r="AA321" s="299"/>
      <c r="AB321" s="299"/>
      <c r="AC321" s="299"/>
      <c r="AD321" s="299"/>
      <c r="AE321" s="299"/>
      <c r="AF321" s="299"/>
      <c r="AG321" s="299"/>
      <c r="AH321" s="299"/>
      <c r="AI321" s="299"/>
      <c r="AJ321" s="299"/>
      <c r="AK321" s="299"/>
      <c r="AL321" s="299"/>
      <c r="AM321" s="299"/>
      <c r="AN321" s="299"/>
      <c r="AO321" s="299"/>
      <c r="AP321" s="299"/>
      <c r="AQ321" s="299"/>
      <c r="AR321" s="299"/>
      <c r="AS321" s="299"/>
    </row>
    <row r="322" spans="1:45" ht="122.4" customHeight="1" thickBot="1" x14ac:dyDescent="0.45">
      <c r="A322" s="299"/>
      <c r="B322" s="299"/>
      <c r="C322" s="299"/>
      <c r="D322" s="639"/>
      <c r="E322" s="299"/>
      <c r="F322" s="392"/>
      <c r="G322" s="299"/>
      <c r="H322" s="299"/>
      <c r="I322" s="299"/>
      <c r="J322" s="299"/>
      <c r="K322" s="299"/>
      <c r="L322" s="299"/>
      <c r="M322" s="299"/>
      <c r="N322" s="299"/>
      <c r="O322" s="299"/>
      <c r="P322" s="51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row>
    <row r="323" spans="1:45" ht="122.4" customHeight="1" thickBot="1" x14ac:dyDescent="0.45">
      <c r="A323" s="299"/>
      <c r="B323" s="299"/>
      <c r="C323" s="299"/>
      <c r="D323" s="639"/>
      <c r="E323" s="299"/>
      <c r="F323" s="392"/>
      <c r="G323" s="299"/>
      <c r="H323" s="299"/>
      <c r="I323" s="299"/>
      <c r="J323" s="299"/>
      <c r="K323" s="299"/>
      <c r="L323" s="299"/>
      <c r="M323" s="299"/>
      <c r="N323" s="299"/>
      <c r="O323" s="299"/>
      <c r="P323" s="519"/>
      <c r="Q323" s="299"/>
      <c r="R323" s="299"/>
      <c r="S323" s="299"/>
      <c r="T323" s="299"/>
      <c r="U323" s="299"/>
      <c r="V323" s="299"/>
      <c r="W323" s="299"/>
      <c r="X323" s="299"/>
      <c r="Y323" s="299"/>
      <c r="Z323" s="299"/>
      <c r="AA323" s="299"/>
      <c r="AB323" s="299"/>
      <c r="AC323" s="299"/>
      <c r="AD323" s="299"/>
      <c r="AE323" s="299"/>
      <c r="AF323" s="299"/>
      <c r="AG323" s="299"/>
      <c r="AH323" s="299"/>
      <c r="AI323" s="299"/>
      <c r="AJ323" s="299"/>
      <c r="AK323" s="299"/>
      <c r="AL323" s="299"/>
      <c r="AM323" s="299"/>
      <c r="AN323" s="299"/>
      <c r="AO323" s="299"/>
      <c r="AP323" s="299"/>
      <c r="AQ323" s="299"/>
      <c r="AR323" s="299"/>
      <c r="AS323" s="299"/>
    </row>
    <row r="324" spans="1:45" ht="122.4" customHeight="1" thickBot="1" x14ac:dyDescent="0.45">
      <c r="A324" s="299"/>
      <c r="B324" s="299"/>
      <c r="C324" s="299"/>
      <c r="D324" s="639"/>
      <c r="E324" s="299"/>
      <c r="F324" s="392"/>
      <c r="G324" s="299"/>
      <c r="H324" s="299"/>
      <c r="I324" s="299"/>
      <c r="J324" s="299"/>
      <c r="K324" s="299"/>
      <c r="L324" s="299"/>
      <c r="M324" s="299"/>
      <c r="N324" s="299"/>
      <c r="O324" s="299"/>
      <c r="P324" s="519"/>
      <c r="Q324" s="299"/>
      <c r="R324" s="299"/>
      <c r="S324" s="299"/>
      <c r="T324" s="299"/>
      <c r="U324" s="299"/>
      <c r="V324" s="299"/>
      <c r="W324" s="299"/>
      <c r="X324" s="299"/>
      <c r="Y324" s="299"/>
      <c r="Z324" s="299"/>
      <c r="AA324" s="299"/>
      <c r="AB324" s="299"/>
      <c r="AC324" s="299"/>
      <c r="AD324" s="299"/>
      <c r="AE324" s="299"/>
      <c r="AF324" s="299"/>
      <c r="AG324" s="299"/>
      <c r="AH324" s="299"/>
      <c r="AI324" s="299"/>
      <c r="AJ324" s="299"/>
      <c r="AK324" s="299"/>
      <c r="AL324" s="299"/>
      <c r="AM324" s="299"/>
      <c r="AN324" s="299"/>
      <c r="AO324" s="299"/>
      <c r="AP324" s="299"/>
      <c r="AQ324" s="299"/>
      <c r="AR324" s="299"/>
      <c r="AS324" s="299"/>
    </row>
    <row r="325" spans="1:45" ht="122.4" customHeight="1" thickBot="1" x14ac:dyDescent="0.45">
      <c r="A325" s="299"/>
      <c r="B325" s="299"/>
      <c r="C325" s="299"/>
      <c r="D325" s="639"/>
      <c r="E325" s="299"/>
      <c r="F325" s="392"/>
      <c r="G325" s="299"/>
      <c r="H325" s="299"/>
      <c r="I325" s="299"/>
      <c r="J325" s="299"/>
      <c r="K325" s="299"/>
      <c r="L325" s="299"/>
      <c r="M325" s="299"/>
      <c r="N325" s="299"/>
      <c r="O325" s="299"/>
      <c r="P325" s="519"/>
      <c r="Q325" s="299"/>
      <c r="R325" s="299"/>
      <c r="S325" s="299"/>
      <c r="T325" s="299"/>
      <c r="U325" s="299"/>
      <c r="V325" s="299"/>
      <c r="W325" s="299"/>
      <c r="X325" s="299"/>
      <c r="Y325" s="299"/>
      <c r="Z325" s="299"/>
      <c r="AA325" s="299"/>
      <c r="AB325" s="299"/>
      <c r="AC325" s="299"/>
      <c r="AD325" s="299"/>
      <c r="AE325" s="299"/>
      <c r="AF325" s="299"/>
      <c r="AG325" s="299"/>
      <c r="AH325" s="299"/>
      <c r="AI325" s="299"/>
      <c r="AJ325" s="299"/>
      <c r="AK325" s="299"/>
      <c r="AL325" s="299"/>
      <c r="AM325" s="299"/>
      <c r="AN325" s="299"/>
      <c r="AO325" s="299"/>
      <c r="AP325" s="299"/>
      <c r="AQ325" s="299"/>
      <c r="AR325" s="299"/>
      <c r="AS325" s="299"/>
    </row>
    <row r="326" spans="1:45" ht="122.4" customHeight="1" thickBot="1" x14ac:dyDescent="0.45">
      <c r="A326" s="299"/>
      <c r="B326" s="299"/>
      <c r="C326" s="299"/>
      <c r="D326" s="639"/>
      <c r="E326" s="299"/>
      <c r="F326" s="392"/>
      <c r="G326" s="299"/>
      <c r="H326" s="299"/>
      <c r="I326" s="299"/>
      <c r="J326" s="299"/>
      <c r="K326" s="299"/>
      <c r="L326" s="299"/>
      <c r="M326" s="299"/>
      <c r="N326" s="299"/>
      <c r="O326" s="299"/>
      <c r="P326" s="519"/>
      <c r="Q326" s="299"/>
      <c r="R326" s="299"/>
      <c r="S326" s="299"/>
      <c r="T326" s="299"/>
      <c r="U326" s="299"/>
      <c r="V326" s="299"/>
      <c r="W326" s="299"/>
      <c r="X326" s="299"/>
      <c r="Y326" s="299"/>
      <c r="Z326" s="299"/>
      <c r="AA326" s="299"/>
      <c r="AB326" s="299"/>
      <c r="AC326" s="299"/>
      <c r="AD326" s="299"/>
      <c r="AE326" s="299"/>
      <c r="AF326" s="299"/>
      <c r="AG326" s="299"/>
      <c r="AH326" s="299"/>
      <c r="AI326" s="299"/>
      <c r="AJ326" s="299"/>
      <c r="AK326" s="299"/>
      <c r="AL326" s="299"/>
      <c r="AM326" s="299"/>
      <c r="AN326" s="299"/>
      <c r="AO326" s="299"/>
      <c r="AP326" s="299"/>
      <c r="AQ326" s="299"/>
      <c r="AR326" s="299"/>
      <c r="AS326" s="299"/>
    </row>
    <row r="327" spans="1:45" ht="122.4" customHeight="1" thickBot="1" x14ac:dyDescent="0.45">
      <c r="A327" s="299"/>
      <c r="B327" s="299"/>
      <c r="C327" s="299"/>
      <c r="D327" s="639"/>
      <c r="E327" s="299"/>
      <c r="F327" s="392"/>
      <c r="G327" s="299"/>
      <c r="H327" s="299"/>
      <c r="I327" s="299"/>
      <c r="J327" s="299"/>
      <c r="K327" s="299"/>
      <c r="L327" s="299"/>
      <c r="M327" s="299"/>
      <c r="N327" s="299"/>
      <c r="O327" s="299"/>
      <c r="P327" s="519"/>
      <c r="Q327" s="299"/>
      <c r="R327" s="299"/>
      <c r="S327" s="299"/>
      <c r="T327" s="299"/>
      <c r="U327" s="299"/>
      <c r="V327" s="299"/>
      <c r="W327" s="299"/>
      <c r="X327" s="299"/>
      <c r="Y327" s="299"/>
      <c r="Z327" s="299"/>
      <c r="AA327" s="299"/>
      <c r="AB327" s="299"/>
      <c r="AC327" s="299"/>
      <c r="AD327" s="299"/>
      <c r="AE327" s="299"/>
      <c r="AF327" s="299"/>
      <c r="AG327" s="299"/>
      <c r="AH327" s="299"/>
      <c r="AI327" s="299"/>
      <c r="AJ327" s="299"/>
      <c r="AK327" s="299"/>
      <c r="AL327" s="299"/>
      <c r="AM327" s="299"/>
      <c r="AN327" s="299"/>
      <c r="AO327" s="299"/>
      <c r="AP327" s="299"/>
      <c r="AQ327" s="299"/>
      <c r="AR327" s="299"/>
      <c r="AS327" s="299"/>
    </row>
    <row r="328" spans="1:45" ht="122.4" customHeight="1" thickBot="1" x14ac:dyDescent="0.45">
      <c r="A328" s="299"/>
      <c r="B328" s="299"/>
      <c r="C328" s="299"/>
      <c r="D328" s="639"/>
      <c r="E328" s="299"/>
      <c r="F328" s="392"/>
      <c r="G328" s="299"/>
      <c r="H328" s="299"/>
      <c r="I328" s="299"/>
      <c r="J328" s="299"/>
      <c r="K328" s="299"/>
      <c r="L328" s="299"/>
      <c r="M328" s="299"/>
      <c r="N328" s="299"/>
      <c r="O328" s="299"/>
      <c r="P328" s="519"/>
      <c r="Q328" s="299"/>
      <c r="R328" s="299"/>
      <c r="S328" s="299"/>
      <c r="T328" s="299"/>
      <c r="U328" s="299"/>
      <c r="V328" s="299"/>
      <c r="W328" s="299"/>
      <c r="X328" s="299"/>
      <c r="Y328" s="299"/>
      <c r="Z328" s="299"/>
      <c r="AA328" s="299"/>
      <c r="AB328" s="299"/>
      <c r="AC328" s="299"/>
      <c r="AD328" s="299"/>
      <c r="AE328" s="299"/>
      <c r="AF328" s="299"/>
      <c r="AG328" s="299"/>
      <c r="AH328" s="299"/>
      <c r="AI328" s="299"/>
      <c r="AJ328" s="299"/>
      <c r="AK328" s="299"/>
      <c r="AL328" s="299"/>
      <c r="AM328" s="299"/>
      <c r="AN328" s="299"/>
      <c r="AO328" s="299"/>
      <c r="AP328" s="299"/>
      <c r="AQ328" s="299"/>
      <c r="AR328" s="299"/>
      <c r="AS328" s="299"/>
    </row>
    <row r="329" spans="1:45" ht="122.4" customHeight="1" thickBot="1" x14ac:dyDescent="0.45">
      <c r="A329" s="299"/>
      <c r="B329" s="299"/>
      <c r="C329" s="299"/>
      <c r="D329" s="639"/>
      <c r="E329" s="299"/>
      <c r="F329" s="392"/>
      <c r="G329" s="299"/>
      <c r="H329" s="299"/>
      <c r="I329" s="299"/>
      <c r="J329" s="299"/>
      <c r="K329" s="299"/>
      <c r="L329" s="299"/>
      <c r="M329" s="299"/>
      <c r="N329" s="299"/>
      <c r="O329" s="299"/>
      <c r="P329" s="519"/>
      <c r="Q329" s="299"/>
      <c r="R329" s="299"/>
      <c r="S329" s="299"/>
      <c r="T329" s="299"/>
      <c r="U329" s="299"/>
      <c r="V329" s="299"/>
      <c r="W329" s="299"/>
      <c r="X329" s="299"/>
      <c r="Y329" s="299"/>
      <c r="Z329" s="299"/>
      <c r="AA329" s="299"/>
      <c r="AB329" s="299"/>
      <c r="AC329" s="299"/>
      <c r="AD329" s="299"/>
      <c r="AE329" s="299"/>
      <c r="AF329" s="299"/>
      <c r="AG329" s="299"/>
      <c r="AH329" s="299"/>
      <c r="AI329" s="299"/>
      <c r="AJ329" s="299"/>
      <c r="AK329" s="299"/>
      <c r="AL329" s="299"/>
      <c r="AM329" s="299"/>
      <c r="AN329" s="299"/>
      <c r="AO329" s="299"/>
      <c r="AP329" s="299"/>
      <c r="AQ329" s="299"/>
      <c r="AR329" s="299"/>
      <c r="AS329" s="299"/>
    </row>
    <row r="330" spans="1:45" ht="122.4" customHeight="1" thickBot="1" x14ac:dyDescent="0.45">
      <c r="A330" s="299"/>
      <c r="B330" s="299"/>
      <c r="C330" s="299"/>
      <c r="D330" s="639"/>
      <c r="E330" s="299"/>
      <c r="F330" s="392"/>
      <c r="G330" s="299"/>
      <c r="H330" s="299"/>
      <c r="I330" s="299"/>
      <c r="J330" s="299"/>
      <c r="K330" s="299"/>
      <c r="L330" s="299"/>
      <c r="M330" s="299"/>
      <c r="N330" s="299"/>
      <c r="O330" s="299"/>
      <c r="P330" s="519"/>
      <c r="Q330" s="299"/>
      <c r="R330" s="299"/>
      <c r="S330" s="299"/>
      <c r="T330" s="299"/>
      <c r="U330" s="299"/>
      <c r="V330" s="299"/>
      <c r="W330" s="299"/>
      <c r="X330" s="299"/>
      <c r="Y330" s="299"/>
      <c r="Z330" s="299"/>
      <c r="AA330" s="299"/>
      <c r="AB330" s="299"/>
      <c r="AC330" s="299"/>
      <c r="AD330" s="299"/>
      <c r="AE330" s="299"/>
      <c r="AF330" s="299"/>
      <c r="AG330" s="299"/>
      <c r="AH330" s="299"/>
      <c r="AI330" s="299"/>
      <c r="AJ330" s="299"/>
      <c r="AK330" s="299"/>
      <c r="AL330" s="299"/>
      <c r="AM330" s="299"/>
      <c r="AN330" s="299"/>
      <c r="AO330" s="299"/>
      <c r="AP330" s="299"/>
      <c r="AQ330" s="299"/>
      <c r="AR330" s="299"/>
      <c r="AS330" s="299"/>
    </row>
    <row r="331" spans="1:45" ht="122.4" customHeight="1" thickBot="1" x14ac:dyDescent="0.45">
      <c r="A331" s="299"/>
      <c r="B331" s="299"/>
      <c r="C331" s="299"/>
      <c r="D331" s="639"/>
      <c r="E331" s="299"/>
      <c r="F331" s="392"/>
      <c r="G331" s="299"/>
      <c r="H331" s="299"/>
      <c r="I331" s="299"/>
      <c r="J331" s="299"/>
      <c r="K331" s="299"/>
      <c r="L331" s="299"/>
      <c r="M331" s="299"/>
      <c r="N331" s="299"/>
      <c r="O331" s="299"/>
      <c r="P331" s="519"/>
      <c r="Q331" s="299"/>
      <c r="R331" s="299"/>
      <c r="S331" s="299"/>
      <c r="T331" s="299"/>
      <c r="U331" s="299"/>
      <c r="V331" s="299"/>
      <c r="W331" s="299"/>
      <c r="X331" s="299"/>
      <c r="Y331" s="299"/>
      <c r="Z331" s="299"/>
      <c r="AA331" s="299"/>
      <c r="AB331" s="299"/>
      <c r="AC331" s="299"/>
      <c r="AD331" s="299"/>
      <c r="AE331" s="299"/>
      <c r="AF331" s="299"/>
      <c r="AG331" s="299"/>
      <c r="AH331" s="299"/>
      <c r="AI331" s="299"/>
      <c r="AJ331" s="299"/>
      <c r="AK331" s="299"/>
      <c r="AL331" s="299"/>
      <c r="AM331" s="299"/>
      <c r="AN331" s="299"/>
      <c r="AO331" s="299"/>
      <c r="AP331" s="299"/>
      <c r="AQ331" s="299"/>
      <c r="AR331" s="299"/>
      <c r="AS331" s="299"/>
    </row>
    <row r="332" spans="1:45" ht="122.4" customHeight="1" thickBot="1" x14ac:dyDescent="0.45">
      <c r="A332" s="299"/>
      <c r="B332" s="299"/>
      <c r="C332" s="299"/>
      <c r="D332" s="639"/>
      <c r="E332" s="299"/>
      <c r="F332" s="392"/>
      <c r="G332" s="299"/>
      <c r="H332" s="299"/>
      <c r="I332" s="299"/>
      <c r="J332" s="299"/>
      <c r="K332" s="299"/>
      <c r="L332" s="299"/>
      <c r="M332" s="299"/>
      <c r="N332" s="299"/>
      <c r="O332" s="299"/>
      <c r="P332" s="519"/>
      <c r="Q332" s="299"/>
      <c r="R332" s="299"/>
      <c r="S332" s="299"/>
      <c r="T332" s="299"/>
      <c r="U332" s="299"/>
      <c r="V332" s="299"/>
      <c r="W332" s="299"/>
      <c r="X332" s="299"/>
      <c r="Y332" s="299"/>
      <c r="Z332" s="299"/>
      <c r="AA332" s="299"/>
      <c r="AB332" s="299"/>
      <c r="AC332" s="299"/>
      <c r="AD332" s="299"/>
      <c r="AE332" s="299"/>
      <c r="AF332" s="299"/>
      <c r="AG332" s="299"/>
      <c r="AH332" s="299"/>
      <c r="AI332" s="299"/>
      <c r="AJ332" s="299"/>
      <c r="AK332" s="299"/>
      <c r="AL332" s="299"/>
      <c r="AM332" s="299"/>
      <c r="AN332" s="299"/>
      <c r="AO332" s="299"/>
      <c r="AP332" s="299"/>
      <c r="AQ332" s="299"/>
      <c r="AR332" s="299"/>
      <c r="AS332" s="299"/>
    </row>
    <row r="333" spans="1:45" ht="122.4" customHeight="1" thickBot="1" x14ac:dyDescent="0.45">
      <c r="A333" s="299"/>
      <c r="B333" s="299"/>
      <c r="C333" s="299"/>
      <c r="D333" s="639"/>
      <c r="E333" s="299"/>
      <c r="F333" s="392"/>
      <c r="G333" s="299"/>
      <c r="H333" s="299"/>
      <c r="I333" s="299"/>
      <c r="J333" s="299"/>
      <c r="K333" s="299"/>
      <c r="L333" s="299"/>
      <c r="M333" s="299"/>
      <c r="N333" s="299"/>
      <c r="O333" s="299"/>
      <c r="P333" s="519"/>
      <c r="Q333" s="299"/>
      <c r="R333" s="299"/>
      <c r="S333" s="299"/>
      <c r="T333" s="299"/>
      <c r="U333" s="299"/>
      <c r="V333" s="299"/>
      <c r="W333" s="299"/>
      <c r="X333" s="299"/>
      <c r="Y333" s="299"/>
      <c r="Z333" s="299"/>
      <c r="AA333" s="299"/>
      <c r="AB333" s="299"/>
      <c r="AC333" s="299"/>
      <c r="AD333" s="299"/>
      <c r="AE333" s="299"/>
      <c r="AF333" s="299"/>
      <c r="AG333" s="299"/>
      <c r="AH333" s="299"/>
      <c r="AI333" s="299"/>
      <c r="AJ333" s="299"/>
      <c r="AK333" s="299"/>
      <c r="AL333" s="299"/>
      <c r="AM333" s="299"/>
      <c r="AN333" s="299"/>
      <c r="AO333" s="299"/>
      <c r="AP333" s="299"/>
      <c r="AQ333" s="299"/>
      <c r="AR333" s="299"/>
      <c r="AS333" s="299"/>
    </row>
    <row r="334" spans="1:45" ht="122.4" customHeight="1" thickBot="1" x14ac:dyDescent="0.45">
      <c r="A334" s="299"/>
      <c r="B334" s="299"/>
      <c r="C334" s="299"/>
      <c r="D334" s="639"/>
      <c r="E334" s="299"/>
      <c r="F334" s="392"/>
      <c r="G334" s="299"/>
      <c r="H334" s="299"/>
      <c r="I334" s="299"/>
      <c r="J334" s="299"/>
      <c r="K334" s="299"/>
      <c r="L334" s="299"/>
      <c r="M334" s="299"/>
      <c r="N334" s="299"/>
      <c r="O334" s="299"/>
      <c r="P334" s="519"/>
      <c r="Q334" s="299"/>
      <c r="R334" s="299"/>
      <c r="S334" s="299"/>
      <c r="T334" s="299"/>
      <c r="U334" s="299"/>
      <c r="V334" s="299"/>
      <c r="W334" s="299"/>
      <c r="X334" s="299"/>
      <c r="Y334" s="299"/>
      <c r="Z334" s="299"/>
      <c r="AA334" s="299"/>
      <c r="AB334" s="299"/>
      <c r="AC334" s="299"/>
      <c r="AD334" s="299"/>
      <c r="AE334" s="299"/>
      <c r="AF334" s="299"/>
      <c r="AG334" s="299"/>
      <c r="AH334" s="299"/>
      <c r="AI334" s="299"/>
      <c r="AJ334" s="299"/>
      <c r="AK334" s="299"/>
      <c r="AL334" s="299"/>
      <c r="AM334" s="299"/>
      <c r="AN334" s="299"/>
      <c r="AO334" s="299"/>
      <c r="AP334" s="299"/>
      <c r="AQ334" s="299"/>
      <c r="AR334" s="299"/>
      <c r="AS334" s="299"/>
    </row>
    <row r="335" spans="1:45" ht="122.4" customHeight="1" thickBot="1" x14ac:dyDescent="0.45">
      <c r="A335" s="299"/>
      <c r="B335" s="299"/>
      <c r="C335" s="299"/>
      <c r="D335" s="639"/>
      <c r="E335" s="299"/>
      <c r="F335" s="392"/>
      <c r="G335" s="299"/>
      <c r="H335" s="299"/>
      <c r="I335" s="299"/>
      <c r="J335" s="299"/>
      <c r="K335" s="299"/>
      <c r="L335" s="299"/>
      <c r="M335" s="299"/>
      <c r="N335" s="299"/>
      <c r="O335" s="299"/>
      <c r="P335" s="51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row>
    <row r="336" spans="1:45" ht="122.4" customHeight="1" thickBot="1" x14ac:dyDescent="0.45">
      <c r="A336" s="299"/>
      <c r="B336" s="299"/>
      <c r="C336" s="299"/>
      <c r="D336" s="639"/>
      <c r="E336" s="299"/>
      <c r="F336" s="392"/>
      <c r="G336" s="299"/>
      <c r="H336" s="299"/>
      <c r="I336" s="299"/>
      <c r="J336" s="299"/>
      <c r="K336" s="299"/>
      <c r="L336" s="299"/>
      <c r="M336" s="299"/>
      <c r="N336" s="299"/>
      <c r="O336" s="299"/>
      <c r="P336" s="519"/>
      <c r="Q336" s="299"/>
      <c r="R336" s="299"/>
      <c r="S336" s="299"/>
      <c r="T336" s="299"/>
      <c r="U336" s="299"/>
      <c r="V336" s="299"/>
      <c r="W336" s="299"/>
      <c r="X336" s="299"/>
      <c r="Y336" s="299"/>
      <c r="Z336" s="299"/>
      <c r="AA336" s="299"/>
      <c r="AB336" s="299"/>
      <c r="AC336" s="299"/>
      <c r="AD336" s="299"/>
      <c r="AE336" s="299"/>
      <c r="AF336" s="299"/>
      <c r="AG336" s="299"/>
      <c r="AH336" s="299"/>
      <c r="AI336" s="299"/>
      <c r="AJ336" s="299"/>
      <c r="AK336" s="299"/>
      <c r="AL336" s="299"/>
      <c r="AM336" s="299"/>
      <c r="AN336" s="299"/>
      <c r="AO336" s="299"/>
      <c r="AP336" s="299"/>
      <c r="AQ336" s="299"/>
      <c r="AR336" s="299"/>
      <c r="AS336" s="299"/>
    </row>
    <row r="337" spans="1:45" ht="122.4" customHeight="1" thickBot="1" x14ac:dyDescent="0.45">
      <c r="A337" s="299"/>
      <c r="B337" s="299"/>
      <c r="C337" s="299"/>
      <c r="D337" s="639"/>
      <c r="E337" s="299"/>
      <c r="F337" s="392"/>
      <c r="G337" s="299"/>
      <c r="H337" s="299"/>
      <c r="I337" s="299"/>
      <c r="J337" s="299"/>
      <c r="K337" s="299"/>
      <c r="L337" s="299"/>
      <c r="M337" s="299"/>
      <c r="N337" s="299"/>
      <c r="O337" s="299"/>
      <c r="P337" s="519"/>
      <c r="Q337" s="299"/>
      <c r="R337" s="299"/>
      <c r="S337" s="299"/>
      <c r="T337" s="299"/>
      <c r="U337" s="299"/>
      <c r="V337" s="299"/>
      <c r="W337" s="299"/>
      <c r="X337" s="299"/>
      <c r="Y337" s="299"/>
      <c r="Z337" s="299"/>
      <c r="AA337" s="299"/>
      <c r="AB337" s="299"/>
      <c r="AC337" s="299"/>
      <c r="AD337" s="299"/>
      <c r="AE337" s="299"/>
      <c r="AF337" s="299"/>
      <c r="AG337" s="299"/>
      <c r="AH337" s="299"/>
      <c r="AI337" s="299"/>
      <c r="AJ337" s="299"/>
      <c r="AK337" s="299"/>
      <c r="AL337" s="299"/>
      <c r="AM337" s="299"/>
      <c r="AN337" s="299"/>
      <c r="AO337" s="299"/>
      <c r="AP337" s="299"/>
      <c r="AQ337" s="299"/>
      <c r="AR337" s="299"/>
      <c r="AS337" s="299"/>
    </row>
    <row r="338" spans="1:45" ht="122.4" customHeight="1" thickBot="1" x14ac:dyDescent="0.45">
      <c r="A338" s="299"/>
      <c r="B338" s="299"/>
      <c r="C338" s="299"/>
      <c r="D338" s="639"/>
      <c r="E338" s="299"/>
      <c r="F338" s="392"/>
      <c r="G338" s="299"/>
      <c r="H338" s="299"/>
      <c r="I338" s="299"/>
      <c r="J338" s="299"/>
      <c r="K338" s="299"/>
      <c r="L338" s="299"/>
      <c r="M338" s="299"/>
      <c r="N338" s="299"/>
      <c r="O338" s="299"/>
      <c r="P338" s="51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row>
    <row r="339" spans="1:45" ht="122.4" customHeight="1" thickBot="1" x14ac:dyDescent="0.45">
      <c r="A339" s="299"/>
      <c r="B339" s="299"/>
      <c r="C339" s="299"/>
      <c r="D339" s="639"/>
      <c r="E339" s="299"/>
      <c r="F339" s="392"/>
      <c r="G339" s="299"/>
      <c r="H339" s="299"/>
      <c r="I339" s="299"/>
      <c r="J339" s="299"/>
      <c r="K339" s="299"/>
      <c r="L339" s="299"/>
      <c r="M339" s="299"/>
      <c r="N339" s="299"/>
      <c r="O339" s="299"/>
      <c r="P339" s="519"/>
      <c r="Q339" s="299"/>
      <c r="R339" s="299"/>
      <c r="S339" s="299"/>
      <c r="T339" s="299"/>
      <c r="U339" s="299"/>
      <c r="V339" s="299"/>
      <c r="W339" s="299"/>
      <c r="X339" s="299"/>
      <c r="Y339" s="299"/>
      <c r="Z339" s="299"/>
      <c r="AA339" s="299"/>
      <c r="AB339" s="299"/>
      <c r="AC339" s="299"/>
      <c r="AD339" s="299"/>
      <c r="AE339" s="299"/>
      <c r="AF339" s="299"/>
      <c r="AG339" s="299"/>
      <c r="AH339" s="299"/>
      <c r="AI339" s="299"/>
      <c r="AJ339" s="299"/>
      <c r="AK339" s="299"/>
      <c r="AL339" s="299"/>
      <c r="AM339" s="299"/>
      <c r="AN339" s="299"/>
      <c r="AO339" s="299"/>
      <c r="AP339" s="299"/>
      <c r="AQ339" s="299"/>
      <c r="AR339" s="299"/>
      <c r="AS339" s="299"/>
    </row>
    <row r="340" spans="1:45" ht="122.4" customHeight="1" thickBot="1" x14ac:dyDescent="0.45">
      <c r="A340" s="299"/>
      <c r="B340" s="299"/>
      <c r="C340" s="299"/>
      <c r="D340" s="639"/>
      <c r="E340" s="299"/>
      <c r="F340" s="392"/>
      <c r="G340" s="299"/>
      <c r="H340" s="299"/>
      <c r="I340" s="299"/>
      <c r="J340" s="299"/>
      <c r="K340" s="299"/>
      <c r="L340" s="299"/>
      <c r="M340" s="299"/>
      <c r="N340" s="299"/>
      <c r="O340" s="299"/>
      <c r="P340" s="519"/>
      <c r="Q340" s="299"/>
      <c r="R340" s="299"/>
      <c r="S340" s="299"/>
      <c r="T340" s="299"/>
      <c r="U340" s="299"/>
      <c r="V340" s="299"/>
      <c r="W340" s="299"/>
      <c r="X340" s="299"/>
      <c r="Y340" s="299"/>
      <c r="Z340" s="299"/>
      <c r="AA340" s="299"/>
      <c r="AB340" s="299"/>
      <c r="AC340" s="299"/>
      <c r="AD340" s="299"/>
      <c r="AE340" s="299"/>
      <c r="AF340" s="299"/>
      <c r="AG340" s="299"/>
      <c r="AH340" s="299"/>
      <c r="AI340" s="299"/>
      <c r="AJ340" s="299"/>
      <c r="AK340" s="299"/>
      <c r="AL340" s="299"/>
      <c r="AM340" s="299"/>
      <c r="AN340" s="299"/>
      <c r="AO340" s="299"/>
      <c r="AP340" s="299"/>
      <c r="AQ340" s="299"/>
      <c r="AR340" s="299"/>
      <c r="AS340" s="299"/>
    </row>
    <row r="341" spans="1:45" ht="122.4" customHeight="1" thickBot="1" x14ac:dyDescent="0.45">
      <c r="A341" s="299"/>
      <c r="B341" s="299"/>
      <c r="C341" s="299"/>
      <c r="D341" s="639"/>
      <c r="E341" s="299"/>
      <c r="F341" s="392"/>
      <c r="G341" s="299"/>
      <c r="H341" s="299"/>
      <c r="I341" s="299"/>
      <c r="J341" s="299"/>
      <c r="K341" s="299"/>
      <c r="L341" s="299"/>
      <c r="M341" s="299"/>
      <c r="N341" s="299"/>
      <c r="O341" s="299"/>
      <c r="P341" s="519"/>
      <c r="Q341" s="299"/>
      <c r="R341" s="299"/>
      <c r="S341" s="299"/>
      <c r="T341" s="299"/>
      <c r="U341" s="299"/>
      <c r="V341" s="299"/>
      <c r="W341" s="299"/>
      <c r="X341" s="299"/>
      <c r="Y341" s="299"/>
      <c r="Z341" s="299"/>
      <c r="AA341" s="299"/>
      <c r="AB341" s="299"/>
      <c r="AC341" s="299"/>
      <c r="AD341" s="299"/>
      <c r="AE341" s="299"/>
      <c r="AF341" s="299"/>
      <c r="AG341" s="299"/>
      <c r="AH341" s="299"/>
      <c r="AI341" s="299"/>
      <c r="AJ341" s="299"/>
      <c r="AK341" s="299"/>
      <c r="AL341" s="299"/>
      <c r="AM341" s="299"/>
      <c r="AN341" s="299"/>
      <c r="AO341" s="299"/>
      <c r="AP341" s="299"/>
      <c r="AQ341" s="299"/>
      <c r="AR341" s="299"/>
      <c r="AS341" s="299"/>
    </row>
    <row r="342" spans="1:45" ht="122.4" customHeight="1" thickBot="1" x14ac:dyDescent="0.45">
      <c r="A342" s="299"/>
      <c r="B342" s="299"/>
      <c r="C342" s="299"/>
      <c r="D342" s="639"/>
      <c r="E342" s="299"/>
      <c r="F342" s="392"/>
      <c r="G342" s="299"/>
      <c r="H342" s="299"/>
      <c r="I342" s="299"/>
      <c r="J342" s="299"/>
      <c r="K342" s="299"/>
      <c r="L342" s="299"/>
      <c r="M342" s="299"/>
      <c r="N342" s="299"/>
      <c r="O342" s="299"/>
      <c r="P342" s="51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row>
    <row r="343" spans="1:45" ht="122.4" customHeight="1" thickBot="1" x14ac:dyDescent="0.45">
      <c r="A343" s="299"/>
      <c r="B343" s="299"/>
      <c r="C343" s="299"/>
      <c r="D343" s="639"/>
      <c r="E343" s="299"/>
      <c r="F343" s="392"/>
      <c r="G343" s="299"/>
      <c r="H343" s="299"/>
      <c r="I343" s="299"/>
      <c r="J343" s="299"/>
      <c r="K343" s="299"/>
      <c r="L343" s="299"/>
      <c r="M343" s="299"/>
      <c r="N343" s="299"/>
      <c r="O343" s="299"/>
      <c r="P343" s="519"/>
      <c r="Q343" s="299"/>
      <c r="R343" s="299"/>
      <c r="S343" s="299"/>
      <c r="T343" s="299"/>
      <c r="U343" s="299"/>
      <c r="V343" s="299"/>
      <c r="W343" s="299"/>
      <c r="X343" s="299"/>
      <c r="Y343" s="299"/>
      <c r="Z343" s="299"/>
      <c r="AA343" s="299"/>
      <c r="AB343" s="299"/>
      <c r="AC343" s="299"/>
      <c r="AD343" s="299"/>
      <c r="AE343" s="299"/>
      <c r="AF343" s="299"/>
      <c r="AG343" s="299"/>
      <c r="AH343" s="299"/>
      <c r="AI343" s="299"/>
      <c r="AJ343" s="299"/>
      <c r="AK343" s="299"/>
      <c r="AL343" s="299"/>
      <c r="AM343" s="299"/>
      <c r="AN343" s="299"/>
      <c r="AO343" s="299"/>
      <c r="AP343" s="299"/>
      <c r="AQ343" s="299"/>
      <c r="AR343" s="299"/>
      <c r="AS343" s="299"/>
    </row>
    <row r="344" spans="1:45" ht="122.4" customHeight="1" thickBot="1" x14ac:dyDescent="0.45">
      <c r="A344" s="299"/>
      <c r="B344" s="299"/>
      <c r="C344" s="299"/>
      <c r="D344" s="639"/>
      <c r="E344" s="299"/>
      <c r="F344" s="392"/>
      <c r="G344" s="299"/>
      <c r="H344" s="299"/>
      <c r="I344" s="299"/>
      <c r="J344" s="299"/>
      <c r="K344" s="299"/>
      <c r="L344" s="299"/>
      <c r="M344" s="299"/>
      <c r="N344" s="299"/>
      <c r="O344" s="299"/>
      <c r="P344" s="51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row>
    <row r="345" spans="1:45" ht="122.4" customHeight="1" thickBot="1" x14ac:dyDescent="0.45">
      <c r="A345" s="299"/>
      <c r="B345" s="299"/>
      <c r="C345" s="299"/>
      <c r="D345" s="639"/>
      <c r="E345" s="299"/>
      <c r="F345" s="392"/>
      <c r="G345" s="299"/>
      <c r="H345" s="299"/>
      <c r="I345" s="299"/>
      <c r="J345" s="299"/>
      <c r="K345" s="299"/>
      <c r="L345" s="299"/>
      <c r="M345" s="299"/>
      <c r="N345" s="299"/>
      <c r="O345" s="299"/>
      <c r="P345" s="519"/>
      <c r="Q345" s="299"/>
      <c r="R345" s="299"/>
      <c r="S345" s="299"/>
      <c r="T345" s="299"/>
      <c r="U345" s="299"/>
      <c r="V345" s="299"/>
      <c r="W345" s="299"/>
      <c r="X345" s="299"/>
      <c r="Y345" s="299"/>
      <c r="Z345" s="299"/>
      <c r="AA345" s="299"/>
      <c r="AB345" s="299"/>
      <c r="AC345" s="299"/>
      <c r="AD345" s="299"/>
      <c r="AE345" s="299"/>
      <c r="AF345" s="299"/>
      <c r="AG345" s="299"/>
      <c r="AH345" s="299"/>
      <c r="AI345" s="299"/>
      <c r="AJ345" s="299"/>
      <c r="AK345" s="299"/>
      <c r="AL345" s="299"/>
      <c r="AM345" s="299"/>
      <c r="AN345" s="299"/>
      <c r="AO345" s="299"/>
      <c r="AP345" s="299"/>
      <c r="AQ345" s="299"/>
      <c r="AR345" s="299"/>
      <c r="AS345" s="299"/>
    </row>
    <row r="346" spans="1:45" ht="122.4" customHeight="1" thickBot="1" x14ac:dyDescent="0.45">
      <c r="A346" s="299"/>
      <c r="B346" s="299"/>
      <c r="C346" s="299"/>
      <c r="D346" s="639"/>
      <c r="E346" s="299"/>
      <c r="F346" s="392"/>
      <c r="G346" s="299"/>
      <c r="H346" s="299"/>
      <c r="I346" s="299"/>
      <c r="J346" s="299"/>
      <c r="K346" s="299"/>
      <c r="L346" s="299"/>
      <c r="M346" s="299"/>
      <c r="N346" s="299"/>
      <c r="O346" s="299"/>
      <c r="P346" s="519"/>
      <c r="Q346" s="299"/>
      <c r="R346" s="299"/>
      <c r="S346" s="299"/>
      <c r="T346" s="299"/>
      <c r="U346" s="299"/>
      <c r="V346" s="299"/>
      <c r="W346" s="299"/>
      <c r="X346" s="299"/>
      <c r="Y346" s="299"/>
      <c r="Z346" s="299"/>
      <c r="AA346" s="299"/>
      <c r="AB346" s="299"/>
      <c r="AC346" s="299"/>
      <c r="AD346" s="299"/>
      <c r="AE346" s="299"/>
      <c r="AF346" s="299"/>
      <c r="AG346" s="299"/>
      <c r="AH346" s="299"/>
      <c r="AI346" s="299"/>
      <c r="AJ346" s="299"/>
      <c r="AK346" s="299"/>
      <c r="AL346" s="299"/>
      <c r="AM346" s="299"/>
      <c r="AN346" s="299"/>
      <c r="AO346" s="299"/>
      <c r="AP346" s="299"/>
      <c r="AQ346" s="299"/>
      <c r="AR346" s="299"/>
      <c r="AS346" s="299"/>
    </row>
    <row r="347" spans="1:45" ht="122.4" customHeight="1" thickBot="1" x14ac:dyDescent="0.45">
      <c r="A347" s="299"/>
      <c r="B347" s="299"/>
      <c r="C347" s="299"/>
      <c r="D347" s="639"/>
      <c r="E347" s="299"/>
      <c r="F347" s="392"/>
      <c r="G347" s="299"/>
      <c r="H347" s="299"/>
      <c r="I347" s="299"/>
      <c r="J347" s="299"/>
      <c r="K347" s="299"/>
      <c r="L347" s="299"/>
      <c r="M347" s="299"/>
      <c r="N347" s="299"/>
      <c r="O347" s="299"/>
      <c r="P347" s="519"/>
      <c r="Q347" s="299"/>
      <c r="R347" s="299"/>
      <c r="S347" s="299"/>
      <c r="T347" s="299"/>
      <c r="U347" s="299"/>
      <c r="V347" s="299"/>
      <c r="W347" s="299"/>
      <c r="X347" s="299"/>
      <c r="Y347" s="299"/>
      <c r="Z347" s="299"/>
      <c r="AA347" s="299"/>
      <c r="AB347" s="299"/>
      <c r="AC347" s="299"/>
      <c r="AD347" s="299"/>
      <c r="AE347" s="299"/>
      <c r="AF347" s="299"/>
      <c r="AG347" s="299"/>
      <c r="AH347" s="299"/>
      <c r="AI347" s="299"/>
      <c r="AJ347" s="299"/>
      <c r="AK347" s="299"/>
      <c r="AL347" s="299"/>
      <c r="AM347" s="299"/>
      <c r="AN347" s="299"/>
      <c r="AO347" s="299"/>
      <c r="AP347" s="299"/>
      <c r="AQ347" s="299"/>
      <c r="AR347" s="299"/>
      <c r="AS347" s="299"/>
    </row>
    <row r="348" spans="1:45" ht="122.4" customHeight="1" thickBot="1" x14ac:dyDescent="0.45">
      <c r="A348" s="299"/>
      <c r="B348" s="299"/>
      <c r="C348" s="299"/>
      <c r="D348" s="639"/>
      <c r="E348" s="299"/>
      <c r="F348" s="392"/>
      <c r="G348" s="299"/>
      <c r="H348" s="299"/>
      <c r="I348" s="299"/>
      <c r="J348" s="299"/>
      <c r="K348" s="299"/>
      <c r="L348" s="299"/>
      <c r="M348" s="299"/>
      <c r="N348" s="299"/>
      <c r="O348" s="299"/>
      <c r="P348" s="519"/>
      <c r="Q348" s="299"/>
      <c r="R348" s="299"/>
      <c r="S348" s="299"/>
      <c r="T348" s="299"/>
      <c r="U348" s="299"/>
      <c r="V348" s="299"/>
      <c r="W348" s="299"/>
      <c r="X348" s="299"/>
      <c r="Y348" s="299"/>
      <c r="Z348" s="299"/>
      <c r="AA348" s="299"/>
      <c r="AB348" s="299"/>
      <c r="AC348" s="299"/>
      <c r="AD348" s="299"/>
      <c r="AE348" s="299"/>
      <c r="AF348" s="299"/>
      <c r="AG348" s="299"/>
      <c r="AH348" s="299"/>
      <c r="AI348" s="299"/>
      <c r="AJ348" s="299"/>
      <c r="AK348" s="299"/>
      <c r="AL348" s="299"/>
      <c r="AM348" s="299"/>
      <c r="AN348" s="299"/>
      <c r="AO348" s="299"/>
      <c r="AP348" s="299"/>
      <c r="AQ348" s="299"/>
      <c r="AR348" s="299"/>
      <c r="AS348" s="299"/>
    </row>
    <row r="349" spans="1:45" ht="122.4" customHeight="1" thickBot="1" x14ac:dyDescent="0.45">
      <c r="A349" s="299"/>
      <c r="B349" s="299"/>
      <c r="C349" s="299"/>
      <c r="D349" s="639"/>
      <c r="E349" s="299"/>
      <c r="F349" s="392"/>
      <c r="G349" s="299"/>
      <c r="H349" s="299"/>
      <c r="I349" s="299"/>
      <c r="J349" s="299"/>
      <c r="K349" s="299"/>
      <c r="L349" s="299"/>
      <c r="M349" s="299"/>
      <c r="N349" s="299"/>
      <c r="O349" s="299"/>
      <c r="P349" s="519"/>
      <c r="Q349" s="299"/>
      <c r="R349" s="299"/>
      <c r="S349" s="299"/>
      <c r="T349" s="299"/>
      <c r="U349" s="299"/>
      <c r="V349" s="299"/>
      <c r="W349" s="299"/>
      <c r="X349" s="299"/>
      <c r="Y349" s="299"/>
      <c r="Z349" s="299"/>
      <c r="AA349" s="299"/>
      <c r="AB349" s="299"/>
      <c r="AC349" s="299"/>
      <c r="AD349" s="299"/>
      <c r="AE349" s="299"/>
      <c r="AF349" s="299"/>
      <c r="AG349" s="299"/>
      <c r="AH349" s="299"/>
      <c r="AI349" s="299"/>
      <c r="AJ349" s="299"/>
      <c r="AK349" s="299"/>
      <c r="AL349" s="299"/>
      <c r="AM349" s="299"/>
      <c r="AN349" s="299"/>
      <c r="AO349" s="299"/>
      <c r="AP349" s="299"/>
      <c r="AQ349" s="299"/>
      <c r="AR349" s="299"/>
      <c r="AS349" s="299"/>
    </row>
    <row r="350" spans="1:45" ht="122.4" customHeight="1" thickBot="1" x14ac:dyDescent="0.45">
      <c r="A350" s="299"/>
      <c r="B350" s="299"/>
      <c r="C350" s="299"/>
      <c r="D350" s="639"/>
      <c r="E350" s="299"/>
      <c r="F350" s="392"/>
      <c r="G350" s="299"/>
      <c r="H350" s="299"/>
      <c r="I350" s="299"/>
      <c r="J350" s="299"/>
      <c r="K350" s="299"/>
      <c r="L350" s="299"/>
      <c r="M350" s="299"/>
      <c r="N350" s="299"/>
      <c r="O350" s="299"/>
      <c r="P350" s="51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row>
    <row r="351" spans="1:45" ht="122.4" customHeight="1" thickBot="1" x14ac:dyDescent="0.45">
      <c r="A351" s="299"/>
      <c r="B351" s="299"/>
      <c r="C351" s="299"/>
      <c r="D351" s="639"/>
      <c r="E351" s="299"/>
      <c r="F351" s="392"/>
      <c r="G351" s="299"/>
      <c r="H351" s="299"/>
      <c r="I351" s="299"/>
      <c r="J351" s="299"/>
      <c r="K351" s="299"/>
      <c r="L351" s="299"/>
      <c r="M351" s="299"/>
      <c r="N351" s="299"/>
      <c r="O351" s="299"/>
      <c r="P351" s="519"/>
      <c r="Q351" s="299"/>
      <c r="R351" s="299"/>
      <c r="S351" s="299"/>
      <c r="T351" s="299"/>
      <c r="U351" s="299"/>
      <c r="V351" s="299"/>
      <c r="W351" s="299"/>
      <c r="X351" s="299"/>
      <c r="Y351" s="299"/>
      <c r="Z351" s="299"/>
      <c r="AA351" s="299"/>
      <c r="AB351" s="299"/>
      <c r="AC351" s="299"/>
      <c r="AD351" s="299"/>
      <c r="AE351" s="299"/>
      <c r="AF351" s="299"/>
      <c r="AG351" s="299"/>
      <c r="AH351" s="299"/>
      <c r="AI351" s="299"/>
      <c r="AJ351" s="299"/>
      <c r="AK351" s="299"/>
      <c r="AL351" s="299"/>
      <c r="AM351" s="299"/>
      <c r="AN351" s="299"/>
      <c r="AO351" s="299"/>
      <c r="AP351" s="299"/>
      <c r="AQ351" s="299"/>
      <c r="AR351" s="299"/>
      <c r="AS351" s="299"/>
    </row>
    <row r="352" spans="1:45" ht="122.4" customHeight="1" thickBot="1" x14ac:dyDescent="0.45">
      <c r="A352" s="299"/>
      <c r="B352" s="299"/>
      <c r="C352" s="299"/>
      <c r="D352" s="639"/>
      <c r="E352" s="299"/>
      <c r="F352" s="392"/>
      <c r="G352" s="299"/>
      <c r="H352" s="299"/>
      <c r="I352" s="299"/>
      <c r="J352" s="299"/>
      <c r="K352" s="299"/>
      <c r="L352" s="299"/>
      <c r="M352" s="299"/>
      <c r="N352" s="299"/>
      <c r="O352" s="299"/>
      <c r="P352" s="51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row>
    <row r="353" spans="1:45" ht="122.4" customHeight="1" thickBot="1" x14ac:dyDescent="0.45">
      <c r="A353" s="299"/>
      <c r="B353" s="299"/>
      <c r="C353" s="299"/>
      <c r="D353" s="639"/>
      <c r="E353" s="299"/>
      <c r="F353" s="392"/>
      <c r="G353" s="299"/>
      <c r="H353" s="299"/>
      <c r="I353" s="299"/>
      <c r="J353" s="299"/>
      <c r="K353" s="299"/>
      <c r="L353" s="299"/>
      <c r="M353" s="299"/>
      <c r="N353" s="299"/>
      <c r="O353" s="299"/>
      <c r="P353" s="519"/>
      <c r="Q353" s="299"/>
      <c r="R353" s="299"/>
      <c r="S353" s="299"/>
      <c r="T353" s="299"/>
      <c r="U353" s="299"/>
      <c r="V353" s="299"/>
      <c r="W353" s="299"/>
      <c r="X353" s="299"/>
      <c r="Y353" s="299"/>
      <c r="Z353" s="299"/>
      <c r="AA353" s="299"/>
      <c r="AB353" s="299"/>
      <c r="AC353" s="299"/>
      <c r="AD353" s="299"/>
      <c r="AE353" s="299"/>
      <c r="AF353" s="299"/>
      <c r="AG353" s="299"/>
      <c r="AH353" s="299"/>
      <c r="AI353" s="299"/>
      <c r="AJ353" s="299"/>
      <c r="AK353" s="299"/>
      <c r="AL353" s="299"/>
      <c r="AM353" s="299"/>
      <c r="AN353" s="299"/>
      <c r="AO353" s="299"/>
      <c r="AP353" s="299"/>
      <c r="AQ353" s="299"/>
      <c r="AR353" s="299"/>
      <c r="AS353" s="299"/>
    </row>
    <row r="354" spans="1:45" ht="122.4" customHeight="1" thickBot="1" x14ac:dyDescent="0.45">
      <c r="A354" s="299"/>
      <c r="B354" s="299"/>
      <c r="C354" s="299"/>
      <c r="D354" s="639"/>
      <c r="E354" s="299"/>
      <c r="F354" s="392"/>
      <c r="G354" s="299"/>
      <c r="H354" s="299"/>
      <c r="I354" s="299"/>
      <c r="J354" s="299"/>
      <c r="K354" s="299"/>
      <c r="L354" s="299"/>
      <c r="M354" s="299"/>
      <c r="N354" s="299"/>
      <c r="O354" s="299"/>
      <c r="P354" s="519"/>
      <c r="Q354" s="299"/>
      <c r="R354" s="299"/>
      <c r="S354" s="299"/>
      <c r="T354" s="299"/>
      <c r="U354" s="299"/>
      <c r="V354" s="299"/>
      <c r="W354" s="299"/>
      <c r="X354" s="299"/>
      <c r="Y354" s="299"/>
      <c r="Z354" s="299"/>
      <c r="AA354" s="299"/>
      <c r="AB354" s="299"/>
      <c r="AC354" s="299"/>
      <c r="AD354" s="299"/>
      <c r="AE354" s="299"/>
      <c r="AF354" s="299"/>
      <c r="AG354" s="299"/>
      <c r="AH354" s="299"/>
      <c r="AI354" s="299"/>
      <c r="AJ354" s="299"/>
      <c r="AK354" s="299"/>
      <c r="AL354" s="299"/>
      <c r="AM354" s="299"/>
      <c r="AN354" s="299"/>
      <c r="AO354" s="299"/>
      <c r="AP354" s="299"/>
      <c r="AQ354" s="299"/>
      <c r="AR354" s="299"/>
      <c r="AS354" s="299"/>
    </row>
    <row r="355" spans="1:45" ht="122.4" customHeight="1" thickBot="1" x14ac:dyDescent="0.45">
      <c r="A355" s="299"/>
      <c r="B355" s="299"/>
      <c r="C355" s="299"/>
      <c r="D355" s="639"/>
      <c r="E355" s="299"/>
      <c r="F355" s="392"/>
      <c r="G355" s="299"/>
      <c r="H355" s="299"/>
      <c r="I355" s="299"/>
      <c r="J355" s="299"/>
      <c r="K355" s="299"/>
      <c r="L355" s="299"/>
      <c r="M355" s="299"/>
      <c r="N355" s="299"/>
      <c r="O355" s="299"/>
      <c r="P355" s="519"/>
      <c r="Q355" s="299"/>
      <c r="R355" s="299"/>
      <c r="S355" s="299"/>
      <c r="T355" s="299"/>
      <c r="U355" s="299"/>
      <c r="V355" s="299"/>
      <c r="W355" s="299"/>
      <c r="X355" s="299"/>
      <c r="Y355" s="299"/>
      <c r="Z355" s="299"/>
      <c r="AA355" s="299"/>
      <c r="AB355" s="299"/>
      <c r="AC355" s="299"/>
      <c r="AD355" s="299"/>
      <c r="AE355" s="299"/>
      <c r="AF355" s="299"/>
      <c r="AG355" s="299"/>
      <c r="AH355" s="299"/>
      <c r="AI355" s="299"/>
      <c r="AJ355" s="299"/>
      <c r="AK355" s="299"/>
      <c r="AL355" s="299"/>
      <c r="AM355" s="299"/>
      <c r="AN355" s="299"/>
      <c r="AO355" s="299"/>
      <c r="AP355" s="299"/>
      <c r="AQ355" s="299"/>
      <c r="AR355" s="299"/>
      <c r="AS355" s="299"/>
    </row>
    <row r="356" spans="1:45" ht="122.4" customHeight="1" thickBot="1" x14ac:dyDescent="0.45">
      <c r="A356" s="299"/>
      <c r="B356" s="299"/>
      <c r="C356" s="299"/>
      <c r="D356" s="639"/>
      <c r="E356" s="299"/>
      <c r="F356" s="392"/>
      <c r="G356" s="299"/>
      <c r="H356" s="299"/>
      <c r="I356" s="299"/>
      <c r="J356" s="299"/>
      <c r="K356" s="299"/>
      <c r="L356" s="299"/>
      <c r="M356" s="299"/>
      <c r="N356" s="299"/>
      <c r="O356" s="299"/>
      <c r="P356" s="519"/>
      <c r="Q356" s="299"/>
      <c r="R356" s="299"/>
      <c r="S356" s="299"/>
      <c r="T356" s="299"/>
      <c r="U356" s="299"/>
      <c r="V356" s="299"/>
      <c r="W356" s="299"/>
      <c r="X356" s="299"/>
      <c r="Y356" s="299"/>
      <c r="Z356" s="299"/>
      <c r="AA356" s="299"/>
      <c r="AB356" s="299"/>
      <c r="AC356" s="299"/>
      <c r="AD356" s="299"/>
      <c r="AE356" s="299"/>
      <c r="AF356" s="299"/>
      <c r="AG356" s="299"/>
      <c r="AH356" s="299"/>
      <c r="AI356" s="299"/>
      <c r="AJ356" s="299"/>
      <c r="AK356" s="299"/>
      <c r="AL356" s="299"/>
      <c r="AM356" s="299"/>
      <c r="AN356" s="299"/>
      <c r="AO356" s="299"/>
      <c r="AP356" s="299"/>
      <c r="AQ356" s="299"/>
      <c r="AR356" s="299"/>
      <c r="AS356" s="299"/>
    </row>
    <row r="357" spans="1:45" ht="122.4" customHeight="1" thickBot="1" x14ac:dyDescent="0.45">
      <c r="A357" s="299"/>
      <c r="B357" s="299"/>
      <c r="C357" s="299"/>
      <c r="D357" s="639"/>
      <c r="E357" s="299"/>
      <c r="F357" s="392"/>
      <c r="G357" s="299"/>
      <c r="H357" s="299"/>
      <c r="I357" s="299"/>
      <c r="J357" s="299"/>
      <c r="K357" s="299"/>
      <c r="L357" s="299"/>
      <c r="M357" s="299"/>
      <c r="N357" s="299"/>
      <c r="O357" s="299"/>
      <c r="P357" s="519"/>
      <c r="Q357" s="299"/>
      <c r="R357" s="299"/>
      <c r="S357" s="299"/>
      <c r="T357" s="299"/>
      <c r="U357" s="299"/>
      <c r="V357" s="299"/>
      <c r="W357" s="299"/>
      <c r="X357" s="299"/>
      <c r="Y357" s="299"/>
      <c r="Z357" s="299"/>
      <c r="AA357" s="299"/>
      <c r="AB357" s="299"/>
      <c r="AC357" s="299"/>
      <c r="AD357" s="299"/>
      <c r="AE357" s="299"/>
      <c r="AF357" s="299"/>
      <c r="AG357" s="299"/>
      <c r="AH357" s="299"/>
      <c r="AI357" s="299"/>
      <c r="AJ357" s="299"/>
      <c r="AK357" s="299"/>
      <c r="AL357" s="299"/>
      <c r="AM357" s="299"/>
      <c r="AN357" s="299"/>
      <c r="AO357" s="299"/>
      <c r="AP357" s="299"/>
      <c r="AQ357" s="299"/>
      <c r="AR357" s="299"/>
      <c r="AS357" s="299"/>
    </row>
    <row r="358" spans="1:45" ht="122.4" customHeight="1" thickBot="1" x14ac:dyDescent="0.45">
      <c r="A358" s="299"/>
      <c r="B358" s="299"/>
      <c r="C358" s="299"/>
      <c r="D358" s="639"/>
      <c r="E358" s="299"/>
      <c r="F358" s="392"/>
      <c r="G358" s="299"/>
      <c r="H358" s="299"/>
      <c r="I358" s="299"/>
      <c r="J358" s="299"/>
      <c r="K358" s="299"/>
      <c r="L358" s="299"/>
      <c r="M358" s="299"/>
      <c r="N358" s="299"/>
      <c r="O358" s="299"/>
      <c r="P358" s="519"/>
      <c r="Q358" s="299"/>
      <c r="R358" s="299"/>
      <c r="S358" s="299"/>
      <c r="T358" s="299"/>
      <c r="U358" s="299"/>
      <c r="V358" s="299"/>
      <c r="W358" s="299"/>
      <c r="X358" s="299"/>
      <c r="Y358" s="299"/>
      <c r="Z358" s="299"/>
      <c r="AA358" s="299"/>
      <c r="AB358" s="299"/>
      <c r="AC358" s="299"/>
      <c r="AD358" s="299"/>
      <c r="AE358" s="299"/>
      <c r="AF358" s="299"/>
      <c r="AG358" s="299"/>
      <c r="AH358" s="299"/>
      <c r="AI358" s="299"/>
      <c r="AJ358" s="299"/>
      <c r="AK358" s="299"/>
      <c r="AL358" s="299"/>
      <c r="AM358" s="299"/>
      <c r="AN358" s="299"/>
      <c r="AO358" s="299"/>
      <c r="AP358" s="299"/>
      <c r="AQ358" s="299"/>
      <c r="AR358" s="299"/>
      <c r="AS358" s="299"/>
    </row>
    <row r="359" spans="1:45" ht="122.4" customHeight="1" thickBot="1" x14ac:dyDescent="0.45">
      <c r="A359" s="299"/>
      <c r="B359" s="299"/>
      <c r="C359" s="299"/>
      <c r="D359" s="639"/>
      <c r="E359" s="299"/>
      <c r="F359" s="392"/>
      <c r="G359" s="299"/>
      <c r="H359" s="299"/>
      <c r="I359" s="299"/>
      <c r="J359" s="299"/>
      <c r="K359" s="299"/>
      <c r="L359" s="299"/>
      <c r="M359" s="299"/>
      <c r="N359" s="299"/>
      <c r="O359" s="299"/>
      <c r="P359" s="519"/>
      <c r="Q359" s="299"/>
      <c r="R359" s="299"/>
      <c r="S359" s="299"/>
      <c r="T359" s="299"/>
      <c r="U359" s="299"/>
      <c r="V359" s="299"/>
      <c r="W359" s="299"/>
      <c r="X359" s="299"/>
      <c r="Y359" s="299"/>
      <c r="Z359" s="299"/>
      <c r="AA359" s="299"/>
      <c r="AB359" s="299"/>
      <c r="AC359" s="299"/>
      <c r="AD359" s="299"/>
      <c r="AE359" s="299"/>
      <c r="AF359" s="299"/>
      <c r="AG359" s="299"/>
      <c r="AH359" s="299"/>
      <c r="AI359" s="299"/>
      <c r="AJ359" s="299"/>
      <c r="AK359" s="299"/>
      <c r="AL359" s="299"/>
      <c r="AM359" s="299"/>
      <c r="AN359" s="299"/>
      <c r="AO359" s="299"/>
      <c r="AP359" s="299"/>
      <c r="AQ359" s="299"/>
      <c r="AR359" s="299"/>
      <c r="AS359" s="299"/>
    </row>
    <row r="360" spans="1:45" ht="122.4" customHeight="1" thickBot="1" x14ac:dyDescent="0.45">
      <c r="A360" s="299"/>
      <c r="B360" s="299"/>
      <c r="C360" s="299"/>
      <c r="D360" s="639"/>
      <c r="E360" s="299"/>
      <c r="F360" s="392"/>
      <c r="G360" s="299"/>
      <c r="H360" s="299"/>
      <c r="I360" s="299"/>
      <c r="J360" s="299"/>
      <c r="K360" s="299"/>
      <c r="L360" s="299"/>
      <c r="M360" s="299"/>
      <c r="N360" s="299"/>
      <c r="O360" s="299"/>
      <c r="P360" s="519"/>
      <c r="Q360" s="299"/>
      <c r="R360" s="299"/>
      <c r="S360" s="299"/>
      <c r="T360" s="299"/>
      <c r="U360" s="299"/>
      <c r="V360" s="299"/>
      <c r="W360" s="299"/>
      <c r="X360" s="299"/>
      <c r="Y360" s="299"/>
      <c r="Z360" s="299"/>
      <c r="AA360" s="299"/>
      <c r="AB360" s="299"/>
      <c r="AC360" s="299"/>
      <c r="AD360" s="299"/>
      <c r="AE360" s="299"/>
      <c r="AF360" s="299"/>
      <c r="AG360" s="299"/>
      <c r="AH360" s="299"/>
      <c r="AI360" s="299"/>
      <c r="AJ360" s="299"/>
      <c r="AK360" s="299"/>
      <c r="AL360" s="299"/>
      <c r="AM360" s="299"/>
      <c r="AN360" s="299"/>
      <c r="AO360" s="299"/>
      <c r="AP360" s="299"/>
      <c r="AQ360" s="299"/>
      <c r="AR360" s="299"/>
      <c r="AS360" s="299"/>
    </row>
    <row r="361" spans="1:45" ht="122.4" customHeight="1" thickBot="1" x14ac:dyDescent="0.45">
      <c r="A361" s="299"/>
      <c r="B361" s="299"/>
      <c r="C361" s="299"/>
      <c r="D361" s="639"/>
      <c r="E361" s="299"/>
      <c r="F361" s="392"/>
      <c r="G361" s="299"/>
      <c r="H361" s="299"/>
      <c r="I361" s="299"/>
      <c r="J361" s="299"/>
      <c r="K361" s="299"/>
      <c r="L361" s="299"/>
      <c r="M361" s="299"/>
      <c r="N361" s="299"/>
      <c r="O361" s="299"/>
      <c r="P361" s="519"/>
      <c r="Q361" s="299"/>
      <c r="R361" s="299"/>
      <c r="S361" s="299"/>
      <c r="T361" s="299"/>
      <c r="U361" s="299"/>
      <c r="V361" s="299"/>
      <c r="W361" s="299"/>
      <c r="X361" s="299"/>
      <c r="Y361" s="299"/>
      <c r="Z361" s="299"/>
      <c r="AA361" s="299"/>
      <c r="AB361" s="299"/>
      <c r="AC361" s="299"/>
      <c r="AD361" s="299"/>
      <c r="AE361" s="299"/>
      <c r="AF361" s="299"/>
      <c r="AG361" s="299"/>
      <c r="AH361" s="299"/>
      <c r="AI361" s="299"/>
      <c r="AJ361" s="299"/>
      <c r="AK361" s="299"/>
      <c r="AL361" s="299"/>
      <c r="AM361" s="299"/>
      <c r="AN361" s="299"/>
      <c r="AO361" s="299"/>
      <c r="AP361" s="299"/>
      <c r="AQ361" s="299"/>
      <c r="AR361" s="299"/>
      <c r="AS361" s="299"/>
    </row>
    <row r="362" spans="1:45" ht="122.4" customHeight="1" thickBot="1" x14ac:dyDescent="0.45">
      <c r="A362" s="299"/>
      <c r="B362" s="299"/>
      <c r="C362" s="299"/>
      <c r="D362" s="639"/>
      <c r="E362" s="299"/>
      <c r="F362" s="392"/>
      <c r="G362" s="299"/>
      <c r="H362" s="299"/>
      <c r="I362" s="299"/>
      <c r="J362" s="299"/>
      <c r="K362" s="299"/>
      <c r="L362" s="299"/>
      <c r="M362" s="299"/>
      <c r="N362" s="299"/>
      <c r="O362" s="299"/>
      <c r="P362" s="51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row>
    <row r="363" spans="1:45" ht="122.4" customHeight="1" thickBot="1" x14ac:dyDescent="0.45">
      <c r="A363" s="299"/>
      <c r="B363" s="299"/>
      <c r="C363" s="299"/>
      <c r="D363" s="639"/>
      <c r="E363" s="299"/>
      <c r="F363" s="392"/>
      <c r="G363" s="299"/>
      <c r="H363" s="299"/>
      <c r="I363" s="299"/>
      <c r="J363" s="299"/>
      <c r="K363" s="299"/>
      <c r="L363" s="299"/>
      <c r="M363" s="299"/>
      <c r="N363" s="299"/>
      <c r="O363" s="299"/>
      <c r="P363" s="519"/>
      <c r="Q363" s="299"/>
      <c r="R363" s="299"/>
      <c r="S363" s="299"/>
      <c r="T363" s="299"/>
      <c r="U363" s="299"/>
      <c r="V363" s="299"/>
      <c r="W363" s="299"/>
      <c r="X363" s="299"/>
      <c r="Y363" s="299"/>
      <c r="Z363" s="299"/>
      <c r="AA363" s="299"/>
      <c r="AB363" s="299"/>
      <c r="AC363" s="299"/>
      <c r="AD363" s="299"/>
      <c r="AE363" s="299"/>
      <c r="AF363" s="299"/>
      <c r="AG363" s="299"/>
      <c r="AH363" s="299"/>
      <c r="AI363" s="299"/>
      <c r="AJ363" s="299"/>
      <c r="AK363" s="299"/>
      <c r="AL363" s="299"/>
      <c r="AM363" s="299"/>
      <c r="AN363" s="299"/>
      <c r="AO363" s="299"/>
      <c r="AP363" s="299"/>
      <c r="AQ363" s="299"/>
      <c r="AR363" s="299"/>
      <c r="AS363" s="299"/>
    </row>
    <row r="364" spans="1:45" ht="122.4" customHeight="1" thickBot="1" x14ac:dyDescent="0.45">
      <c r="A364" s="299"/>
      <c r="B364" s="299"/>
      <c r="C364" s="299"/>
      <c r="D364" s="639"/>
      <c r="E364" s="299"/>
      <c r="F364" s="392"/>
      <c r="G364" s="299"/>
      <c r="H364" s="299"/>
      <c r="I364" s="299"/>
      <c r="J364" s="299"/>
      <c r="K364" s="299"/>
      <c r="L364" s="299"/>
      <c r="M364" s="299"/>
      <c r="N364" s="299"/>
      <c r="O364" s="299"/>
      <c r="P364" s="519"/>
      <c r="Q364" s="299"/>
      <c r="R364" s="299"/>
      <c r="S364" s="299"/>
      <c r="T364" s="299"/>
      <c r="U364" s="299"/>
      <c r="V364" s="299"/>
      <c r="W364" s="299"/>
      <c r="X364" s="299"/>
      <c r="Y364" s="299"/>
      <c r="Z364" s="299"/>
      <c r="AA364" s="299"/>
      <c r="AB364" s="299"/>
      <c r="AC364" s="299"/>
      <c r="AD364" s="299"/>
      <c r="AE364" s="299"/>
      <c r="AF364" s="299"/>
      <c r="AG364" s="299"/>
      <c r="AH364" s="299"/>
      <c r="AI364" s="299"/>
      <c r="AJ364" s="299"/>
      <c r="AK364" s="299"/>
      <c r="AL364" s="299"/>
      <c r="AM364" s="299"/>
      <c r="AN364" s="299"/>
      <c r="AO364" s="299"/>
      <c r="AP364" s="299"/>
      <c r="AQ364" s="299"/>
      <c r="AR364" s="299"/>
      <c r="AS364" s="299"/>
    </row>
    <row r="365" spans="1:45" ht="122.4" customHeight="1" thickBot="1" x14ac:dyDescent="0.45">
      <c r="A365" s="299"/>
      <c r="B365" s="299"/>
      <c r="C365" s="299"/>
      <c r="D365" s="639"/>
      <c r="E365" s="299"/>
      <c r="F365" s="392"/>
      <c r="G365" s="299"/>
      <c r="H365" s="299"/>
      <c r="I365" s="299"/>
      <c r="J365" s="299"/>
      <c r="K365" s="299"/>
      <c r="L365" s="299"/>
      <c r="M365" s="299"/>
      <c r="N365" s="299"/>
      <c r="O365" s="299"/>
      <c r="P365" s="519"/>
      <c r="Q365" s="299"/>
      <c r="R365" s="299"/>
      <c r="S365" s="299"/>
      <c r="T365" s="299"/>
      <c r="U365" s="299"/>
      <c r="V365" s="299"/>
      <c r="W365" s="299"/>
      <c r="X365" s="299"/>
      <c r="Y365" s="299"/>
      <c r="Z365" s="299"/>
      <c r="AA365" s="299"/>
      <c r="AB365" s="299"/>
      <c r="AC365" s="299"/>
      <c r="AD365" s="299"/>
      <c r="AE365" s="299"/>
      <c r="AF365" s="299"/>
      <c r="AG365" s="299"/>
      <c r="AH365" s="299"/>
      <c r="AI365" s="299"/>
      <c r="AJ365" s="299"/>
      <c r="AK365" s="299"/>
      <c r="AL365" s="299"/>
      <c r="AM365" s="299"/>
      <c r="AN365" s="299"/>
      <c r="AO365" s="299"/>
      <c r="AP365" s="299"/>
      <c r="AQ365" s="299"/>
      <c r="AR365" s="299"/>
      <c r="AS365" s="299"/>
    </row>
    <row r="366" spans="1:45" ht="122.4" customHeight="1" thickBot="1" x14ac:dyDescent="0.45">
      <c r="A366" s="299"/>
      <c r="B366" s="299"/>
      <c r="C366" s="299"/>
      <c r="D366" s="639"/>
      <c r="E366" s="299"/>
      <c r="F366" s="392"/>
      <c r="G366" s="299"/>
      <c r="H366" s="299"/>
      <c r="I366" s="299"/>
      <c r="J366" s="299"/>
      <c r="K366" s="299"/>
      <c r="L366" s="299"/>
      <c r="M366" s="299"/>
      <c r="N366" s="299"/>
      <c r="O366" s="299"/>
      <c r="P366" s="519"/>
      <c r="Q366" s="299"/>
      <c r="R366" s="299"/>
      <c r="S366" s="299"/>
      <c r="T366" s="299"/>
      <c r="U366" s="299"/>
      <c r="V366" s="299"/>
      <c r="W366" s="299"/>
      <c r="X366" s="299"/>
      <c r="Y366" s="299"/>
      <c r="Z366" s="299"/>
      <c r="AA366" s="299"/>
      <c r="AB366" s="299"/>
      <c r="AC366" s="299"/>
      <c r="AD366" s="299"/>
      <c r="AE366" s="299"/>
      <c r="AF366" s="299"/>
      <c r="AG366" s="299"/>
      <c r="AH366" s="299"/>
      <c r="AI366" s="299"/>
      <c r="AJ366" s="299"/>
      <c r="AK366" s="299"/>
      <c r="AL366" s="299"/>
      <c r="AM366" s="299"/>
      <c r="AN366" s="299"/>
      <c r="AO366" s="299"/>
      <c r="AP366" s="299"/>
      <c r="AQ366" s="299"/>
      <c r="AR366" s="299"/>
      <c r="AS366" s="299"/>
    </row>
    <row r="367" spans="1:45" ht="122.4" customHeight="1" thickBot="1" x14ac:dyDescent="0.45">
      <c r="A367" s="299"/>
      <c r="B367" s="299"/>
      <c r="C367" s="299"/>
      <c r="D367" s="639"/>
      <c r="E367" s="299"/>
      <c r="F367" s="392"/>
      <c r="G367" s="299"/>
      <c r="H367" s="299"/>
      <c r="I367" s="299"/>
      <c r="J367" s="299"/>
      <c r="K367" s="299"/>
      <c r="L367" s="299"/>
      <c r="M367" s="299"/>
      <c r="N367" s="299"/>
      <c r="O367" s="299"/>
      <c r="P367" s="519"/>
      <c r="Q367" s="299"/>
      <c r="R367" s="299"/>
      <c r="S367" s="299"/>
      <c r="T367" s="299"/>
      <c r="U367" s="299"/>
      <c r="V367" s="299"/>
      <c r="W367" s="299"/>
      <c r="X367" s="299"/>
      <c r="Y367" s="299"/>
      <c r="Z367" s="299"/>
      <c r="AA367" s="299"/>
      <c r="AB367" s="299"/>
      <c r="AC367" s="299"/>
      <c r="AD367" s="299"/>
      <c r="AE367" s="299"/>
      <c r="AF367" s="299"/>
      <c r="AG367" s="299"/>
      <c r="AH367" s="299"/>
      <c r="AI367" s="299"/>
      <c r="AJ367" s="299"/>
      <c r="AK367" s="299"/>
      <c r="AL367" s="299"/>
      <c r="AM367" s="299"/>
      <c r="AN367" s="299"/>
      <c r="AO367" s="299"/>
      <c r="AP367" s="299"/>
      <c r="AQ367" s="299"/>
      <c r="AR367" s="299"/>
      <c r="AS367" s="299"/>
    </row>
    <row r="368" spans="1:45" ht="122.4" customHeight="1" thickBot="1" x14ac:dyDescent="0.45">
      <c r="A368" s="299"/>
      <c r="B368" s="299"/>
      <c r="C368" s="299"/>
      <c r="D368" s="639"/>
      <c r="E368" s="299"/>
      <c r="F368" s="392"/>
      <c r="G368" s="299"/>
      <c r="H368" s="299"/>
      <c r="I368" s="299"/>
      <c r="J368" s="299"/>
      <c r="K368" s="299"/>
      <c r="L368" s="299"/>
      <c r="M368" s="299"/>
      <c r="N368" s="299"/>
      <c r="O368" s="299"/>
      <c r="P368" s="519"/>
      <c r="Q368" s="299"/>
      <c r="R368" s="299"/>
      <c r="S368" s="299"/>
      <c r="T368" s="299"/>
      <c r="U368" s="299"/>
      <c r="V368" s="299"/>
      <c r="W368" s="299"/>
      <c r="X368" s="299"/>
      <c r="Y368" s="299"/>
      <c r="Z368" s="299"/>
      <c r="AA368" s="299"/>
      <c r="AB368" s="299"/>
      <c r="AC368" s="299"/>
      <c r="AD368" s="299"/>
      <c r="AE368" s="299"/>
      <c r="AF368" s="299"/>
      <c r="AG368" s="299"/>
      <c r="AH368" s="299"/>
      <c r="AI368" s="299"/>
      <c r="AJ368" s="299"/>
      <c r="AK368" s="299"/>
      <c r="AL368" s="299"/>
      <c r="AM368" s="299"/>
      <c r="AN368" s="299"/>
      <c r="AO368" s="299"/>
      <c r="AP368" s="299"/>
      <c r="AQ368" s="299"/>
      <c r="AR368" s="299"/>
      <c r="AS368" s="299"/>
    </row>
    <row r="369" spans="1:45" ht="122.4" customHeight="1" thickBot="1" x14ac:dyDescent="0.45">
      <c r="A369" s="299"/>
      <c r="B369" s="299"/>
      <c r="C369" s="299"/>
      <c r="D369" s="639"/>
      <c r="E369" s="299"/>
      <c r="F369" s="392"/>
      <c r="G369" s="299"/>
      <c r="H369" s="299"/>
      <c r="I369" s="299"/>
      <c r="J369" s="299"/>
      <c r="K369" s="299"/>
      <c r="L369" s="299"/>
      <c r="M369" s="299"/>
      <c r="N369" s="299"/>
      <c r="O369" s="299"/>
      <c r="P369" s="519"/>
      <c r="Q369" s="299"/>
      <c r="R369" s="299"/>
      <c r="S369" s="299"/>
      <c r="T369" s="299"/>
      <c r="U369" s="299"/>
      <c r="V369" s="299"/>
      <c r="W369" s="299"/>
      <c r="X369" s="299"/>
      <c r="Y369" s="299"/>
      <c r="Z369" s="299"/>
      <c r="AA369" s="299"/>
      <c r="AB369" s="299"/>
      <c r="AC369" s="299"/>
      <c r="AD369" s="299"/>
      <c r="AE369" s="299"/>
      <c r="AF369" s="299"/>
      <c r="AG369" s="299"/>
      <c r="AH369" s="299"/>
      <c r="AI369" s="299"/>
      <c r="AJ369" s="299"/>
      <c r="AK369" s="299"/>
      <c r="AL369" s="299"/>
      <c r="AM369" s="299"/>
      <c r="AN369" s="299"/>
      <c r="AO369" s="299"/>
      <c r="AP369" s="299"/>
      <c r="AQ369" s="299"/>
      <c r="AR369" s="299"/>
      <c r="AS369" s="299"/>
    </row>
    <row r="370" spans="1:45" ht="122.4" customHeight="1" thickBot="1" x14ac:dyDescent="0.45">
      <c r="A370" s="299"/>
      <c r="B370" s="299"/>
      <c r="C370" s="299"/>
      <c r="D370" s="639"/>
      <c r="E370" s="299"/>
      <c r="F370" s="392"/>
      <c r="G370" s="299"/>
      <c r="H370" s="299"/>
      <c r="I370" s="299"/>
      <c r="J370" s="299"/>
      <c r="K370" s="299"/>
      <c r="L370" s="299"/>
      <c r="M370" s="299"/>
      <c r="N370" s="299"/>
      <c r="O370" s="299"/>
      <c r="P370" s="519"/>
      <c r="Q370" s="299"/>
      <c r="R370" s="299"/>
      <c r="S370" s="299"/>
      <c r="T370" s="299"/>
      <c r="U370" s="299"/>
      <c r="V370" s="299"/>
      <c r="W370" s="299"/>
      <c r="X370" s="299"/>
      <c r="Y370" s="299"/>
      <c r="Z370" s="299"/>
      <c r="AA370" s="299"/>
      <c r="AB370" s="299"/>
      <c r="AC370" s="299"/>
      <c r="AD370" s="299"/>
      <c r="AE370" s="299"/>
      <c r="AF370" s="299"/>
      <c r="AG370" s="299"/>
      <c r="AH370" s="299"/>
      <c r="AI370" s="299"/>
      <c r="AJ370" s="299"/>
      <c r="AK370" s="299"/>
      <c r="AL370" s="299"/>
      <c r="AM370" s="299"/>
      <c r="AN370" s="299"/>
      <c r="AO370" s="299"/>
      <c r="AP370" s="299"/>
      <c r="AQ370" s="299"/>
      <c r="AR370" s="299"/>
      <c r="AS370" s="299"/>
    </row>
    <row r="371" spans="1:45" ht="122.4" customHeight="1" thickBot="1" x14ac:dyDescent="0.45">
      <c r="A371" s="299"/>
      <c r="B371" s="299"/>
      <c r="C371" s="299"/>
      <c r="D371" s="639"/>
      <c r="E371" s="299"/>
      <c r="F371" s="392"/>
      <c r="G371" s="299"/>
      <c r="H371" s="299"/>
      <c r="I371" s="299"/>
      <c r="J371" s="299"/>
      <c r="K371" s="299"/>
      <c r="L371" s="299"/>
      <c r="M371" s="299"/>
      <c r="N371" s="299"/>
      <c r="O371" s="299"/>
      <c r="P371" s="51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row>
    <row r="372" spans="1:45" ht="122.4" customHeight="1" thickBot="1" x14ac:dyDescent="0.45">
      <c r="A372" s="299"/>
      <c r="B372" s="299"/>
      <c r="C372" s="299"/>
      <c r="D372" s="639"/>
      <c r="E372" s="299"/>
      <c r="F372" s="392"/>
      <c r="G372" s="299"/>
      <c r="H372" s="299"/>
      <c r="I372" s="299"/>
      <c r="J372" s="299"/>
      <c r="K372" s="299"/>
      <c r="L372" s="299"/>
      <c r="M372" s="299"/>
      <c r="N372" s="299"/>
      <c r="O372" s="299"/>
      <c r="P372" s="51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row>
    <row r="373" spans="1:45" ht="122.4" customHeight="1" thickBot="1" x14ac:dyDescent="0.45">
      <c r="A373" s="299"/>
      <c r="B373" s="299"/>
      <c r="C373" s="299"/>
      <c r="D373" s="639"/>
      <c r="E373" s="299"/>
      <c r="F373" s="392"/>
      <c r="G373" s="299"/>
      <c r="H373" s="299"/>
      <c r="I373" s="299"/>
      <c r="J373" s="299"/>
      <c r="K373" s="299"/>
      <c r="L373" s="299"/>
      <c r="M373" s="299"/>
      <c r="N373" s="299"/>
      <c r="O373" s="299"/>
      <c r="P373" s="519"/>
      <c r="Q373" s="299"/>
      <c r="R373" s="299"/>
      <c r="S373" s="299"/>
      <c r="T373" s="299"/>
      <c r="U373" s="299"/>
      <c r="V373" s="299"/>
      <c r="W373" s="299"/>
      <c r="X373" s="299"/>
      <c r="Y373" s="299"/>
      <c r="Z373" s="299"/>
      <c r="AA373" s="299"/>
      <c r="AB373" s="299"/>
      <c r="AC373" s="299"/>
      <c r="AD373" s="299"/>
      <c r="AE373" s="299"/>
      <c r="AF373" s="299"/>
      <c r="AG373" s="299"/>
      <c r="AH373" s="299"/>
      <c r="AI373" s="299"/>
      <c r="AJ373" s="299"/>
      <c r="AK373" s="299"/>
      <c r="AL373" s="299"/>
      <c r="AM373" s="299"/>
      <c r="AN373" s="299"/>
      <c r="AO373" s="299"/>
      <c r="AP373" s="299"/>
      <c r="AQ373" s="299"/>
      <c r="AR373" s="299"/>
      <c r="AS373" s="299"/>
    </row>
    <row r="374" spans="1:45" ht="122.4" customHeight="1" thickBot="1" x14ac:dyDescent="0.45">
      <c r="A374" s="299"/>
      <c r="B374" s="299"/>
      <c r="C374" s="299"/>
      <c r="D374" s="639"/>
      <c r="E374" s="299"/>
      <c r="F374" s="392"/>
      <c r="G374" s="299"/>
      <c r="H374" s="299"/>
      <c r="I374" s="299"/>
      <c r="J374" s="299"/>
      <c r="K374" s="299"/>
      <c r="L374" s="299"/>
      <c r="M374" s="299"/>
      <c r="N374" s="299"/>
      <c r="O374" s="299"/>
      <c r="P374" s="51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row>
    <row r="375" spans="1:45" ht="122.4" customHeight="1" thickBot="1" x14ac:dyDescent="0.45">
      <c r="A375" s="299"/>
      <c r="B375" s="299"/>
      <c r="C375" s="299"/>
      <c r="D375" s="639"/>
      <c r="E375" s="299"/>
      <c r="F375" s="392"/>
      <c r="G375" s="299"/>
      <c r="H375" s="299"/>
      <c r="I375" s="299"/>
      <c r="J375" s="299"/>
      <c r="K375" s="299"/>
      <c r="L375" s="299"/>
      <c r="M375" s="299"/>
      <c r="N375" s="299"/>
      <c r="O375" s="299"/>
      <c r="P375" s="519"/>
      <c r="Q375" s="299"/>
      <c r="R375" s="299"/>
      <c r="S375" s="299"/>
      <c r="T375" s="299"/>
      <c r="U375" s="299"/>
      <c r="V375" s="299"/>
      <c r="W375" s="299"/>
      <c r="X375" s="299"/>
      <c r="Y375" s="299"/>
      <c r="Z375" s="299"/>
      <c r="AA375" s="299"/>
      <c r="AB375" s="299"/>
      <c r="AC375" s="299"/>
      <c r="AD375" s="299"/>
      <c r="AE375" s="299"/>
      <c r="AF375" s="299"/>
      <c r="AG375" s="299"/>
      <c r="AH375" s="299"/>
      <c r="AI375" s="299"/>
      <c r="AJ375" s="299"/>
      <c r="AK375" s="299"/>
      <c r="AL375" s="299"/>
      <c r="AM375" s="299"/>
      <c r="AN375" s="299"/>
      <c r="AO375" s="299"/>
      <c r="AP375" s="299"/>
      <c r="AQ375" s="299"/>
      <c r="AR375" s="299"/>
      <c r="AS375" s="299"/>
    </row>
    <row r="376" spans="1:45" ht="122.4" customHeight="1" thickBot="1" x14ac:dyDescent="0.45">
      <c r="A376" s="299"/>
      <c r="B376" s="299"/>
      <c r="C376" s="299"/>
      <c r="D376" s="639"/>
      <c r="E376" s="299"/>
      <c r="F376" s="392"/>
      <c r="G376" s="299"/>
      <c r="H376" s="299"/>
      <c r="I376" s="299"/>
      <c r="J376" s="299"/>
      <c r="K376" s="299"/>
      <c r="L376" s="299"/>
      <c r="M376" s="299"/>
      <c r="N376" s="299"/>
      <c r="O376" s="299"/>
      <c r="P376" s="519"/>
      <c r="Q376" s="299"/>
      <c r="R376" s="299"/>
      <c r="S376" s="299"/>
      <c r="T376" s="299"/>
      <c r="U376" s="299"/>
      <c r="V376" s="299"/>
      <c r="W376" s="299"/>
      <c r="X376" s="299"/>
      <c r="Y376" s="299"/>
      <c r="Z376" s="299"/>
      <c r="AA376" s="299"/>
      <c r="AB376" s="299"/>
      <c r="AC376" s="299"/>
      <c r="AD376" s="299"/>
      <c r="AE376" s="299"/>
      <c r="AF376" s="299"/>
      <c r="AG376" s="299"/>
      <c r="AH376" s="299"/>
      <c r="AI376" s="299"/>
      <c r="AJ376" s="299"/>
      <c r="AK376" s="299"/>
      <c r="AL376" s="299"/>
      <c r="AM376" s="299"/>
      <c r="AN376" s="299"/>
      <c r="AO376" s="299"/>
      <c r="AP376" s="299"/>
      <c r="AQ376" s="299"/>
      <c r="AR376" s="299"/>
      <c r="AS376" s="299"/>
    </row>
    <row r="377" spans="1:45" ht="122.4" customHeight="1" thickBot="1" x14ac:dyDescent="0.45">
      <c r="A377" s="299"/>
      <c r="B377" s="299"/>
      <c r="C377" s="299"/>
      <c r="D377" s="639"/>
      <c r="E377" s="299"/>
      <c r="F377" s="392"/>
      <c r="G377" s="299"/>
      <c r="H377" s="299"/>
      <c r="I377" s="299"/>
      <c r="J377" s="299"/>
      <c r="K377" s="299"/>
      <c r="L377" s="299"/>
      <c r="M377" s="299"/>
      <c r="N377" s="299"/>
      <c r="O377" s="299"/>
      <c r="P377" s="519"/>
      <c r="Q377" s="299"/>
      <c r="R377" s="299"/>
      <c r="S377" s="299"/>
      <c r="T377" s="299"/>
      <c r="U377" s="299"/>
      <c r="V377" s="299"/>
      <c r="W377" s="299"/>
      <c r="X377" s="299"/>
      <c r="Y377" s="299"/>
      <c r="Z377" s="299"/>
      <c r="AA377" s="299"/>
      <c r="AB377" s="299"/>
      <c r="AC377" s="299"/>
      <c r="AD377" s="299"/>
      <c r="AE377" s="299"/>
      <c r="AF377" s="299"/>
      <c r="AG377" s="299"/>
      <c r="AH377" s="299"/>
      <c r="AI377" s="299"/>
      <c r="AJ377" s="299"/>
      <c r="AK377" s="299"/>
      <c r="AL377" s="299"/>
      <c r="AM377" s="299"/>
      <c r="AN377" s="299"/>
      <c r="AO377" s="299"/>
      <c r="AP377" s="299"/>
      <c r="AQ377" s="299"/>
      <c r="AR377" s="299"/>
      <c r="AS377" s="299"/>
    </row>
    <row r="378" spans="1:45" ht="122.4" customHeight="1" thickBot="1" x14ac:dyDescent="0.45">
      <c r="A378" s="299"/>
      <c r="B378" s="299"/>
      <c r="C378" s="299"/>
      <c r="D378" s="639"/>
      <c r="E378" s="299"/>
      <c r="F378" s="392"/>
      <c r="G378" s="299"/>
      <c r="H378" s="299"/>
      <c r="I378" s="299"/>
      <c r="J378" s="299"/>
      <c r="K378" s="299"/>
      <c r="L378" s="299"/>
      <c r="M378" s="299"/>
      <c r="N378" s="299"/>
      <c r="O378" s="299"/>
      <c r="P378" s="519"/>
      <c r="Q378" s="299"/>
      <c r="R378" s="299"/>
      <c r="S378" s="299"/>
      <c r="T378" s="299"/>
      <c r="U378" s="299"/>
      <c r="V378" s="299"/>
      <c r="W378" s="299"/>
      <c r="X378" s="299"/>
      <c r="Y378" s="299"/>
      <c r="Z378" s="299"/>
      <c r="AA378" s="299"/>
      <c r="AB378" s="299"/>
      <c r="AC378" s="299"/>
      <c r="AD378" s="299"/>
      <c r="AE378" s="299"/>
      <c r="AF378" s="299"/>
      <c r="AG378" s="299"/>
      <c r="AH378" s="299"/>
      <c r="AI378" s="299"/>
      <c r="AJ378" s="299"/>
      <c r="AK378" s="299"/>
      <c r="AL378" s="299"/>
      <c r="AM378" s="299"/>
      <c r="AN378" s="299"/>
      <c r="AO378" s="299"/>
      <c r="AP378" s="299"/>
      <c r="AQ378" s="299"/>
      <c r="AR378" s="299"/>
      <c r="AS378" s="299"/>
    </row>
    <row r="379" spans="1:45" ht="122.4" customHeight="1" thickBot="1" x14ac:dyDescent="0.45">
      <c r="A379" s="299"/>
      <c r="B379" s="299"/>
      <c r="C379" s="299"/>
      <c r="D379" s="639"/>
      <c r="E379" s="299"/>
      <c r="F379" s="392"/>
      <c r="G379" s="299"/>
      <c r="H379" s="299"/>
      <c r="I379" s="299"/>
      <c r="J379" s="299"/>
      <c r="K379" s="299"/>
      <c r="L379" s="299"/>
      <c r="M379" s="299"/>
      <c r="N379" s="299"/>
      <c r="O379" s="299"/>
      <c r="P379" s="519"/>
      <c r="Q379" s="299"/>
      <c r="R379" s="299"/>
      <c r="S379" s="299"/>
      <c r="T379" s="299"/>
      <c r="U379" s="299"/>
      <c r="V379" s="299"/>
      <c r="W379" s="299"/>
      <c r="X379" s="299"/>
      <c r="Y379" s="299"/>
      <c r="Z379" s="299"/>
      <c r="AA379" s="299"/>
      <c r="AB379" s="299"/>
      <c r="AC379" s="299"/>
      <c r="AD379" s="299"/>
      <c r="AE379" s="299"/>
      <c r="AF379" s="299"/>
      <c r="AG379" s="299"/>
      <c r="AH379" s="299"/>
      <c r="AI379" s="299"/>
      <c r="AJ379" s="299"/>
      <c r="AK379" s="299"/>
      <c r="AL379" s="299"/>
      <c r="AM379" s="299"/>
      <c r="AN379" s="299"/>
      <c r="AO379" s="299"/>
      <c r="AP379" s="299"/>
      <c r="AQ379" s="299"/>
      <c r="AR379" s="299"/>
      <c r="AS379" s="299"/>
    </row>
    <row r="380" spans="1:45" ht="122.4" customHeight="1" thickBot="1" x14ac:dyDescent="0.45">
      <c r="A380" s="299"/>
      <c r="B380" s="299"/>
      <c r="C380" s="299"/>
      <c r="D380" s="639"/>
      <c r="E380" s="299"/>
      <c r="F380" s="392"/>
      <c r="G380" s="299"/>
      <c r="H380" s="299"/>
      <c r="I380" s="299"/>
      <c r="J380" s="299"/>
      <c r="K380" s="299"/>
      <c r="L380" s="299"/>
      <c r="M380" s="299"/>
      <c r="N380" s="299"/>
      <c r="O380" s="299"/>
      <c r="P380" s="519"/>
      <c r="Q380" s="299"/>
      <c r="R380" s="299"/>
      <c r="S380" s="299"/>
      <c r="T380" s="299"/>
      <c r="U380" s="299"/>
      <c r="V380" s="299"/>
      <c r="W380" s="299"/>
      <c r="X380" s="299"/>
      <c r="Y380" s="299"/>
      <c r="Z380" s="299"/>
      <c r="AA380" s="299"/>
      <c r="AB380" s="299"/>
      <c r="AC380" s="299"/>
      <c r="AD380" s="299"/>
      <c r="AE380" s="299"/>
      <c r="AF380" s="299"/>
      <c r="AG380" s="299"/>
      <c r="AH380" s="299"/>
      <c r="AI380" s="299"/>
      <c r="AJ380" s="299"/>
      <c r="AK380" s="299"/>
      <c r="AL380" s="299"/>
      <c r="AM380" s="299"/>
      <c r="AN380" s="299"/>
      <c r="AO380" s="299"/>
      <c r="AP380" s="299"/>
      <c r="AQ380" s="299"/>
      <c r="AR380" s="299"/>
      <c r="AS380" s="299"/>
    </row>
    <row r="381" spans="1:45" ht="122.4" customHeight="1" thickBot="1" x14ac:dyDescent="0.45">
      <c r="A381" s="299"/>
      <c r="B381" s="299"/>
      <c r="C381" s="299"/>
      <c r="D381" s="639"/>
      <c r="E381" s="299"/>
      <c r="F381" s="392"/>
      <c r="G381" s="299"/>
      <c r="H381" s="299"/>
      <c r="I381" s="299"/>
      <c r="J381" s="299"/>
      <c r="K381" s="299"/>
      <c r="L381" s="299"/>
      <c r="M381" s="299"/>
      <c r="N381" s="299"/>
      <c r="O381" s="299"/>
      <c r="P381" s="519"/>
      <c r="Q381" s="299"/>
      <c r="R381" s="299"/>
      <c r="S381" s="299"/>
      <c r="T381" s="299"/>
      <c r="U381" s="299"/>
      <c r="V381" s="299"/>
      <c r="W381" s="299"/>
      <c r="X381" s="299"/>
      <c r="Y381" s="299"/>
      <c r="Z381" s="299"/>
      <c r="AA381" s="299"/>
      <c r="AB381" s="299"/>
      <c r="AC381" s="299"/>
      <c r="AD381" s="299"/>
      <c r="AE381" s="299"/>
      <c r="AF381" s="299"/>
      <c r="AG381" s="299"/>
      <c r="AH381" s="299"/>
      <c r="AI381" s="299"/>
      <c r="AJ381" s="299"/>
      <c r="AK381" s="299"/>
      <c r="AL381" s="299"/>
      <c r="AM381" s="299"/>
      <c r="AN381" s="299"/>
      <c r="AO381" s="299"/>
      <c r="AP381" s="299"/>
      <c r="AQ381" s="299"/>
      <c r="AR381" s="299"/>
      <c r="AS381" s="299"/>
    </row>
    <row r="382" spans="1:45" ht="122.4" customHeight="1" thickBot="1" x14ac:dyDescent="0.45">
      <c r="A382" s="299"/>
      <c r="B382" s="299"/>
      <c r="C382" s="299"/>
      <c r="D382" s="639"/>
      <c r="E382" s="299"/>
      <c r="F382" s="392"/>
      <c r="G382" s="299"/>
      <c r="H382" s="299"/>
      <c r="I382" s="299"/>
      <c r="J382" s="299"/>
      <c r="K382" s="299"/>
      <c r="L382" s="299"/>
      <c r="M382" s="299"/>
      <c r="N382" s="299"/>
      <c r="O382" s="299"/>
      <c r="P382" s="51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row>
    <row r="383" spans="1:45" ht="122.4" customHeight="1" thickBot="1" x14ac:dyDescent="0.45">
      <c r="A383" s="299"/>
      <c r="B383" s="299"/>
      <c r="C383" s="299"/>
      <c r="D383" s="639"/>
      <c r="E383" s="299"/>
      <c r="F383" s="392"/>
      <c r="G383" s="299"/>
      <c r="H383" s="299"/>
      <c r="I383" s="299"/>
      <c r="J383" s="299"/>
      <c r="K383" s="299"/>
      <c r="L383" s="299"/>
      <c r="M383" s="299"/>
      <c r="N383" s="299"/>
      <c r="O383" s="299"/>
      <c r="P383" s="519"/>
      <c r="Q383" s="299"/>
      <c r="R383" s="299"/>
      <c r="S383" s="299"/>
      <c r="T383" s="299"/>
      <c r="U383" s="299"/>
      <c r="V383" s="299"/>
      <c r="W383" s="299"/>
      <c r="X383" s="299"/>
      <c r="Y383" s="299"/>
      <c r="Z383" s="299"/>
      <c r="AA383" s="299"/>
      <c r="AB383" s="299"/>
      <c r="AC383" s="299"/>
      <c r="AD383" s="299"/>
      <c r="AE383" s="299"/>
      <c r="AF383" s="299"/>
      <c r="AG383" s="299"/>
      <c r="AH383" s="299"/>
      <c r="AI383" s="299"/>
      <c r="AJ383" s="299"/>
      <c r="AK383" s="299"/>
      <c r="AL383" s="299"/>
      <c r="AM383" s="299"/>
      <c r="AN383" s="299"/>
      <c r="AO383" s="299"/>
      <c r="AP383" s="299"/>
      <c r="AQ383" s="299"/>
      <c r="AR383" s="299"/>
      <c r="AS383" s="299"/>
    </row>
    <row r="384" spans="1:45" ht="122.4" customHeight="1" thickBot="1" x14ac:dyDescent="0.45">
      <c r="A384" s="299"/>
      <c r="B384" s="299"/>
      <c r="C384" s="299"/>
      <c r="D384" s="639"/>
      <c r="E384" s="299"/>
      <c r="F384" s="392"/>
      <c r="G384" s="299"/>
      <c r="H384" s="299"/>
      <c r="I384" s="299"/>
      <c r="J384" s="299"/>
      <c r="K384" s="299"/>
      <c r="L384" s="299"/>
      <c r="M384" s="299"/>
      <c r="N384" s="299"/>
      <c r="O384" s="299"/>
      <c r="P384" s="519"/>
      <c r="Q384" s="299"/>
      <c r="R384" s="299"/>
      <c r="S384" s="299"/>
      <c r="T384" s="299"/>
      <c r="U384" s="299"/>
      <c r="V384" s="299"/>
      <c r="W384" s="299"/>
      <c r="X384" s="299"/>
      <c r="Y384" s="299"/>
      <c r="Z384" s="299"/>
      <c r="AA384" s="299"/>
      <c r="AB384" s="299"/>
      <c r="AC384" s="299"/>
      <c r="AD384" s="299"/>
      <c r="AE384" s="299"/>
      <c r="AF384" s="299"/>
      <c r="AG384" s="299"/>
      <c r="AH384" s="299"/>
      <c r="AI384" s="299"/>
      <c r="AJ384" s="299"/>
      <c r="AK384" s="299"/>
      <c r="AL384" s="299"/>
      <c r="AM384" s="299"/>
      <c r="AN384" s="299"/>
      <c r="AO384" s="299"/>
      <c r="AP384" s="299"/>
      <c r="AQ384" s="299"/>
      <c r="AR384" s="299"/>
      <c r="AS384" s="299"/>
    </row>
    <row r="385" spans="1:45" ht="122.4" customHeight="1" thickBot="1" x14ac:dyDescent="0.45">
      <c r="A385" s="299"/>
      <c r="B385" s="299"/>
      <c r="C385" s="299"/>
      <c r="D385" s="639"/>
      <c r="E385" s="299"/>
      <c r="F385" s="392"/>
      <c r="G385" s="299"/>
      <c r="H385" s="299"/>
      <c r="I385" s="299"/>
      <c r="J385" s="299"/>
      <c r="K385" s="299"/>
      <c r="L385" s="299"/>
      <c r="M385" s="299"/>
      <c r="N385" s="299"/>
      <c r="O385" s="299"/>
      <c r="P385" s="519"/>
      <c r="Q385" s="299"/>
      <c r="R385" s="299"/>
      <c r="S385" s="299"/>
      <c r="T385" s="299"/>
      <c r="U385" s="299"/>
      <c r="V385" s="299"/>
      <c r="W385" s="299"/>
      <c r="X385" s="299"/>
      <c r="Y385" s="299"/>
      <c r="Z385" s="299"/>
      <c r="AA385" s="299"/>
      <c r="AB385" s="299"/>
      <c r="AC385" s="299"/>
      <c r="AD385" s="299"/>
      <c r="AE385" s="299"/>
      <c r="AF385" s="299"/>
      <c r="AG385" s="299"/>
      <c r="AH385" s="299"/>
      <c r="AI385" s="299"/>
      <c r="AJ385" s="299"/>
      <c r="AK385" s="299"/>
      <c r="AL385" s="299"/>
      <c r="AM385" s="299"/>
      <c r="AN385" s="299"/>
      <c r="AO385" s="299"/>
      <c r="AP385" s="299"/>
      <c r="AQ385" s="299"/>
      <c r="AR385" s="299"/>
      <c r="AS385" s="299"/>
    </row>
    <row r="386" spans="1:45" ht="122.4" customHeight="1" thickBot="1" x14ac:dyDescent="0.45">
      <c r="A386" s="299"/>
      <c r="B386" s="299"/>
      <c r="C386" s="299"/>
      <c r="D386" s="639"/>
      <c r="E386" s="299"/>
      <c r="F386" s="392"/>
      <c r="G386" s="299"/>
      <c r="H386" s="299"/>
      <c r="I386" s="299"/>
      <c r="J386" s="299"/>
      <c r="K386" s="299"/>
      <c r="L386" s="299"/>
      <c r="M386" s="299"/>
      <c r="N386" s="299"/>
      <c r="O386" s="299"/>
      <c r="P386" s="51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row>
    <row r="387" spans="1:45" ht="122.4" customHeight="1" thickBot="1" x14ac:dyDescent="0.45">
      <c r="A387" s="299"/>
      <c r="B387" s="299"/>
      <c r="C387" s="299"/>
      <c r="D387" s="639"/>
      <c r="E387" s="299"/>
      <c r="F387" s="392"/>
      <c r="G387" s="299"/>
      <c r="H387" s="299"/>
      <c r="I387" s="299"/>
      <c r="J387" s="299"/>
      <c r="K387" s="299"/>
      <c r="L387" s="299"/>
      <c r="M387" s="299"/>
      <c r="N387" s="299"/>
      <c r="O387" s="299"/>
      <c r="P387" s="519"/>
      <c r="Q387" s="299"/>
      <c r="R387" s="299"/>
      <c r="S387" s="299"/>
      <c r="T387" s="299"/>
      <c r="U387" s="299"/>
      <c r="V387" s="299"/>
      <c r="W387" s="299"/>
      <c r="X387" s="299"/>
      <c r="Y387" s="299"/>
      <c r="Z387" s="299"/>
      <c r="AA387" s="299"/>
      <c r="AB387" s="299"/>
      <c r="AC387" s="299"/>
      <c r="AD387" s="299"/>
      <c r="AE387" s="299"/>
      <c r="AF387" s="299"/>
      <c r="AG387" s="299"/>
      <c r="AH387" s="299"/>
      <c r="AI387" s="299"/>
      <c r="AJ387" s="299"/>
      <c r="AK387" s="299"/>
      <c r="AL387" s="299"/>
      <c r="AM387" s="299"/>
      <c r="AN387" s="299"/>
      <c r="AO387" s="299"/>
      <c r="AP387" s="299"/>
      <c r="AQ387" s="299"/>
      <c r="AR387" s="299"/>
      <c r="AS387" s="299"/>
    </row>
    <row r="388" spans="1:45" ht="122.4" customHeight="1" thickBot="1" x14ac:dyDescent="0.45">
      <c r="A388" s="299"/>
      <c r="B388" s="299"/>
      <c r="C388" s="299"/>
      <c r="D388" s="639"/>
      <c r="E388" s="299"/>
      <c r="F388" s="392"/>
      <c r="G388" s="299"/>
      <c r="H388" s="299"/>
      <c r="I388" s="299"/>
      <c r="J388" s="299"/>
      <c r="K388" s="299"/>
      <c r="L388" s="299"/>
      <c r="M388" s="299"/>
      <c r="N388" s="299"/>
      <c r="O388" s="299"/>
      <c r="P388" s="519"/>
      <c r="Q388" s="299"/>
      <c r="R388" s="299"/>
      <c r="S388" s="299"/>
      <c r="T388" s="299"/>
      <c r="U388" s="299"/>
      <c r="V388" s="299"/>
      <c r="W388" s="299"/>
      <c r="X388" s="299"/>
      <c r="Y388" s="299"/>
      <c r="Z388" s="299"/>
      <c r="AA388" s="299"/>
      <c r="AB388" s="299"/>
      <c r="AC388" s="299"/>
      <c r="AD388" s="299"/>
      <c r="AE388" s="299"/>
      <c r="AF388" s="299"/>
      <c r="AG388" s="299"/>
      <c r="AH388" s="299"/>
      <c r="AI388" s="299"/>
      <c r="AJ388" s="299"/>
      <c r="AK388" s="299"/>
      <c r="AL388" s="299"/>
      <c r="AM388" s="299"/>
      <c r="AN388" s="299"/>
      <c r="AO388" s="299"/>
      <c r="AP388" s="299"/>
      <c r="AQ388" s="299"/>
      <c r="AR388" s="299"/>
      <c r="AS388" s="299"/>
    </row>
    <row r="389" spans="1:45" ht="122.4" customHeight="1" thickBot="1" x14ac:dyDescent="0.45">
      <c r="A389" s="299"/>
      <c r="B389" s="299"/>
      <c r="C389" s="299"/>
      <c r="D389" s="639"/>
      <c r="E389" s="299"/>
      <c r="F389" s="392"/>
      <c r="G389" s="299"/>
      <c r="H389" s="299"/>
      <c r="I389" s="299"/>
      <c r="J389" s="299"/>
      <c r="K389" s="299"/>
      <c r="L389" s="299"/>
      <c r="M389" s="299"/>
      <c r="N389" s="299"/>
      <c r="O389" s="299"/>
      <c r="P389" s="51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row>
    <row r="390" spans="1:45" ht="122.4" customHeight="1" thickBot="1" x14ac:dyDescent="0.45">
      <c r="A390" s="299"/>
      <c r="B390" s="299"/>
      <c r="C390" s="299"/>
      <c r="D390" s="639"/>
      <c r="E390" s="299"/>
      <c r="F390" s="392"/>
      <c r="G390" s="299"/>
      <c r="H390" s="299"/>
      <c r="I390" s="299"/>
      <c r="J390" s="299"/>
      <c r="K390" s="299"/>
      <c r="L390" s="299"/>
      <c r="M390" s="299"/>
      <c r="N390" s="299"/>
      <c r="O390" s="299"/>
      <c r="P390" s="519"/>
      <c r="Q390" s="299"/>
      <c r="R390" s="299"/>
      <c r="S390" s="299"/>
      <c r="T390" s="299"/>
      <c r="U390" s="299"/>
      <c r="V390" s="299"/>
      <c r="W390" s="299"/>
      <c r="X390" s="299"/>
      <c r="Y390" s="299"/>
      <c r="Z390" s="299"/>
      <c r="AA390" s="299"/>
      <c r="AB390" s="299"/>
      <c r="AC390" s="299"/>
      <c r="AD390" s="299"/>
      <c r="AE390" s="299"/>
      <c r="AF390" s="299"/>
      <c r="AG390" s="299"/>
      <c r="AH390" s="299"/>
      <c r="AI390" s="299"/>
      <c r="AJ390" s="299"/>
      <c r="AK390" s="299"/>
      <c r="AL390" s="299"/>
      <c r="AM390" s="299"/>
      <c r="AN390" s="299"/>
      <c r="AO390" s="299"/>
      <c r="AP390" s="299"/>
      <c r="AQ390" s="299"/>
      <c r="AR390" s="299"/>
      <c r="AS390" s="299"/>
    </row>
    <row r="391" spans="1:45" ht="122.4" customHeight="1" thickBot="1" x14ac:dyDescent="0.45">
      <c r="A391" s="299"/>
      <c r="B391" s="299"/>
      <c r="C391" s="299"/>
      <c r="D391" s="639"/>
      <c r="E391" s="299"/>
      <c r="F391" s="392"/>
      <c r="G391" s="299"/>
      <c r="H391" s="299"/>
      <c r="I391" s="299"/>
      <c r="J391" s="299"/>
      <c r="K391" s="299"/>
      <c r="L391" s="299"/>
      <c r="M391" s="299"/>
      <c r="N391" s="299"/>
      <c r="O391" s="299"/>
      <c r="P391" s="519"/>
      <c r="Q391" s="299"/>
      <c r="R391" s="299"/>
      <c r="S391" s="299"/>
      <c r="T391" s="299"/>
      <c r="U391" s="299"/>
      <c r="V391" s="299"/>
      <c r="W391" s="299"/>
      <c r="X391" s="299"/>
      <c r="Y391" s="299"/>
      <c r="Z391" s="299"/>
      <c r="AA391" s="299"/>
      <c r="AB391" s="299"/>
      <c r="AC391" s="299"/>
      <c r="AD391" s="299"/>
      <c r="AE391" s="299"/>
      <c r="AF391" s="299"/>
      <c r="AG391" s="299"/>
      <c r="AH391" s="299"/>
      <c r="AI391" s="299"/>
      <c r="AJ391" s="299"/>
      <c r="AK391" s="299"/>
      <c r="AL391" s="299"/>
      <c r="AM391" s="299"/>
      <c r="AN391" s="299"/>
      <c r="AO391" s="299"/>
      <c r="AP391" s="299"/>
      <c r="AQ391" s="299"/>
      <c r="AR391" s="299"/>
      <c r="AS391" s="299"/>
    </row>
    <row r="392" spans="1:45" ht="122.4" customHeight="1" thickBot="1" x14ac:dyDescent="0.45">
      <c r="A392" s="299"/>
      <c r="B392" s="299"/>
      <c r="C392" s="299"/>
      <c r="D392" s="639"/>
      <c r="E392" s="299"/>
      <c r="F392" s="392"/>
      <c r="G392" s="299"/>
      <c r="H392" s="299"/>
      <c r="I392" s="299"/>
      <c r="J392" s="299"/>
      <c r="K392" s="299"/>
      <c r="L392" s="299"/>
      <c r="M392" s="299"/>
      <c r="N392" s="299"/>
      <c r="O392" s="299"/>
      <c r="P392" s="519"/>
      <c r="Q392" s="299"/>
      <c r="R392" s="299"/>
      <c r="S392" s="299"/>
      <c r="T392" s="299"/>
      <c r="U392" s="299"/>
      <c r="V392" s="299"/>
      <c r="W392" s="299"/>
      <c r="X392" s="299"/>
      <c r="Y392" s="299"/>
      <c r="Z392" s="299"/>
      <c r="AA392" s="299"/>
      <c r="AB392" s="299"/>
      <c r="AC392" s="299"/>
      <c r="AD392" s="299"/>
      <c r="AE392" s="299"/>
      <c r="AF392" s="299"/>
      <c r="AG392" s="299"/>
      <c r="AH392" s="299"/>
      <c r="AI392" s="299"/>
      <c r="AJ392" s="299"/>
      <c r="AK392" s="299"/>
      <c r="AL392" s="299"/>
      <c r="AM392" s="299"/>
      <c r="AN392" s="299"/>
      <c r="AO392" s="299"/>
      <c r="AP392" s="299"/>
      <c r="AQ392" s="299"/>
      <c r="AR392" s="299"/>
      <c r="AS392" s="299"/>
    </row>
    <row r="393" spans="1:45" ht="122.4" customHeight="1" thickBot="1" x14ac:dyDescent="0.45">
      <c r="A393" s="299"/>
      <c r="B393" s="299"/>
      <c r="C393" s="299"/>
      <c r="D393" s="639"/>
      <c r="E393" s="299"/>
      <c r="F393" s="392"/>
      <c r="G393" s="299"/>
      <c r="H393" s="299"/>
      <c r="I393" s="299"/>
      <c r="J393" s="299"/>
      <c r="K393" s="299"/>
      <c r="L393" s="299"/>
      <c r="M393" s="299"/>
      <c r="N393" s="299"/>
      <c r="O393" s="299"/>
      <c r="P393" s="519"/>
      <c r="Q393" s="299"/>
      <c r="R393" s="299"/>
      <c r="S393" s="299"/>
      <c r="T393" s="299"/>
      <c r="U393" s="299"/>
      <c r="V393" s="299"/>
      <c r="W393" s="299"/>
      <c r="X393" s="299"/>
      <c r="Y393" s="299"/>
      <c r="Z393" s="299"/>
      <c r="AA393" s="299"/>
      <c r="AB393" s="299"/>
      <c r="AC393" s="299"/>
      <c r="AD393" s="299"/>
      <c r="AE393" s="299"/>
      <c r="AF393" s="299"/>
      <c r="AG393" s="299"/>
      <c r="AH393" s="299"/>
      <c r="AI393" s="299"/>
      <c r="AJ393" s="299"/>
      <c r="AK393" s="299"/>
      <c r="AL393" s="299"/>
      <c r="AM393" s="299"/>
      <c r="AN393" s="299"/>
      <c r="AO393" s="299"/>
      <c r="AP393" s="299"/>
      <c r="AQ393" s="299"/>
      <c r="AR393" s="299"/>
      <c r="AS393" s="299"/>
    </row>
    <row r="394" spans="1:45" ht="122.4" customHeight="1" thickBot="1" x14ac:dyDescent="0.45">
      <c r="A394" s="299"/>
      <c r="B394" s="299"/>
      <c r="C394" s="299"/>
      <c r="D394" s="639"/>
      <c r="E394" s="299"/>
      <c r="F394" s="392"/>
      <c r="G394" s="299"/>
      <c r="H394" s="299"/>
      <c r="I394" s="299"/>
      <c r="J394" s="299"/>
      <c r="K394" s="299"/>
      <c r="L394" s="299"/>
      <c r="M394" s="299"/>
      <c r="N394" s="299"/>
      <c r="O394" s="299"/>
      <c r="P394" s="519"/>
      <c r="Q394" s="299"/>
      <c r="R394" s="299"/>
      <c r="S394" s="299"/>
      <c r="T394" s="299"/>
      <c r="U394" s="299"/>
      <c r="V394" s="299"/>
      <c r="W394" s="299"/>
      <c r="X394" s="299"/>
      <c r="Y394" s="299"/>
      <c r="Z394" s="299"/>
      <c r="AA394" s="299"/>
      <c r="AB394" s="299"/>
      <c r="AC394" s="299"/>
      <c r="AD394" s="299"/>
      <c r="AE394" s="299"/>
      <c r="AF394" s="299"/>
      <c r="AG394" s="299"/>
      <c r="AH394" s="299"/>
      <c r="AI394" s="299"/>
      <c r="AJ394" s="299"/>
      <c r="AK394" s="299"/>
      <c r="AL394" s="299"/>
      <c r="AM394" s="299"/>
      <c r="AN394" s="299"/>
      <c r="AO394" s="299"/>
      <c r="AP394" s="299"/>
      <c r="AQ394" s="299"/>
      <c r="AR394" s="299"/>
      <c r="AS394" s="299"/>
    </row>
    <row r="395" spans="1:45" ht="122.4" customHeight="1" thickBot="1" x14ac:dyDescent="0.45">
      <c r="A395" s="299"/>
      <c r="B395" s="299"/>
      <c r="C395" s="299"/>
      <c r="D395" s="639"/>
      <c r="E395" s="299"/>
      <c r="F395" s="392"/>
      <c r="G395" s="299"/>
      <c r="H395" s="299"/>
      <c r="I395" s="299"/>
      <c r="J395" s="299"/>
      <c r="K395" s="299"/>
      <c r="L395" s="299"/>
      <c r="M395" s="299"/>
      <c r="N395" s="299"/>
      <c r="O395" s="299"/>
      <c r="P395" s="519"/>
      <c r="Q395" s="299"/>
      <c r="R395" s="299"/>
      <c r="S395" s="299"/>
      <c r="T395" s="299"/>
      <c r="U395" s="299"/>
      <c r="V395" s="299"/>
      <c r="W395" s="299"/>
      <c r="X395" s="299"/>
      <c r="Y395" s="299"/>
      <c r="Z395" s="299"/>
      <c r="AA395" s="299"/>
      <c r="AB395" s="299"/>
      <c r="AC395" s="299"/>
      <c r="AD395" s="299"/>
      <c r="AE395" s="299"/>
      <c r="AF395" s="299"/>
      <c r="AG395" s="299"/>
      <c r="AH395" s="299"/>
      <c r="AI395" s="299"/>
      <c r="AJ395" s="299"/>
      <c r="AK395" s="299"/>
      <c r="AL395" s="299"/>
      <c r="AM395" s="299"/>
      <c r="AN395" s="299"/>
      <c r="AO395" s="299"/>
      <c r="AP395" s="299"/>
      <c r="AQ395" s="299"/>
      <c r="AR395" s="299"/>
      <c r="AS395" s="299"/>
    </row>
    <row r="396" spans="1:45" ht="122.4" customHeight="1" thickBot="1" x14ac:dyDescent="0.45">
      <c r="A396" s="299"/>
      <c r="B396" s="299"/>
      <c r="C396" s="299"/>
      <c r="D396" s="639"/>
      <c r="E396" s="299"/>
      <c r="F396" s="392"/>
      <c r="G396" s="299"/>
      <c r="H396" s="299"/>
      <c r="I396" s="299"/>
      <c r="J396" s="299"/>
      <c r="K396" s="299"/>
      <c r="L396" s="299"/>
      <c r="M396" s="299"/>
      <c r="N396" s="299"/>
      <c r="O396" s="299"/>
      <c r="P396" s="519"/>
      <c r="Q396" s="299"/>
      <c r="R396" s="299"/>
      <c r="S396" s="299"/>
      <c r="T396" s="299"/>
      <c r="U396" s="299"/>
      <c r="V396" s="299"/>
      <c r="W396" s="299"/>
      <c r="X396" s="299"/>
      <c r="Y396" s="299"/>
      <c r="Z396" s="299"/>
      <c r="AA396" s="299"/>
      <c r="AB396" s="299"/>
      <c r="AC396" s="299"/>
      <c r="AD396" s="299"/>
      <c r="AE396" s="299"/>
      <c r="AF396" s="299"/>
      <c r="AG396" s="299"/>
      <c r="AH396" s="299"/>
      <c r="AI396" s="299"/>
      <c r="AJ396" s="299"/>
      <c r="AK396" s="299"/>
      <c r="AL396" s="299"/>
      <c r="AM396" s="299"/>
      <c r="AN396" s="299"/>
      <c r="AO396" s="299"/>
      <c r="AP396" s="299"/>
      <c r="AQ396" s="299"/>
      <c r="AR396" s="299"/>
      <c r="AS396" s="299"/>
    </row>
    <row r="397" spans="1:45" ht="122.4" customHeight="1" thickBot="1" x14ac:dyDescent="0.45">
      <c r="A397" s="299"/>
      <c r="B397" s="299"/>
      <c r="C397" s="299"/>
      <c r="D397" s="639"/>
      <c r="E397" s="299"/>
      <c r="F397" s="392"/>
      <c r="G397" s="299"/>
      <c r="H397" s="299"/>
      <c r="I397" s="299"/>
      <c r="J397" s="299"/>
      <c r="K397" s="299"/>
      <c r="L397" s="299"/>
      <c r="M397" s="299"/>
      <c r="N397" s="299"/>
      <c r="O397" s="299"/>
      <c r="P397" s="519"/>
      <c r="Q397" s="299"/>
      <c r="R397" s="299"/>
      <c r="S397" s="299"/>
      <c r="T397" s="299"/>
      <c r="U397" s="299"/>
      <c r="V397" s="299"/>
      <c r="W397" s="299"/>
      <c r="X397" s="299"/>
      <c r="Y397" s="299"/>
      <c r="Z397" s="299"/>
      <c r="AA397" s="299"/>
      <c r="AB397" s="299"/>
      <c r="AC397" s="299"/>
      <c r="AD397" s="299"/>
      <c r="AE397" s="299"/>
      <c r="AF397" s="299"/>
      <c r="AG397" s="299"/>
      <c r="AH397" s="299"/>
      <c r="AI397" s="299"/>
      <c r="AJ397" s="299"/>
      <c r="AK397" s="299"/>
      <c r="AL397" s="299"/>
      <c r="AM397" s="299"/>
      <c r="AN397" s="299"/>
      <c r="AO397" s="299"/>
      <c r="AP397" s="299"/>
      <c r="AQ397" s="299"/>
      <c r="AR397" s="299"/>
      <c r="AS397" s="299"/>
    </row>
    <row r="398" spans="1:45" ht="122.4" customHeight="1" thickBot="1" x14ac:dyDescent="0.45">
      <c r="A398" s="299"/>
      <c r="B398" s="299"/>
      <c r="C398" s="299"/>
      <c r="D398" s="639"/>
      <c r="E398" s="299"/>
      <c r="F398" s="392"/>
      <c r="G398" s="299"/>
      <c r="H398" s="299"/>
      <c r="I398" s="299"/>
      <c r="J398" s="299"/>
      <c r="K398" s="299"/>
      <c r="L398" s="299"/>
      <c r="M398" s="299"/>
      <c r="N398" s="299"/>
      <c r="O398" s="299"/>
      <c r="P398" s="51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row>
    <row r="399" spans="1:45" ht="122.4" customHeight="1" thickBot="1" x14ac:dyDescent="0.45">
      <c r="A399" s="299"/>
      <c r="B399" s="299"/>
      <c r="C399" s="299"/>
      <c r="D399" s="639"/>
      <c r="E399" s="299"/>
      <c r="F399" s="392"/>
      <c r="G399" s="299"/>
      <c r="H399" s="299"/>
      <c r="I399" s="299"/>
      <c r="J399" s="299"/>
      <c r="K399" s="299"/>
      <c r="L399" s="299"/>
      <c r="M399" s="299"/>
      <c r="N399" s="299"/>
      <c r="O399" s="299"/>
      <c r="P399" s="519"/>
      <c r="Q399" s="299"/>
      <c r="R399" s="299"/>
      <c r="S399" s="299"/>
      <c r="T399" s="299"/>
      <c r="U399" s="299"/>
      <c r="V399" s="299"/>
      <c r="W399" s="299"/>
      <c r="X399" s="299"/>
      <c r="Y399" s="299"/>
      <c r="Z399" s="299"/>
      <c r="AA399" s="299"/>
      <c r="AB399" s="299"/>
      <c r="AC399" s="299"/>
      <c r="AD399" s="299"/>
      <c r="AE399" s="299"/>
      <c r="AF399" s="299"/>
      <c r="AG399" s="299"/>
      <c r="AH399" s="299"/>
      <c r="AI399" s="299"/>
      <c r="AJ399" s="299"/>
      <c r="AK399" s="299"/>
      <c r="AL399" s="299"/>
      <c r="AM399" s="299"/>
      <c r="AN399" s="299"/>
      <c r="AO399" s="299"/>
      <c r="AP399" s="299"/>
      <c r="AQ399" s="299"/>
      <c r="AR399" s="299"/>
      <c r="AS399" s="299"/>
    </row>
    <row r="400" spans="1:45" ht="122.4" customHeight="1" thickBot="1" x14ac:dyDescent="0.45">
      <c r="A400" s="299"/>
      <c r="B400" s="299"/>
      <c r="C400" s="299"/>
      <c r="D400" s="639"/>
      <c r="E400" s="299"/>
      <c r="F400" s="392"/>
      <c r="G400" s="299"/>
      <c r="H400" s="299"/>
      <c r="I400" s="299"/>
      <c r="J400" s="299"/>
      <c r="K400" s="299"/>
      <c r="L400" s="299"/>
      <c r="M400" s="299"/>
      <c r="N400" s="299"/>
      <c r="O400" s="299"/>
      <c r="P400" s="519"/>
      <c r="Q400" s="299"/>
      <c r="R400" s="299"/>
      <c r="S400" s="299"/>
      <c r="T400" s="299"/>
      <c r="U400" s="299"/>
      <c r="V400" s="299"/>
      <c r="W400" s="299"/>
      <c r="X400" s="299"/>
      <c r="Y400" s="299"/>
      <c r="Z400" s="299"/>
      <c r="AA400" s="299"/>
      <c r="AB400" s="299"/>
      <c r="AC400" s="299"/>
      <c r="AD400" s="299"/>
      <c r="AE400" s="299"/>
      <c r="AF400" s="299"/>
      <c r="AG400" s="299"/>
      <c r="AH400" s="299"/>
      <c r="AI400" s="299"/>
      <c r="AJ400" s="299"/>
      <c r="AK400" s="299"/>
      <c r="AL400" s="299"/>
      <c r="AM400" s="299"/>
      <c r="AN400" s="299"/>
      <c r="AO400" s="299"/>
      <c r="AP400" s="299"/>
      <c r="AQ400" s="299"/>
      <c r="AR400" s="299"/>
      <c r="AS400" s="299"/>
    </row>
    <row r="401" spans="1:45" ht="122.4" customHeight="1" thickBot="1" x14ac:dyDescent="0.45">
      <c r="A401" s="299"/>
      <c r="B401" s="299"/>
      <c r="C401" s="299"/>
      <c r="D401" s="639"/>
      <c r="E401" s="299"/>
      <c r="F401" s="392"/>
      <c r="G401" s="299"/>
      <c r="H401" s="299"/>
      <c r="I401" s="299"/>
      <c r="J401" s="299"/>
      <c r="K401" s="299"/>
      <c r="L401" s="299"/>
      <c r="M401" s="299"/>
      <c r="N401" s="299"/>
      <c r="O401" s="299"/>
      <c r="P401" s="519"/>
      <c r="Q401" s="299"/>
      <c r="R401" s="299"/>
      <c r="S401" s="299"/>
      <c r="T401" s="299"/>
      <c r="U401" s="299"/>
      <c r="V401" s="299"/>
      <c r="W401" s="299"/>
      <c r="X401" s="299"/>
      <c r="Y401" s="299"/>
      <c r="Z401" s="299"/>
      <c r="AA401" s="299"/>
      <c r="AB401" s="299"/>
      <c r="AC401" s="299"/>
      <c r="AD401" s="299"/>
      <c r="AE401" s="299"/>
      <c r="AF401" s="299"/>
      <c r="AG401" s="299"/>
      <c r="AH401" s="299"/>
      <c r="AI401" s="299"/>
      <c r="AJ401" s="299"/>
      <c r="AK401" s="299"/>
      <c r="AL401" s="299"/>
      <c r="AM401" s="299"/>
      <c r="AN401" s="299"/>
      <c r="AO401" s="299"/>
      <c r="AP401" s="299"/>
      <c r="AQ401" s="299"/>
      <c r="AR401" s="299"/>
      <c r="AS401" s="299"/>
    </row>
    <row r="402" spans="1:45" ht="122.4" customHeight="1" thickBot="1" x14ac:dyDescent="0.45">
      <c r="A402" s="299"/>
      <c r="B402" s="299"/>
      <c r="C402" s="299"/>
      <c r="D402" s="639"/>
      <c r="E402" s="299"/>
      <c r="F402" s="392"/>
      <c r="G402" s="299"/>
      <c r="H402" s="299"/>
      <c r="I402" s="299"/>
      <c r="J402" s="299"/>
      <c r="K402" s="299"/>
      <c r="L402" s="299"/>
      <c r="M402" s="299"/>
      <c r="N402" s="299"/>
      <c r="O402" s="299"/>
      <c r="P402" s="51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row>
    <row r="403" spans="1:45" ht="122.4" customHeight="1" thickBot="1" x14ac:dyDescent="0.45">
      <c r="A403" s="299"/>
      <c r="B403" s="299"/>
      <c r="C403" s="299"/>
      <c r="D403" s="639"/>
      <c r="E403" s="299"/>
      <c r="F403" s="392"/>
      <c r="G403" s="299"/>
      <c r="H403" s="299"/>
      <c r="I403" s="299"/>
      <c r="J403" s="299"/>
      <c r="K403" s="299"/>
      <c r="L403" s="299"/>
      <c r="M403" s="299"/>
      <c r="N403" s="299"/>
      <c r="O403" s="299"/>
      <c r="P403" s="519"/>
      <c r="Q403" s="299"/>
      <c r="R403" s="299"/>
      <c r="S403" s="299"/>
      <c r="T403" s="299"/>
      <c r="U403" s="299"/>
      <c r="V403" s="299"/>
      <c r="W403" s="299"/>
      <c r="X403" s="299"/>
      <c r="Y403" s="299"/>
      <c r="Z403" s="299"/>
      <c r="AA403" s="299"/>
      <c r="AB403" s="299"/>
      <c r="AC403" s="299"/>
      <c r="AD403" s="299"/>
      <c r="AE403" s="299"/>
      <c r="AF403" s="299"/>
      <c r="AG403" s="299"/>
      <c r="AH403" s="299"/>
      <c r="AI403" s="299"/>
      <c r="AJ403" s="299"/>
      <c r="AK403" s="299"/>
      <c r="AL403" s="299"/>
      <c r="AM403" s="299"/>
      <c r="AN403" s="299"/>
      <c r="AO403" s="299"/>
      <c r="AP403" s="299"/>
      <c r="AQ403" s="299"/>
      <c r="AR403" s="299"/>
      <c r="AS403" s="299"/>
    </row>
    <row r="404" spans="1:45" ht="122.4" customHeight="1" thickBot="1" x14ac:dyDescent="0.45">
      <c r="A404" s="299"/>
      <c r="B404" s="299"/>
      <c r="C404" s="299"/>
      <c r="D404" s="639"/>
      <c r="E404" s="299"/>
      <c r="F404" s="392"/>
      <c r="G404" s="299"/>
      <c r="H404" s="299"/>
      <c r="I404" s="299"/>
      <c r="J404" s="299"/>
      <c r="K404" s="299"/>
      <c r="L404" s="299"/>
      <c r="M404" s="299"/>
      <c r="N404" s="299"/>
      <c r="O404" s="299"/>
      <c r="P404" s="519"/>
      <c r="Q404" s="299"/>
      <c r="R404" s="299"/>
      <c r="S404" s="299"/>
      <c r="T404" s="299"/>
      <c r="U404" s="299"/>
      <c r="V404" s="299"/>
      <c r="W404" s="299"/>
      <c r="X404" s="299"/>
      <c r="Y404" s="299"/>
      <c r="Z404" s="299"/>
      <c r="AA404" s="299"/>
      <c r="AB404" s="299"/>
      <c r="AC404" s="299"/>
      <c r="AD404" s="299"/>
      <c r="AE404" s="299"/>
      <c r="AF404" s="299"/>
      <c r="AG404" s="299"/>
      <c r="AH404" s="299"/>
      <c r="AI404" s="299"/>
      <c r="AJ404" s="299"/>
      <c r="AK404" s="299"/>
      <c r="AL404" s="299"/>
      <c r="AM404" s="299"/>
      <c r="AN404" s="299"/>
      <c r="AO404" s="299"/>
      <c r="AP404" s="299"/>
      <c r="AQ404" s="299"/>
      <c r="AR404" s="299"/>
      <c r="AS404" s="299"/>
    </row>
    <row r="405" spans="1:45" ht="122.4" customHeight="1" thickBot="1" x14ac:dyDescent="0.45">
      <c r="A405" s="299"/>
      <c r="B405" s="299"/>
      <c r="C405" s="299"/>
      <c r="D405" s="639"/>
      <c r="E405" s="299"/>
      <c r="F405" s="392"/>
      <c r="G405" s="299"/>
      <c r="H405" s="299"/>
      <c r="I405" s="299"/>
      <c r="J405" s="299"/>
      <c r="K405" s="299"/>
      <c r="L405" s="299"/>
      <c r="M405" s="299"/>
      <c r="N405" s="299"/>
      <c r="O405" s="299"/>
      <c r="P405" s="519"/>
      <c r="Q405" s="299"/>
      <c r="R405" s="299"/>
      <c r="S405" s="299"/>
      <c r="T405" s="299"/>
      <c r="U405" s="299"/>
      <c r="V405" s="299"/>
      <c r="W405" s="299"/>
      <c r="X405" s="299"/>
      <c r="Y405" s="299"/>
      <c r="Z405" s="299"/>
      <c r="AA405" s="299"/>
      <c r="AB405" s="299"/>
      <c r="AC405" s="299"/>
      <c r="AD405" s="299"/>
      <c r="AE405" s="299"/>
      <c r="AF405" s="299"/>
      <c r="AG405" s="299"/>
      <c r="AH405" s="299"/>
      <c r="AI405" s="299"/>
      <c r="AJ405" s="299"/>
      <c r="AK405" s="299"/>
      <c r="AL405" s="299"/>
      <c r="AM405" s="299"/>
      <c r="AN405" s="299"/>
      <c r="AO405" s="299"/>
      <c r="AP405" s="299"/>
      <c r="AQ405" s="299"/>
      <c r="AR405" s="299"/>
      <c r="AS405" s="299"/>
    </row>
  </sheetData>
  <sheetProtection password="DF7C" sheet="1" objects="1" scenarios="1"/>
  <autoFilter ref="A2:AZ205"/>
  <mergeCells count="47">
    <mergeCell ref="B182:C182"/>
    <mergeCell ref="B184:C184"/>
    <mergeCell ref="B164:C164"/>
    <mergeCell ref="B165:C165"/>
    <mergeCell ref="B170:C170"/>
    <mergeCell ref="B173:C173"/>
    <mergeCell ref="B176:C176"/>
    <mergeCell ref="B187:C187"/>
    <mergeCell ref="B192:C192"/>
    <mergeCell ref="B193:C193"/>
    <mergeCell ref="B198:C198"/>
    <mergeCell ref="B203:C203"/>
    <mergeCell ref="B140:C140"/>
    <mergeCell ref="B145:C145"/>
    <mergeCell ref="B148:C148"/>
    <mergeCell ref="B154:C154"/>
    <mergeCell ref="B160:C160"/>
    <mergeCell ref="B122:C122"/>
    <mergeCell ref="B124:C124"/>
    <mergeCell ref="B126:C126"/>
    <mergeCell ref="B130:C130"/>
    <mergeCell ref="B131:C131"/>
    <mergeCell ref="B92:C92"/>
    <mergeCell ref="B101:C101"/>
    <mergeCell ref="B106:C106"/>
    <mergeCell ref="B119:C119"/>
    <mergeCell ref="B120:C120"/>
    <mergeCell ref="B68:C68"/>
    <mergeCell ref="B73:C73"/>
    <mergeCell ref="B77:C77"/>
    <mergeCell ref="B85:C85"/>
    <mergeCell ref="B91:C91"/>
    <mergeCell ref="B43:C43"/>
    <mergeCell ref="B49:C49"/>
    <mergeCell ref="B52:C52"/>
    <mergeCell ref="B56:C56"/>
    <mergeCell ref="B60:C60"/>
    <mergeCell ref="B15:C15"/>
    <mergeCell ref="B21:C21"/>
    <mergeCell ref="B29:C29"/>
    <mergeCell ref="B34:C34"/>
    <mergeCell ref="B39:C39"/>
    <mergeCell ref="B2:C2"/>
    <mergeCell ref="B3:C3"/>
    <mergeCell ref="B4:C4"/>
    <mergeCell ref="B5:C5"/>
    <mergeCell ref="B12:C12"/>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000"/>
  <sheetViews>
    <sheetView topLeftCell="B1" zoomScale="35" zoomScaleNormal="35" workbookViewId="0">
      <pane xSplit="2" ySplit="5" topLeftCell="D6" activePane="bottomRight" state="frozen"/>
      <selection activeCell="B1" sqref="B1"/>
      <selection pane="topRight" activeCell="D1" sqref="D1"/>
      <selection pane="bottomLeft" activeCell="B6" sqref="B6"/>
      <selection pane="bottomRight" activeCell="I51" sqref="I51"/>
    </sheetView>
  </sheetViews>
  <sheetFormatPr baseColWidth="10" defaultColWidth="14.44140625" defaultRowHeight="15" customHeight="1" x14ac:dyDescent="0.35"/>
  <cols>
    <col min="1" max="1" width="10.6640625" style="154" hidden="1" customWidth="1"/>
    <col min="2" max="2" width="60.44140625" style="154" customWidth="1"/>
    <col min="3" max="3" width="88.77734375" style="154" customWidth="1"/>
    <col min="4" max="4" width="49.6640625" style="154" customWidth="1"/>
    <col min="5" max="5" width="37.77734375" style="213" customWidth="1"/>
    <col min="6" max="6" width="32.6640625" style="154" customWidth="1"/>
    <col min="7" max="7" width="33.33203125" style="154" customWidth="1"/>
    <col min="8" max="9" width="31.33203125" style="154" customWidth="1"/>
    <col min="10" max="10" width="33.33203125" style="154" customWidth="1"/>
    <col min="11" max="12" width="34.6640625" style="154" customWidth="1"/>
    <col min="13" max="13" width="38.6640625" style="154" hidden="1" customWidth="1"/>
    <col min="14" max="15" width="34.44140625" style="154" hidden="1" customWidth="1"/>
    <col min="16" max="16" width="32.88671875" style="154" customWidth="1"/>
    <col min="17" max="17" width="36.5546875" style="154" hidden="1" customWidth="1"/>
    <col min="18" max="18" width="33.21875" style="154" hidden="1" customWidth="1"/>
    <col min="19" max="19" width="35.77734375" style="154" hidden="1" customWidth="1"/>
    <col min="20" max="20" width="31.33203125" style="154" hidden="1" customWidth="1"/>
    <col min="21" max="21" width="31.33203125" style="154" customWidth="1"/>
    <col min="22" max="22" width="26.88671875" style="154" customWidth="1"/>
    <col min="23" max="24" width="31.33203125" style="154" customWidth="1"/>
    <col min="25" max="25" width="32.5546875" style="154" customWidth="1"/>
    <col min="26" max="26" width="33.77734375" style="154" customWidth="1"/>
    <col min="27" max="27" width="36.44140625" style="154" customWidth="1"/>
    <col min="28" max="28" width="31.33203125" style="154" customWidth="1"/>
    <col min="29" max="31" width="36.5546875" style="154" customWidth="1"/>
    <col min="32" max="32" width="35.21875" style="154" hidden="1" customWidth="1"/>
    <col min="33" max="34" width="35.44140625" style="154" hidden="1" customWidth="1"/>
    <col min="35" max="35" width="33.21875" style="154" customWidth="1"/>
    <col min="36" max="37" width="35.88671875" style="154" customWidth="1"/>
    <col min="38" max="38" width="37.21875" style="154" customWidth="1"/>
    <col min="39" max="40" width="44.88671875" style="154" customWidth="1"/>
    <col min="41" max="41" width="48.5546875" style="154" hidden="1" customWidth="1"/>
    <col min="42" max="42" width="77.5546875" style="154" hidden="1" customWidth="1"/>
    <col min="43" max="43" width="75.33203125" style="154" hidden="1" customWidth="1"/>
    <col min="44" max="44" width="73.33203125" style="154" hidden="1" customWidth="1"/>
    <col min="45" max="45" width="85.109375" style="154" hidden="1" customWidth="1"/>
    <col min="46" max="46" width="63.77734375" style="154" hidden="1" customWidth="1"/>
    <col min="47" max="47" width="71" style="154" hidden="1" customWidth="1"/>
    <col min="48" max="48" width="68.44140625" style="154" hidden="1" customWidth="1"/>
    <col min="49" max="53" width="10.6640625" style="154" customWidth="1"/>
    <col min="54" max="16384" width="14.44140625" style="154"/>
  </cols>
  <sheetData>
    <row r="1" spans="1:125" ht="18.600000000000001" thickBot="1" x14ac:dyDescent="0.4">
      <c r="A1" s="151"/>
      <c r="B1" s="152"/>
      <c r="C1" s="152"/>
      <c r="D1" s="152"/>
      <c r="E1" s="153"/>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1"/>
      <c r="AX1" s="151"/>
      <c r="AY1" s="151"/>
      <c r="AZ1" s="151"/>
      <c r="BA1" s="151"/>
      <c r="BB1" s="151"/>
      <c r="BC1" s="151"/>
      <c r="BD1" s="151"/>
      <c r="BE1" s="151"/>
      <c r="BF1" s="151"/>
      <c r="BG1" s="151"/>
      <c r="BH1" s="151"/>
      <c r="BI1" s="151"/>
      <c r="BJ1" s="151"/>
      <c r="BK1" s="151"/>
      <c r="BL1" s="151"/>
      <c r="BM1" s="151"/>
      <c r="BN1" s="151"/>
      <c r="BO1" s="151"/>
    </row>
    <row r="2" spans="1:125" s="300" customFormat="1" ht="152.4" customHeight="1" thickBot="1" x14ac:dyDescent="0.45">
      <c r="A2" s="294"/>
      <c r="B2" s="1529" t="s">
        <v>0</v>
      </c>
      <c r="C2" s="1530"/>
      <c r="D2" s="295" t="s">
        <v>1</v>
      </c>
      <c r="E2" s="296" t="s">
        <v>2</v>
      </c>
      <c r="F2" s="297" t="s">
        <v>3</v>
      </c>
      <c r="G2" s="297" t="s">
        <v>4</v>
      </c>
      <c r="H2" s="297" t="s">
        <v>1873</v>
      </c>
      <c r="I2" s="1009" t="s">
        <v>2527</v>
      </c>
      <c r="J2" s="297" t="s">
        <v>5</v>
      </c>
      <c r="K2" s="297" t="s">
        <v>1874</v>
      </c>
      <c r="L2" s="1009" t="s">
        <v>2526</v>
      </c>
      <c r="M2" s="1015" t="s">
        <v>6</v>
      </c>
      <c r="N2" s="1015" t="s">
        <v>1875</v>
      </c>
      <c r="O2" s="1421" t="s">
        <v>2549</v>
      </c>
      <c r="P2" s="1016" t="s">
        <v>1847</v>
      </c>
      <c r="Q2" s="1017" t="s">
        <v>1876</v>
      </c>
      <c r="R2" s="1017" t="s">
        <v>1878</v>
      </c>
      <c r="S2" s="1017" t="s">
        <v>1877</v>
      </c>
      <c r="T2" s="1017" t="s">
        <v>2431</v>
      </c>
      <c r="U2" s="1017" t="s">
        <v>2473</v>
      </c>
      <c r="V2" s="1017" t="s">
        <v>1879</v>
      </c>
      <c r="W2" s="1422" t="s">
        <v>2529</v>
      </c>
      <c r="X2" s="1009" t="s">
        <v>2528</v>
      </c>
      <c r="Y2" s="1009" t="s">
        <v>2530</v>
      </c>
      <c r="Z2" s="1009" t="s">
        <v>2531</v>
      </c>
      <c r="AA2" s="1018" t="s">
        <v>2532</v>
      </c>
      <c r="AB2" s="1019" t="s">
        <v>2533</v>
      </c>
      <c r="AC2" s="296" t="s">
        <v>7</v>
      </c>
      <c r="AD2" s="1007" t="s">
        <v>2534</v>
      </c>
      <c r="AE2" s="1019" t="s">
        <v>2546</v>
      </c>
      <c r="AF2" s="959" t="s">
        <v>8</v>
      </c>
      <c r="AG2" s="1022" t="s">
        <v>2535</v>
      </c>
      <c r="AH2" s="1421" t="s">
        <v>2547</v>
      </c>
      <c r="AI2" s="413" t="s">
        <v>1881</v>
      </c>
      <c r="AJ2" s="413" t="s">
        <v>2536</v>
      </c>
      <c r="AK2" s="1423" t="s">
        <v>2539</v>
      </c>
      <c r="AL2" s="1022" t="s">
        <v>1849</v>
      </c>
      <c r="AM2" s="959" t="s">
        <v>2550</v>
      </c>
      <c r="AN2" s="1421" t="s">
        <v>2541</v>
      </c>
      <c r="AO2" s="298" t="s">
        <v>2474</v>
      </c>
      <c r="AP2" s="1022" t="s">
        <v>1882</v>
      </c>
      <c r="AQ2" s="959" t="s">
        <v>2290</v>
      </c>
      <c r="AR2" s="1112" t="s">
        <v>2291</v>
      </c>
      <c r="AS2" s="298" t="s">
        <v>2342</v>
      </c>
      <c r="AT2" s="298" t="s">
        <v>2432</v>
      </c>
      <c r="AU2" s="893" t="s">
        <v>1880</v>
      </c>
      <c r="AV2" s="1095" t="s">
        <v>2540</v>
      </c>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row>
    <row r="3" spans="1:125" s="1126" customFormat="1" ht="93" customHeight="1" thickBot="1" x14ac:dyDescent="0.9">
      <c r="A3" s="1113"/>
      <c r="B3" s="1559" t="s">
        <v>1789</v>
      </c>
      <c r="C3" s="1560"/>
      <c r="D3" s="1114"/>
      <c r="E3" s="1115">
        <v>0.15</v>
      </c>
      <c r="F3" s="1116"/>
      <c r="G3" s="1117"/>
      <c r="H3" s="1117"/>
      <c r="I3" s="1117"/>
      <c r="J3" s="1118">
        <f t="shared" ref="J3:O3" si="0">+(J4+J15+J33+J45+J67+J100+J124)/7</f>
        <v>0.25032106779384017</v>
      </c>
      <c r="K3" s="1118">
        <f t="shared" si="0"/>
        <v>0.30640994027190521</v>
      </c>
      <c r="L3" s="1118">
        <f t="shared" si="0"/>
        <v>0.33397271274256368</v>
      </c>
      <c r="M3" s="1119">
        <f t="shared" si="0"/>
        <v>0.17821682568108904</v>
      </c>
      <c r="N3" s="1119">
        <f t="shared" si="0"/>
        <v>0.29286468501983037</v>
      </c>
      <c r="O3" s="1119">
        <f t="shared" si="0"/>
        <v>0</v>
      </c>
      <c r="P3" s="1120"/>
      <c r="Q3" s="1120"/>
      <c r="R3" s="1120"/>
      <c r="S3" s="1120"/>
      <c r="T3" s="1120"/>
      <c r="U3" s="1120"/>
      <c r="V3" s="1120"/>
      <c r="W3" s="1120"/>
      <c r="X3" s="1120"/>
      <c r="Y3" s="1120"/>
      <c r="Z3" s="1120"/>
      <c r="AA3" s="1120"/>
      <c r="AB3" s="1120"/>
      <c r="AC3" s="1118">
        <f>+(AC4+AC15+AC33+AC45+AC67+AC100+AC124)/7</f>
        <v>0.97179365079365077</v>
      </c>
      <c r="AD3" s="1118">
        <f>+(AD4+AD15+AD33+AD45+AD67+AD100+AD124)/7</f>
        <v>0.8280801355041183</v>
      </c>
      <c r="AE3" s="1118">
        <f>+(AE4+AE15+AE33+AE45+AE67+AE100+AE124)/7</f>
        <v>0.13599855463539826</v>
      </c>
      <c r="AF3" s="1119">
        <f>F4+F15+F33+F45+F67+F100+F124</f>
        <v>0.557975</v>
      </c>
      <c r="AG3" s="1119">
        <f>H4+H15+H33+H45+H67+H100+H124</f>
        <v>0.60508346002855107</v>
      </c>
      <c r="AH3" s="1119">
        <f>I4+I15+I33+I45+I67+I100+I124</f>
        <v>0.11530719628334492</v>
      </c>
      <c r="AI3" s="1118">
        <f>+(AI4+AI15+AI33+AI45+AI67+AI100+AI124)/7</f>
        <v>0.23111290679947327</v>
      </c>
      <c r="AJ3" s="1121">
        <v>0.48812060511247513</v>
      </c>
      <c r="AK3" s="1121">
        <f>+(AK4+AK15+AK33+AK45+AK67+AK100+AK124)/7</f>
        <v>0.52346057293872739</v>
      </c>
      <c r="AL3" s="1119">
        <f>+(AL4+AL15+AL33+AL45+AL67+AL100+AL124)/7</f>
        <v>0.1928528471183292</v>
      </c>
      <c r="AM3" s="1122">
        <f>+(AM4*E4)+(AM15*E15)+(AM33*E33)+(AM45*E45)+(AM67*E67)+(AM100*E100)+(AM124*E124)</f>
        <v>0.47987044466787071</v>
      </c>
      <c r="AN3" s="1122">
        <f>+(AN4*E4)+(AN15*E15)+(AN33*E33)+(AN45*E45)+(AN67*E67)+(AN100*E100)+(AN124*E124)</f>
        <v>0.50250755082733933</v>
      </c>
      <c r="AO3" s="1123"/>
      <c r="AP3" s="1124"/>
      <c r="AQ3" s="1124"/>
      <c r="AR3" s="1124"/>
      <c r="AS3" s="1124"/>
      <c r="AT3" s="1127"/>
      <c r="AU3" s="1129"/>
      <c r="AV3" s="1129"/>
      <c r="AW3" s="1128"/>
      <c r="AX3" s="1125"/>
      <c r="AY3" s="1125"/>
      <c r="AZ3" s="1125"/>
      <c r="BA3" s="1125"/>
      <c r="BB3" s="1125"/>
      <c r="BC3" s="1125"/>
      <c r="BD3" s="1125"/>
      <c r="BE3" s="1125"/>
      <c r="BF3" s="1125"/>
      <c r="BG3" s="1125"/>
      <c r="BH3" s="1125"/>
      <c r="BI3" s="1125"/>
      <c r="BJ3" s="1125"/>
      <c r="BK3" s="1125"/>
      <c r="BL3" s="1125"/>
      <c r="BM3" s="1125"/>
      <c r="BN3" s="1125"/>
      <c r="BO3" s="1125"/>
    </row>
    <row r="4" spans="1:125" ht="78" customHeight="1" thickBot="1" x14ac:dyDescent="0.4">
      <c r="A4" s="155"/>
      <c r="B4" s="1561" t="s">
        <v>1788</v>
      </c>
      <c r="C4" s="1562"/>
      <c r="D4" s="156"/>
      <c r="E4" s="158">
        <v>0.1</v>
      </c>
      <c r="F4" s="159">
        <f>+E4*AF4</f>
        <v>9.64E-2</v>
      </c>
      <c r="G4" s="160"/>
      <c r="H4" s="159">
        <f>+E4*AG4</f>
        <v>8.3699999999999997E-2</v>
      </c>
      <c r="I4" s="159">
        <f>+E4*AH4</f>
        <v>0</v>
      </c>
      <c r="J4" s="161">
        <f>+(J5+J11)/2</f>
        <v>0.2752</v>
      </c>
      <c r="K4" s="161">
        <f>+(K5+K11)/2</f>
        <v>0.25843333333333329</v>
      </c>
      <c r="L4" s="161">
        <f>+(L5+L11)/2</f>
        <v>0.30312499999999998</v>
      </c>
      <c r="M4" s="162">
        <f>+(M5+M11)/2</f>
        <v>0.2379</v>
      </c>
      <c r="N4" s="162">
        <f>+(N5+N11)/2</f>
        <v>0.26895000000000002</v>
      </c>
      <c r="O4" s="162"/>
      <c r="P4" s="163"/>
      <c r="Q4" s="163"/>
      <c r="R4" s="163"/>
      <c r="S4" s="163"/>
      <c r="T4" s="163"/>
      <c r="U4" s="163"/>
      <c r="V4" s="163"/>
      <c r="W4" s="163"/>
      <c r="X4" s="163"/>
      <c r="Y4" s="163"/>
      <c r="Z4" s="163"/>
      <c r="AA4" s="163"/>
      <c r="AB4" s="163"/>
      <c r="AC4" s="161">
        <f>+(AC5+AC11)/2</f>
        <v>0.98</v>
      </c>
      <c r="AD4" s="161">
        <f>+(AD5+AD11)/2</f>
        <v>0.85</v>
      </c>
      <c r="AE4" s="161">
        <f>+(AE5+AE11)/2</f>
        <v>0</v>
      </c>
      <c r="AF4" s="162">
        <f>+AF5+AF11</f>
        <v>0.96399999999999997</v>
      </c>
      <c r="AG4" s="162">
        <f>+AG5+AG11</f>
        <v>0.83699999999999997</v>
      </c>
      <c r="AH4" s="162">
        <f>+AH5+AH11</f>
        <v>0</v>
      </c>
      <c r="AI4" s="161">
        <f>(AI5+AI11)/2</f>
        <v>0.32019999999999998</v>
      </c>
      <c r="AJ4" s="161">
        <v>0.59083333333333332</v>
      </c>
      <c r="AK4" s="161">
        <f>(AK5+AK11)/2</f>
        <v>0.57433333333333336</v>
      </c>
      <c r="AL4" s="162">
        <f>+AL5+AL11</f>
        <v>0.24131999999999998</v>
      </c>
      <c r="AM4" s="162">
        <f>+(AM5*E5)+(AM11*E11)</f>
        <v>0.55075000000000007</v>
      </c>
      <c r="AN4" s="162">
        <f>+(AN5*E5)+(AN11*E11)</f>
        <v>0.52434999999999998</v>
      </c>
      <c r="AO4" s="904"/>
      <c r="AP4" s="163"/>
      <c r="AQ4" s="163"/>
      <c r="AR4" s="163"/>
      <c r="AS4" s="163"/>
      <c r="AT4" s="609"/>
      <c r="AU4" s="163"/>
      <c r="AV4" s="163"/>
      <c r="AW4" s="157"/>
      <c r="AX4" s="151"/>
      <c r="AY4" s="151"/>
      <c r="AZ4" s="151"/>
      <c r="BA4" s="151"/>
      <c r="BB4" s="151"/>
      <c r="BC4" s="151"/>
      <c r="BD4" s="151"/>
      <c r="BE4" s="151"/>
      <c r="BF4" s="151"/>
      <c r="BG4" s="151"/>
      <c r="BH4" s="151"/>
      <c r="BI4" s="151"/>
      <c r="BJ4" s="151"/>
      <c r="BK4" s="151"/>
      <c r="BL4" s="151"/>
      <c r="BM4" s="151"/>
      <c r="BN4" s="151"/>
      <c r="BO4" s="151"/>
    </row>
    <row r="5" spans="1:125" ht="39" customHeight="1" thickBot="1" x14ac:dyDescent="0.4">
      <c r="A5" s="155"/>
      <c r="B5" s="1557" t="s">
        <v>1700</v>
      </c>
      <c r="C5" s="1562"/>
      <c r="D5" s="165"/>
      <c r="E5" s="166">
        <v>0.4</v>
      </c>
      <c r="F5" s="167"/>
      <c r="G5" s="168"/>
      <c r="H5" s="168"/>
      <c r="I5" s="168"/>
      <c r="J5" s="169">
        <f>+AVERAGE(J6:J10)</f>
        <v>0.3004</v>
      </c>
      <c r="K5" s="169">
        <f>+AVERAGE(K6:K10)</f>
        <v>0.25019999999999998</v>
      </c>
      <c r="L5" s="169">
        <f>+AVERAGE(L6:L10)</f>
        <v>0.23125000000000001</v>
      </c>
      <c r="M5" s="169">
        <f>+M6+M7+M8+M9+M10</f>
        <v>0.2258</v>
      </c>
      <c r="N5" s="169">
        <f>+N6+N7+N8+N9+N10</f>
        <v>0.26290000000000002</v>
      </c>
      <c r="O5" s="169"/>
      <c r="P5" s="170"/>
      <c r="Q5" s="170"/>
      <c r="R5" s="170"/>
      <c r="S5" s="170"/>
      <c r="T5" s="170"/>
      <c r="U5" s="170"/>
      <c r="V5" s="170"/>
      <c r="W5" s="170"/>
      <c r="X5" s="170"/>
      <c r="Y5" s="170"/>
      <c r="Z5" s="170"/>
      <c r="AA5" s="170"/>
      <c r="AB5" s="170"/>
      <c r="AC5" s="192">
        <f>+AVERAGE(AC6:AC10)</f>
        <v>1</v>
      </c>
      <c r="AD5" s="192">
        <f>+AVERAGE(AD6:AD10)</f>
        <v>0.9</v>
      </c>
      <c r="AE5" s="192">
        <f>+AVERAGE(AE6:AE10)</f>
        <v>0</v>
      </c>
      <c r="AF5" s="192">
        <f>+(AF6+AF7+AF8+AF9+AF10)*E5</f>
        <v>0.4</v>
      </c>
      <c r="AG5" s="192">
        <f>+(AG6+AG7+AG8+AG9+AG10)*E5</f>
        <v>0.37200000000000005</v>
      </c>
      <c r="AH5" s="192">
        <f>+(AH6+AH7+AH8+AH9+AH10)*E5</f>
        <v>0</v>
      </c>
      <c r="AI5" s="169">
        <f>+AVERAGE(AI6:AI10)</f>
        <v>0.40039999999999998</v>
      </c>
      <c r="AJ5" s="169">
        <v>0.73</v>
      </c>
      <c r="AK5" s="169">
        <f>+AVERAGE(AK6:AK10)</f>
        <v>0.69699999999999995</v>
      </c>
      <c r="AL5" s="169">
        <f>+(AL6+AL7+AL8+AL9+AL10)*E5</f>
        <v>0.10031999999999999</v>
      </c>
      <c r="AM5" s="169">
        <f>+(AM6+AM7+AM8+AM9+AM10)</f>
        <v>0.70750000000000002</v>
      </c>
      <c r="AN5" s="169">
        <f>+(AN6+AN7+AN8+AN9+AN10)</f>
        <v>0.64149999999999996</v>
      </c>
      <c r="AO5" s="605"/>
      <c r="AP5" s="163"/>
      <c r="AQ5" s="163"/>
      <c r="AR5" s="163"/>
      <c r="AS5" s="163"/>
      <c r="AT5" s="609"/>
      <c r="AU5" s="163"/>
      <c r="AV5" s="163"/>
      <c r="AW5" s="157"/>
      <c r="AX5" s="151"/>
      <c r="AY5" s="151"/>
      <c r="AZ5" s="151"/>
      <c r="BA5" s="151"/>
      <c r="BB5" s="151"/>
      <c r="BC5" s="151"/>
      <c r="BD5" s="151"/>
      <c r="BE5" s="151"/>
      <c r="BF5" s="151"/>
      <c r="BG5" s="151"/>
      <c r="BH5" s="151"/>
      <c r="BI5" s="151"/>
      <c r="BJ5" s="151"/>
      <c r="BK5" s="151"/>
      <c r="BL5" s="151"/>
      <c r="BM5" s="151"/>
      <c r="BN5" s="151"/>
      <c r="BO5" s="151"/>
    </row>
    <row r="6" spans="1:125" ht="76.95" customHeight="1" thickBot="1" x14ac:dyDescent="0.4">
      <c r="A6" s="155"/>
      <c r="B6" s="181" t="s">
        <v>681</v>
      </c>
      <c r="C6" s="1480" t="s">
        <v>1391</v>
      </c>
      <c r="D6" s="165" t="s">
        <v>683</v>
      </c>
      <c r="E6" s="174">
        <v>0.05</v>
      </c>
      <c r="F6" s="175">
        <v>1</v>
      </c>
      <c r="G6" s="170">
        <v>0.5</v>
      </c>
      <c r="H6" s="236"/>
      <c r="I6" s="236">
        <v>0</v>
      </c>
      <c r="J6" s="176">
        <f>+G6/F6</f>
        <v>0.5</v>
      </c>
      <c r="K6" s="176">
        <f>+H6/F6</f>
        <v>0</v>
      </c>
      <c r="L6" s="176"/>
      <c r="M6" s="176">
        <f>+(G6/F6)*E6</f>
        <v>2.5000000000000001E-2</v>
      </c>
      <c r="N6" s="176">
        <f>+(H6/F6)*E6</f>
        <v>0</v>
      </c>
      <c r="O6" s="176"/>
      <c r="P6" s="170">
        <v>1</v>
      </c>
      <c r="Q6" s="541"/>
      <c r="R6" s="541"/>
      <c r="S6" s="541"/>
      <c r="T6" s="541">
        <v>0</v>
      </c>
      <c r="U6" s="541"/>
      <c r="V6" s="170">
        <f>+Q6+R6+S6+T6+U6</f>
        <v>0</v>
      </c>
      <c r="W6" s="170">
        <f>+V6+P6+AB6</f>
        <v>1</v>
      </c>
      <c r="X6" s="541">
        <v>0</v>
      </c>
      <c r="Y6" s="170"/>
      <c r="Z6" s="170"/>
      <c r="AA6" s="170"/>
      <c r="AB6" s="170">
        <f>+X6+Y6+Z6+AA6</f>
        <v>0</v>
      </c>
      <c r="AC6" s="176">
        <v>1</v>
      </c>
      <c r="AD6" s="176"/>
      <c r="AE6" s="176"/>
      <c r="AF6" s="178">
        <f>+AC6*E6</f>
        <v>0.05</v>
      </c>
      <c r="AG6" s="178">
        <f>+AD6*E6</f>
        <v>0</v>
      </c>
      <c r="AH6" s="178"/>
      <c r="AI6" s="176">
        <f>+P6/F6</f>
        <v>1</v>
      </c>
      <c r="AJ6" s="176">
        <v>1</v>
      </c>
      <c r="AK6" s="194">
        <f>+W6/F6</f>
        <v>1</v>
      </c>
      <c r="AL6" s="194">
        <f>+AI6*E6</f>
        <v>0.05</v>
      </c>
      <c r="AM6" s="194">
        <f>+AJ6*E6</f>
        <v>0.05</v>
      </c>
      <c r="AN6" s="1481">
        <f>+AK6*E6</f>
        <v>0.05</v>
      </c>
      <c r="AO6" s="598" t="s">
        <v>1591</v>
      </c>
      <c r="AP6" s="644" t="s">
        <v>1897</v>
      </c>
      <c r="AQ6" s="644" t="s">
        <v>1897</v>
      </c>
      <c r="AR6" s="908" t="s">
        <v>2288</v>
      </c>
      <c r="AS6" s="908" t="s">
        <v>2402</v>
      </c>
      <c r="AT6" s="985" t="s">
        <v>2436</v>
      </c>
      <c r="AU6" s="644" t="s">
        <v>2509</v>
      </c>
      <c r="AV6" s="908" t="s">
        <v>1893</v>
      </c>
      <c r="AW6" s="157"/>
      <c r="AX6" s="151"/>
      <c r="AY6" s="151"/>
      <c r="AZ6" s="151"/>
      <c r="BA6" s="151"/>
      <c r="BB6" s="151"/>
      <c r="BC6" s="151"/>
      <c r="BD6" s="151"/>
      <c r="BE6" s="151"/>
      <c r="BF6" s="151"/>
      <c r="BG6" s="151"/>
      <c r="BH6" s="151"/>
      <c r="BI6" s="151"/>
      <c r="BJ6" s="151"/>
      <c r="BK6" s="151"/>
      <c r="BL6" s="151"/>
      <c r="BM6" s="151"/>
      <c r="BN6" s="151"/>
      <c r="BO6" s="151"/>
    </row>
    <row r="7" spans="1:125" ht="89.4" customHeight="1" thickBot="1" x14ac:dyDescent="0.4">
      <c r="A7" s="155"/>
      <c r="B7" s="181" t="s">
        <v>682</v>
      </c>
      <c r="C7" s="1480" t="s">
        <v>1392</v>
      </c>
      <c r="D7" s="165" t="s">
        <v>683</v>
      </c>
      <c r="E7" s="174">
        <v>0.25</v>
      </c>
      <c r="F7" s="175">
        <v>4</v>
      </c>
      <c r="G7" s="170">
        <v>2</v>
      </c>
      <c r="H7" s="170">
        <v>2</v>
      </c>
      <c r="I7" s="170">
        <v>1</v>
      </c>
      <c r="J7" s="176">
        <f>+G7/F7</f>
        <v>0.5</v>
      </c>
      <c r="K7" s="176">
        <f t="shared" ref="K7:K14" si="1">+H7/F7</f>
        <v>0.5</v>
      </c>
      <c r="L7" s="176">
        <f t="shared" ref="L7:L8" si="2">+I7/F7</f>
        <v>0.25</v>
      </c>
      <c r="M7" s="176">
        <f>+(G7/F7)*E7</f>
        <v>0.125</v>
      </c>
      <c r="N7" s="176">
        <f t="shared" ref="N7:N14" si="3">+(H7/F7)*E7</f>
        <v>0.125</v>
      </c>
      <c r="O7" s="176"/>
      <c r="P7" s="170">
        <v>2</v>
      </c>
      <c r="Q7" s="541">
        <v>0</v>
      </c>
      <c r="R7" s="541">
        <v>0.2</v>
      </c>
      <c r="S7" s="541">
        <v>0.2</v>
      </c>
      <c r="T7" s="541">
        <v>0.2</v>
      </c>
      <c r="U7" s="541">
        <v>1.4</v>
      </c>
      <c r="V7" s="170">
        <f t="shared" ref="V7:V9" si="4">+Q7+R7+S7+T7+U7</f>
        <v>2</v>
      </c>
      <c r="W7" s="170">
        <f t="shared" ref="W7:W10" si="5">+V7+P7+AB7</f>
        <v>4</v>
      </c>
      <c r="X7" s="541"/>
      <c r="Y7" s="170"/>
      <c r="Z7" s="170"/>
      <c r="AA7" s="170"/>
      <c r="AB7" s="170">
        <f t="shared" ref="AB7:AB14" si="6">+X7+Y7+Z7+AA7</f>
        <v>0</v>
      </c>
      <c r="AC7" s="176">
        <f>+(P7/G7)</f>
        <v>1</v>
      </c>
      <c r="AD7" s="176">
        <f>+V7/H7</f>
        <v>1</v>
      </c>
      <c r="AE7" s="176">
        <f>+AB7/I7</f>
        <v>0</v>
      </c>
      <c r="AF7" s="178">
        <f>+AC7*E7</f>
        <v>0.25</v>
      </c>
      <c r="AG7" s="178">
        <f t="shared" ref="AG7:AG14" si="7">+AD7*E7</f>
        <v>0.25</v>
      </c>
      <c r="AH7" s="178">
        <f>+AE7*E7</f>
        <v>0</v>
      </c>
      <c r="AI7" s="176">
        <f>+P7/F7</f>
        <v>0.5</v>
      </c>
      <c r="AJ7" s="176">
        <v>1</v>
      </c>
      <c r="AK7" s="194">
        <f t="shared" ref="AK7:AK14" si="8">+W7/F7</f>
        <v>1</v>
      </c>
      <c r="AL7" s="194">
        <f>+AI7*E7</f>
        <v>0.125</v>
      </c>
      <c r="AM7" s="194">
        <f>+AJ7*E7</f>
        <v>0.25</v>
      </c>
      <c r="AN7" s="1481">
        <f t="shared" ref="AN7:AN14" si="9">+AK7*E7</f>
        <v>0.25</v>
      </c>
      <c r="AO7" s="566" t="s">
        <v>1850</v>
      </c>
      <c r="AP7" s="909" t="s">
        <v>1892</v>
      </c>
      <c r="AQ7" s="909" t="s">
        <v>2267</v>
      </c>
      <c r="AR7" s="908" t="s">
        <v>2288</v>
      </c>
      <c r="AS7" s="908" t="s">
        <v>2402</v>
      </c>
      <c r="AT7" s="985" t="s">
        <v>2436</v>
      </c>
      <c r="AU7" s="908" t="s">
        <v>2493</v>
      </c>
      <c r="AV7" s="908" t="s">
        <v>1893</v>
      </c>
      <c r="AW7" s="157"/>
      <c r="AX7" s="151"/>
      <c r="AY7" s="151"/>
      <c r="AZ7" s="151"/>
      <c r="BA7" s="151"/>
      <c r="BB7" s="151"/>
      <c r="BC7" s="151"/>
      <c r="BD7" s="151"/>
      <c r="BE7" s="151"/>
      <c r="BF7" s="151"/>
      <c r="BG7" s="151"/>
      <c r="BH7" s="151"/>
      <c r="BI7" s="151"/>
      <c r="BJ7" s="151"/>
      <c r="BK7" s="151"/>
      <c r="BL7" s="151"/>
      <c r="BM7" s="151"/>
      <c r="BN7" s="151"/>
      <c r="BO7" s="151"/>
    </row>
    <row r="8" spans="1:125" ht="108.6" customHeight="1" thickBot="1" x14ac:dyDescent="0.4">
      <c r="A8" s="155"/>
      <c r="B8" s="181" t="s">
        <v>684</v>
      </c>
      <c r="C8" s="1480" t="s">
        <v>1393</v>
      </c>
      <c r="D8" s="182" t="s">
        <v>683</v>
      </c>
      <c r="E8" s="174">
        <v>0.25</v>
      </c>
      <c r="F8" s="175">
        <v>8</v>
      </c>
      <c r="G8" s="170">
        <v>2</v>
      </c>
      <c r="H8" s="170">
        <v>4</v>
      </c>
      <c r="I8" s="170">
        <v>1</v>
      </c>
      <c r="J8" s="176">
        <f>+G8/F8</f>
        <v>0.25</v>
      </c>
      <c r="K8" s="176">
        <f t="shared" si="1"/>
        <v>0.5</v>
      </c>
      <c r="L8" s="176">
        <f t="shared" si="2"/>
        <v>0.125</v>
      </c>
      <c r="M8" s="176">
        <f>+(G8/F8)*E8</f>
        <v>6.25E-2</v>
      </c>
      <c r="N8" s="176">
        <f>+(H8/F8)*E8</f>
        <v>0.125</v>
      </c>
      <c r="O8" s="176"/>
      <c r="P8" s="170">
        <v>2</v>
      </c>
      <c r="Q8" s="541">
        <v>0</v>
      </c>
      <c r="R8" s="541">
        <v>0.5</v>
      </c>
      <c r="S8" s="541">
        <v>0.5</v>
      </c>
      <c r="T8" s="541">
        <v>0</v>
      </c>
      <c r="U8" s="541">
        <v>3</v>
      </c>
      <c r="V8" s="170">
        <f t="shared" si="4"/>
        <v>4</v>
      </c>
      <c r="W8" s="170">
        <f t="shared" si="5"/>
        <v>6</v>
      </c>
      <c r="X8" s="541">
        <v>0</v>
      </c>
      <c r="Y8" s="170"/>
      <c r="Z8" s="170"/>
      <c r="AA8" s="170"/>
      <c r="AB8" s="170">
        <f t="shared" si="6"/>
        <v>0</v>
      </c>
      <c r="AC8" s="176">
        <f>+(P8/G8)</f>
        <v>1</v>
      </c>
      <c r="AD8" s="176">
        <f>+V8/H8</f>
        <v>1</v>
      </c>
      <c r="AE8" s="176">
        <f t="shared" ref="AE8" si="10">+AB8/I8</f>
        <v>0</v>
      </c>
      <c r="AF8" s="178">
        <f>+AC8*E8</f>
        <v>0.25</v>
      </c>
      <c r="AG8" s="178">
        <f t="shared" si="7"/>
        <v>0.25</v>
      </c>
      <c r="AH8" s="178">
        <f>+AE8*E8</f>
        <v>0</v>
      </c>
      <c r="AI8" s="176">
        <f>+P8/F8</f>
        <v>0.25</v>
      </c>
      <c r="AJ8" s="176">
        <v>0.75</v>
      </c>
      <c r="AK8" s="194">
        <f t="shared" si="8"/>
        <v>0.75</v>
      </c>
      <c r="AL8" s="194">
        <f>+AI8*E8</f>
        <v>6.25E-2</v>
      </c>
      <c r="AM8" s="194">
        <f>+AJ8*E8</f>
        <v>0.1875</v>
      </c>
      <c r="AN8" s="1481">
        <f t="shared" si="9"/>
        <v>0.1875</v>
      </c>
      <c r="AO8" s="566" t="s">
        <v>1850</v>
      </c>
      <c r="AP8" s="909" t="s">
        <v>1892</v>
      </c>
      <c r="AQ8" s="909" t="s">
        <v>2267</v>
      </c>
      <c r="AR8" s="908" t="s">
        <v>2288</v>
      </c>
      <c r="AS8" s="908" t="s">
        <v>2402</v>
      </c>
      <c r="AT8" s="985" t="s">
        <v>2436</v>
      </c>
      <c r="AU8" s="908" t="s">
        <v>2493</v>
      </c>
      <c r="AV8" s="908" t="s">
        <v>1893</v>
      </c>
      <c r="AW8" s="157"/>
      <c r="AX8" s="151"/>
      <c r="AY8" s="151"/>
      <c r="AZ8" s="151"/>
      <c r="BA8" s="151"/>
      <c r="BB8" s="151"/>
      <c r="BC8" s="151"/>
      <c r="BD8" s="151"/>
      <c r="BE8" s="151"/>
      <c r="BF8" s="151"/>
      <c r="BG8" s="151"/>
      <c r="BH8" s="151"/>
      <c r="BI8" s="151"/>
      <c r="BJ8" s="151"/>
      <c r="BK8" s="151"/>
      <c r="BL8" s="151"/>
      <c r="BM8" s="151"/>
      <c r="BN8" s="151"/>
      <c r="BO8" s="151"/>
    </row>
    <row r="9" spans="1:125" ht="75.599999999999994" customHeight="1" thickBot="1" x14ac:dyDescent="0.4">
      <c r="A9" s="155"/>
      <c r="B9" s="181" t="s">
        <v>685</v>
      </c>
      <c r="C9" s="1482" t="s">
        <v>1394</v>
      </c>
      <c r="D9" s="184" t="s">
        <v>683</v>
      </c>
      <c r="E9" s="174">
        <v>0.4</v>
      </c>
      <c r="F9" s="175">
        <v>1000</v>
      </c>
      <c r="G9" s="170">
        <v>2</v>
      </c>
      <c r="H9" s="236">
        <v>1</v>
      </c>
      <c r="I9" s="170">
        <v>400</v>
      </c>
      <c r="J9" s="170">
        <f>+G9/F9</f>
        <v>2E-3</v>
      </c>
      <c r="K9" s="176">
        <f t="shared" si="1"/>
        <v>1E-3</v>
      </c>
      <c r="L9" s="176">
        <f>+I9/F9</f>
        <v>0.4</v>
      </c>
      <c r="M9" s="242">
        <f>+(G9/F9)*E9</f>
        <v>8.0000000000000004E-4</v>
      </c>
      <c r="N9" s="176">
        <f t="shared" si="3"/>
        <v>4.0000000000000002E-4</v>
      </c>
      <c r="O9" s="176"/>
      <c r="P9" s="170">
        <v>2</v>
      </c>
      <c r="Q9" s="541">
        <v>0</v>
      </c>
      <c r="R9" s="541">
        <v>0</v>
      </c>
      <c r="S9" s="541">
        <v>0</v>
      </c>
      <c r="T9" s="541">
        <v>0</v>
      </c>
      <c r="U9" s="541">
        <v>333</v>
      </c>
      <c r="V9" s="170">
        <f t="shared" si="4"/>
        <v>333</v>
      </c>
      <c r="W9" s="170">
        <f t="shared" si="5"/>
        <v>335</v>
      </c>
      <c r="X9" s="541">
        <v>0</v>
      </c>
      <c r="Y9" s="170"/>
      <c r="Z9" s="170"/>
      <c r="AA9" s="170"/>
      <c r="AB9" s="170">
        <f t="shared" si="6"/>
        <v>0</v>
      </c>
      <c r="AC9" s="176">
        <f>+(P9/G9)</f>
        <v>1</v>
      </c>
      <c r="AD9" s="176">
        <v>1</v>
      </c>
      <c r="AE9" s="176">
        <f>+AB9/I9</f>
        <v>0</v>
      </c>
      <c r="AF9" s="178">
        <f>+AC9*E9</f>
        <v>0.4</v>
      </c>
      <c r="AG9" s="178">
        <f t="shared" si="7"/>
        <v>0.4</v>
      </c>
      <c r="AH9" s="178">
        <f>+AE9*E9</f>
        <v>0</v>
      </c>
      <c r="AI9" s="176">
        <f>+P9/F9</f>
        <v>2E-3</v>
      </c>
      <c r="AJ9" s="176">
        <v>0.5</v>
      </c>
      <c r="AK9" s="194">
        <f t="shared" si="8"/>
        <v>0.33500000000000002</v>
      </c>
      <c r="AL9" s="194">
        <f>+AI9*E9</f>
        <v>8.0000000000000004E-4</v>
      </c>
      <c r="AM9" s="194">
        <f>+AJ9*E9</f>
        <v>0.2</v>
      </c>
      <c r="AN9" s="1481">
        <f t="shared" si="9"/>
        <v>0.13400000000000001</v>
      </c>
      <c r="AO9" s="566" t="s">
        <v>1850</v>
      </c>
      <c r="AP9" s="644" t="s">
        <v>1989</v>
      </c>
      <c r="AQ9" s="909" t="s">
        <v>2267</v>
      </c>
      <c r="AR9" s="644" t="s">
        <v>2296</v>
      </c>
      <c r="AS9" s="644" t="s">
        <v>2296</v>
      </c>
      <c r="AT9" s="925" t="s">
        <v>2296</v>
      </c>
      <c r="AU9" s="644" t="s">
        <v>2296</v>
      </c>
      <c r="AV9" s="908" t="s">
        <v>1893</v>
      </c>
      <c r="AW9" s="157"/>
      <c r="AX9" s="151"/>
      <c r="AY9" s="151"/>
      <c r="AZ9" s="151"/>
      <c r="BA9" s="151"/>
      <c r="BB9" s="151"/>
      <c r="BC9" s="151"/>
      <c r="BD9" s="151"/>
      <c r="BE9" s="151"/>
      <c r="BF9" s="151"/>
      <c r="BG9" s="151"/>
      <c r="BH9" s="151"/>
      <c r="BI9" s="151"/>
      <c r="BJ9" s="151"/>
      <c r="BK9" s="151"/>
      <c r="BL9" s="151"/>
      <c r="BM9" s="151"/>
      <c r="BN9" s="151"/>
      <c r="BO9" s="151"/>
    </row>
    <row r="10" spans="1:125" ht="121.2" customHeight="1" thickBot="1" x14ac:dyDescent="0.4">
      <c r="A10" s="155"/>
      <c r="B10" s="181" t="s">
        <v>686</v>
      </c>
      <c r="C10" s="1480" t="s">
        <v>1395</v>
      </c>
      <c r="D10" s="185" t="s">
        <v>683</v>
      </c>
      <c r="E10" s="174">
        <v>0.05</v>
      </c>
      <c r="F10" s="175">
        <v>4</v>
      </c>
      <c r="G10" s="170">
        <v>1</v>
      </c>
      <c r="H10" s="170">
        <v>1</v>
      </c>
      <c r="I10" s="170">
        <v>0.6</v>
      </c>
      <c r="J10" s="176">
        <f>+G10/F10</f>
        <v>0.25</v>
      </c>
      <c r="K10" s="176">
        <f t="shared" si="1"/>
        <v>0.25</v>
      </c>
      <c r="L10" s="176">
        <f>+I10/F10</f>
        <v>0.15</v>
      </c>
      <c r="M10" s="176">
        <f>+(G10/F10)*E10</f>
        <v>1.2500000000000001E-2</v>
      </c>
      <c r="N10" s="176">
        <f t="shared" si="3"/>
        <v>1.2500000000000001E-2</v>
      </c>
      <c r="O10" s="176"/>
      <c r="P10" s="170">
        <v>1</v>
      </c>
      <c r="Q10" s="541">
        <v>0</v>
      </c>
      <c r="R10" s="541">
        <v>0</v>
      </c>
      <c r="S10" s="541">
        <v>0</v>
      </c>
      <c r="T10" s="541">
        <v>0.6</v>
      </c>
      <c r="U10" s="541"/>
      <c r="V10" s="170">
        <f>+Q10+R10+S10+T10+U10</f>
        <v>0.6</v>
      </c>
      <c r="W10" s="170">
        <f t="shared" si="5"/>
        <v>1.6</v>
      </c>
      <c r="X10" s="541">
        <v>0</v>
      </c>
      <c r="Y10" s="170"/>
      <c r="Z10" s="170"/>
      <c r="AA10" s="170"/>
      <c r="AB10" s="170">
        <f t="shared" si="6"/>
        <v>0</v>
      </c>
      <c r="AC10" s="176">
        <f>+(P10/G10)</f>
        <v>1</v>
      </c>
      <c r="AD10" s="176">
        <f t="shared" ref="AD10:AD14" si="11">+V10/H10</f>
        <v>0.6</v>
      </c>
      <c r="AE10" s="176">
        <f>+AB10/I10</f>
        <v>0</v>
      </c>
      <c r="AF10" s="178">
        <f>+AC10*E10</f>
        <v>0.05</v>
      </c>
      <c r="AG10" s="178">
        <f t="shared" si="7"/>
        <v>0.03</v>
      </c>
      <c r="AH10" s="178">
        <f t="shared" ref="AH10:AH14" si="12">+AE10*E10</f>
        <v>0</v>
      </c>
      <c r="AI10" s="176">
        <f>+P10/F10</f>
        <v>0.25</v>
      </c>
      <c r="AJ10" s="176">
        <v>0.4</v>
      </c>
      <c r="AK10" s="194">
        <f t="shared" si="8"/>
        <v>0.4</v>
      </c>
      <c r="AL10" s="194">
        <f>+AI10*E10</f>
        <v>1.2500000000000001E-2</v>
      </c>
      <c r="AM10" s="194">
        <f>+AJ10*E10</f>
        <v>2.0000000000000004E-2</v>
      </c>
      <c r="AN10" s="1481">
        <f t="shared" si="9"/>
        <v>2.0000000000000004E-2</v>
      </c>
      <c r="AO10" s="566" t="s">
        <v>1850</v>
      </c>
      <c r="AP10" s="163"/>
      <c r="AQ10" s="909" t="s">
        <v>2267</v>
      </c>
      <c r="AR10" s="908" t="s">
        <v>2288</v>
      </c>
      <c r="AS10" s="908" t="s">
        <v>2402</v>
      </c>
      <c r="AT10" s="985" t="s">
        <v>2436</v>
      </c>
      <c r="AU10" s="908" t="s">
        <v>2493</v>
      </c>
      <c r="AV10" s="908" t="s">
        <v>1893</v>
      </c>
      <c r="AW10" s="157"/>
      <c r="AX10" s="151"/>
      <c r="AY10" s="151"/>
      <c r="AZ10" s="151"/>
      <c r="BA10" s="151"/>
      <c r="BB10" s="151"/>
      <c r="BC10" s="151"/>
      <c r="BD10" s="151"/>
      <c r="BE10" s="151"/>
      <c r="BF10" s="151"/>
      <c r="BG10" s="151"/>
      <c r="BH10" s="151"/>
      <c r="BI10" s="151"/>
      <c r="BJ10" s="151"/>
      <c r="BK10" s="151"/>
      <c r="BL10" s="151"/>
      <c r="BM10" s="151"/>
      <c r="BN10" s="151"/>
      <c r="BO10" s="151"/>
    </row>
    <row r="11" spans="1:125" ht="28.5" customHeight="1" thickBot="1" x14ac:dyDescent="0.4">
      <c r="A11" s="155"/>
      <c r="B11" s="1557" t="s">
        <v>1701</v>
      </c>
      <c r="C11" s="1558"/>
      <c r="D11" s="185"/>
      <c r="E11" s="166">
        <v>0.6</v>
      </c>
      <c r="F11" s="167"/>
      <c r="G11" s="168"/>
      <c r="H11" s="168"/>
      <c r="I11" s="168"/>
      <c r="J11" s="169">
        <f>+AVERAGE(J12:J14)</f>
        <v>0.25</v>
      </c>
      <c r="K11" s="169">
        <f>+AVERAGE(K12:K14)</f>
        <v>0.26666666666666666</v>
      </c>
      <c r="L11" s="169">
        <f>+AVERAGE(L12:L14)</f>
        <v>0.375</v>
      </c>
      <c r="M11" s="169">
        <f>+M12+M13+M14</f>
        <v>0.25</v>
      </c>
      <c r="N11" s="169">
        <f>+N12+N13+N14</f>
        <v>0.27500000000000002</v>
      </c>
      <c r="O11" s="169"/>
      <c r="P11" s="170"/>
      <c r="Q11" s="170"/>
      <c r="R11" s="170"/>
      <c r="S11" s="170"/>
      <c r="T11" s="170"/>
      <c r="U11" s="170"/>
      <c r="V11" s="170"/>
      <c r="W11" s="170"/>
      <c r="X11" s="170"/>
      <c r="Y11" s="170"/>
      <c r="Z11" s="170"/>
      <c r="AA11" s="170"/>
      <c r="AB11" s="170"/>
      <c r="AC11" s="192">
        <f>+AVERAGE(AC12:AC14)</f>
        <v>0.96</v>
      </c>
      <c r="AD11" s="192">
        <f>+AVERAGE(AD12:AD14)</f>
        <v>0.79999999999999993</v>
      </c>
      <c r="AE11" s="192">
        <f>+AVERAGE(AE12:AE14)</f>
        <v>0</v>
      </c>
      <c r="AF11" s="192">
        <f>+(AF12+AF13+AF14)*E11</f>
        <v>0.56399999999999995</v>
      </c>
      <c r="AG11" s="192">
        <f>+(AG12+AG13+AG14)*E11</f>
        <v>0.46499999999999997</v>
      </c>
      <c r="AH11" s="192">
        <f>+(AH12+AH13+AH14)*E11</f>
        <v>0</v>
      </c>
      <c r="AI11" s="169">
        <f>+AVERAGE(AI12:AI14)</f>
        <v>0.24</v>
      </c>
      <c r="AJ11" s="169">
        <v>0.45166666666666666</v>
      </c>
      <c r="AK11" s="169">
        <f>+AVERAGE(AK12:AK14)</f>
        <v>0.45166666666666666</v>
      </c>
      <c r="AL11" s="169">
        <f>+(AL12+AL13+AL14)*E11</f>
        <v>0.14099999999999999</v>
      </c>
      <c r="AM11" s="169">
        <f>+(AM12+AM13+AM14)</f>
        <v>0.44624999999999998</v>
      </c>
      <c r="AN11" s="169">
        <f>+(AN12+AN13+AN14)</f>
        <v>0.44624999999999998</v>
      </c>
      <c r="AO11" s="605"/>
      <c r="AP11" s="163"/>
      <c r="AQ11" s="163"/>
      <c r="AR11" s="163"/>
      <c r="AS11" s="163"/>
      <c r="AT11" s="609"/>
      <c r="AU11" s="163"/>
      <c r="AV11" s="163"/>
      <c r="AW11" s="157"/>
      <c r="AX11" s="151"/>
      <c r="AY11" s="151"/>
      <c r="AZ11" s="151"/>
      <c r="BA11" s="151"/>
      <c r="BB11" s="151"/>
      <c r="BC11" s="151"/>
      <c r="BD11" s="151"/>
      <c r="BE11" s="151"/>
      <c r="BF11" s="151"/>
      <c r="BG11" s="151"/>
      <c r="BH11" s="151"/>
      <c r="BI11" s="151"/>
      <c r="BJ11" s="151"/>
      <c r="BK11" s="151"/>
      <c r="BL11" s="151"/>
      <c r="BM11" s="151"/>
      <c r="BN11" s="151"/>
      <c r="BO11" s="151"/>
    </row>
    <row r="12" spans="1:125" ht="49.2" customHeight="1" thickBot="1" x14ac:dyDescent="0.4">
      <c r="A12" s="155"/>
      <c r="B12" s="790" t="s">
        <v>687</v>
      </c>
      <c r="C12" s="794" t="s">
        <v>1396</v>
      </c>
      <c r="D12" s="185" t="s">
        <v>683</v>
      </c>
      <c r="E12" s="174">
        <v>0.25</v>
      </c>
      <c r="F12" s="175">
        <v>4</v>
      </c>
      <c r="G12" s="170">
        <v>1</v>
      </c>
      <c r="H12" s="170">
        <v>1</v>
      </c>
      <c r="I12" s="170">
        <v>1</v>
      </c>
      <c r="J12" s="176">
        <f>+G12/F12</f>
        <v>0.25</v>
      </c>
      <c r="K12" s="176">
        <f t="shared" si="1"/>
        <v>0.25</v>
      </c>
      <c r="L12" s="176">
        <f t="shared" ref="L12:L14" si="13">+I12/F12</f>
        <v>0.25</v>
      </c>
      <c r="M12" s="176">
        <f>+(G12/F12)*E12</f>
        <v>6.25E-2</v>
      </c>
      <c r="N12" s="176">
        <f t="shared" si="3"/>
        <v>6.25E-2</v>
      </c>
      <c r="O12" s="176"/>
      <c r="P12" s="170">
        <v>1</v>
      </c>
      <c r="Q12" s="541">
        <v>0.1</v>
      </c>
      <c r="R12" s="541">
        <v>0.9</v>
      </c>
      <c r="S12" s="541">
        <v>0</v>
      </c>
      <c r="T12" s="541">
        <v>0</v>
      </c>
      <c r="U12" s="541"/>
      <c r="V12" s="170">
        <f>+Q12+R12+S12+T12+U12</f>
        <v>1</v>
      </c>
      <c r="W12" s="170">
        <f>+V12+P12+AB12</f>
        <v>2</v>
      </c>
      <c r="X12" s="541">
        <v>0</v>
      </c>
      <c r="Y12" s="170"/>
      <c r="Z12" s="170"/>
      <c r="AA12" s="170"/>
      <c r="AB12" s="170">
        <f>+X12+Y12+Z12+AA12</f>
        <v>0</v>
      </c>
      <c r="AC12" s="176">
        <f>+(P12/G12)</f>
        <v>1</v>
      </c>
      <c r="AD12" s="176">
        <f t="shared" si="11"/>
        <v>1</v>
      </c>
      <c r="AE12" s="176">
        <f t="shared" ref="AE12:AE14" si="14">+AB12/I12</f>
        <v>0</v>
      </c>
      <c r="AF12" s="178">
        <f>+AC12*E12</f>
        <v>0.25</v>
      </c>
      <c r="AG12" s="178">
        <f t="shared" si="7"/>
        <v>0.25</v>
      </c>
      <c r="AH12" s="178">
        <f t="shared" si="12"/>
        <v>0</v>
      </c>
      <c r="AI12" s="176">
        <f>+P12/F12</f>
        <v>0.25</v>
      </c>
      <c r="AJ12" s="176">
        <v>0.5</v>
      </c>
      <c r="AK12" s="194">
        <f t="shared" si="8"/>
        <v>0.5</v>
      </c>
      <c r="AL12" s="194">
        <f>+AI12*E12</f>
        <v>6.25E-2</v>
      </c>
      <c r="AM12" s="194">
        <f>+AJ12*E12</f>
        <v>0.125</v>
      </c>
      <c r="AN12" s="230">
        <f t="shared" si="9"/>
        <v>0.125</v>
      </c>
      <c r="AO12" s="566" t="s">
        <v>1850</v>
      </c>
      <c r="AP12" s="909" t="s">
        <v>1892</v>
      </c>
      <c r="AQ12" s="909" t="s">
        <v>2267</v>
      </c>
      <c r="AR12" s="908" t="s">
        <v>2288</v>
      </c>
      <c r="AS12" s="644" t="s">
        <v>2419</v>
      </c>
      <c r="AT12" s="609"/>
      <c r="AU12" s="908" t="s">
        <v>2493</v>
      </c>
      <c r="AV12" s="644" t="s">
        <v>1865</v>
      </c>
      <c r="AW12" s="157"/>
      <c r="AX12" s="151"/>
      <c r="AY12" s="151"/>
      <c r="AZ12" s="151"/>
      <c r="BA12" s="151"/>
      <c r="BB12" s="151"/>
      <c r="BC12" s="151"/>
      <c r="BD12" s="151"/>
      <c r="BE12" s="151"/>
      <c r="BF12" s="151"/>
      <c r="BG12" s="151"/>
      <c r="BH12" s="151"/>
      <c r="BI12" s="151"/>
      <c r="BJ12" s="151"/>
      <c r="BK12" s="151"/>
      <c r="BL12" s="151"/>
      <c r="BM12" s="151"/>
      <c r="BN12" s="151"/>
      <c r="BO12" s="151"/>
    </row>
    <row r="13" spans="1:125" ht="57.6" customHeight="1" thickBot="1" x14ac:dyDescent="0.4">
      <c r="A13" s="155"/>
      <c r="B13" s="173" t="s">
        <v>688</v>
      </c>
      <c r="C13" s="183" t="s">
        <v>1397</v>
      </c>
      <c r="D13" s="185" t="s">
        <v>683</v>
      </c>
      <c r="E13" s="174">
        <v>0.5</v>
      </c>
      <c r="F13" s="175">
        <v>100</v>
      </c>
      <c r="G13" s="170">
        <v>25</v>
      </c>
      <c r="H13" s="170">
        <v>30</v>
      </c>
      <c r="I13" s="170">
        <v>50</v>
      </c>
      <c r="J13" s="176">
        <f>+G13/F13</f>
        <v>0.25</v>
      </c>
      <c r="K13" s="176">
        <f t="shared" si="1"/>
        <v>0.3</v>
      </c>
      <c r="L13" s="176">
        <f>+I13/F13</f>
        <v>0.5</v>
      </c>
      <c r="M13" s="176">
        <f>+(G13/F13)*E13</f>
        <v>0.125</v>
      </c>
      <c r="N13" s="176">
        <f t="shared" si="3"/>
        <v>0.15</v>
      </c>
      <c r="O13" s="176"/>
      <c r="P13" s="170">
        <v>22</v>
      </c>
      <c r="Q13" s="541">
        <v>0</v>
      </c>
      <c r="R13" s="541">
        <v>15</v>
      </c>
      <c r="S13" s="541">
        <v>0</v>
      </c>
      <c r="T13" s="541"/>
      <c r="U13" s="541">
        <v>6</v>
      </c>
      <c r="V13" s="170">
        <f t="shared" ref="V13:V14" si="15">+Q13+R13+S13+T13+U13</f>
        <v>21</v>
      </c>
      <c r="W13" s="170">
        <f t="shared" ref="W13:W14" si="16">+V13+P13+AB13</f>
        <v>43</v>
      </c>
      <c r="X13" s="541">
        <v>0</v>
      </c>
      <c r="Y13" s="170"/>
      <c r="Z13" s="170"/>
      <c r="AA13" s="170"/>
      <c r="AB13" s="170">
        <f t="shared" si="6"/>
        <v>0</v>
      </c>
      <c r="AC13" s="176">
        <f>+(P13/G13)</f>
        <v>0.88</v>
      </c>
      <c r="AD13" s="176">
        <f t="shared" si="11"/>
        <v>0.7</v>
      </c>
      <c r="AE13" s="176">
        <f>+AB13/I13</f>
        <v>0</v>
      </c>
      <c r="AF13" s="178">
        <f>+AC13*E13</f>
        <v>0.44</v>
      </c>
      <c r="AG13" s="178">
        <f t="shared" si="7"/>
        <v>0.35</v>
      </c>
      <c r="AH13" s="178">
        <f t="shared" si="12"/>
        <v>0</v>
      </c>
      <c r="AI13" s="176">
        <f>+P13/F13</f>
        <v>0.22</v>
      </c>
      <c r="AJ13" s="176">
        <v>0.43</v>
      </c>
      <c r="AK13" s="194">
        <f t="shared" si="8"/>
        <v>0.43</v>
      </c>
      <c r="AL13" s="194">
        <f>+AI13*E13</f>
        <v>0.11</v>
      </c>
      <c r="AM13" s="194">
        <f>+AJ13*E13</f>
        <v>0.215</v>
      </c>
      <c r="AN13" s="230">
        <f t="shared" si="9"/>
        <v>0.215</v>
      </c>
      <c r="AO13" s="566" t="s">
        <v>1850</v>
      </c>
      <c r="AP13" s="909" t="s">
        <v>1892</v>
      </c>
      <c r="AQ13" s="909" t="s">
        <v>2267</v>
      </c>
      <c r="AR13" s="908" t="s">
        <v>2288</v>
      </c>
      <c r="AS13" s="908" t="s">
        <v>2402</v>
      </c>
      <c r="AT13" s="609"/>
      <c r="AU13" s="908" t="s">
        <v>2493</v>
      </c>
      <c r="AV13" s="908" t="s">
        <v>1893</v>
      </c>
      <c r="AW13" s="157"/>
      <c r="AX13" s="151"/>
      <c r="AY13" s="151"/>
      <c r="AZ13" s="151"/>
      <c r="BA13" s="151"/>
      <c r="BB13" s="151"/>
      <c r="BC13" s="151"/>
      <c r="BD13" s="151"/>
      <c r="BE13" s="151"/>
      <c r="BF13" s="151"/>
      <c r="BG13" s="151"/>
      <c r="BH13" s="151"/>
      <c r="BI13" s="151"/>
      <c r="BJ13" s="151"/>
      <c r="BK13" s="151"/>
      <c r="BL13" s="151"/>
      <c r="BM13" s="151"/>
      <c r="BN13" s="151"/>
      <c r="BO13" s="151"/>
    </row>
    <row r="14" spans="1:125" ht="72.599999999999994" customHeight="1" thickBot="1" x14ac:dyDescent="0.4">
      <c r="A14" s="155"/>
      <c r="B14" s="173" t="s">
        <v>689</v>
      </c>
      <c r="C14" s="183" t="s">
        <v>1398</v>
      </c>
      <c r="D14" s="185" t="s">
        <v>683</v>
      </c>
      <c r="E14" s="174">
        <v>0.25</v>
      </c>
      <c r="F14" s="175">
        <v>4</v>
      </c>
      <c r="G14" s="170">
        <v>1</v>
      </c>
      <c r="H14" s="170">
        <v>1</v>
      </c>
      <c r="I14" s="170">
        <v>1.5</v>
      </c>
      <c r="J14" s="176">
        <f>+G14/F14</f>
        <v>0.25</v>
      </c>
      <c r="K14" s="176">
        <f t="shared" si="1"/>
        <v>0.25</v>
      </c>
      <c r="L14" s="176">
        <f t="shared" si="13"/>
        <v>0.375</v>
      </c>
      <c r="M14" s="176">
        <f>+(G14/F14)*E14</f>
        <v>6.25E-2</v>
      </c>
      <c r="N14" s="176">
        <f t="shared" si="3"/>
        <v>6.25E-2</v>
      </c>
      <c r="O14" s="176"/>
      <c r="P14" s="170">
        <v>1</v>
      </c>
      <c r="Q14" s="541">
        <v>0.1</v>
      </c>
      <c r="R14" s="541">
        <v>0.2</v>
      </c>
      <c r="S14" s="541">
        <v>0.3</v>
      </c>
      <c r="T14" s="541"/>
      <c r="U14" s="541">
        <v>0.1</v>
      </c>
      <c r="V14" s="170">
        <f t="shared" si="15"/>
        <v>0.70000000000000007</v>
      </c>
      <c r="W14" s="170">
        <f t="shared" si="16"/>
        <v>1.7000000000000002</v>
      </c>
      <c r="X14" s="541">
        <v>0</v>
      </c>
      <c r="Y14" s="170"/>
      <c r="Z14" s="170"/>
      <c r="AA14" s="170"/>
      <c r="AB14" s="170">
        <f t="shared" si="6"/>
        <v>0</v>
      </c>
      <c r="AC14" s="176">
        <f>+(P14/G14)</f>
        <v>1</v>
      </c>
      <c r="AD14" s="176">
        <f t="shared" si="11"/>
        <v>0.70000000000000007</v>
      </c>
      <c r="AE14" s="176">
        <f t="shared" si="14"/>
        <v>0</v>
      </c>
      <c r="AF14" s="178">
        <f>+AC14*E14</f>
        <v>0.25</v>
      </c>
      <c r="AG14" s="178">
        <f t="shared" si="7"/>
        <v>0.17500000000000002</v>
      </c>
      <c r="AH14" s="178">
        <f t="shared" si="12"/>
        <v>0</v>
      </c>
      <c r="AI14" s="176">
        <f>+P14/F14</f>
        <v>0.25</v>
      </c>
      <c r="AJ14" s="176">
        <v>0.42500000000000004</v>
      </c>
      <c r="AK14" s="194">
        <f t="shared" si="8"/>
        <v>0.42500000000000004</v>
      </c>
      <c r="AL14" s="194">
        <f>+AI14*E14</f>
        <v>6.25E-2</v>
      </c>
      <c r="AM14" s="194">
        <f>+AJ14*E14</f>
        <v>0.10625000000000001</v>
      </c>
      <c r="AN14" s="230">
        <f t="shared" si="9"/>
        <v>0.10625000000000001</v>
      </c>
      <c r="AO14" s="566" t="s">
        <v>1850</v>
      </c>
      <c r="AP14" s="909" t="s">
        <v>1892</v>
      </c>
      <c r="AQ14" s="909" t="s">
        <v>2267</v>
      </c>
      <c r="AR14" s="908" t="s">
        <v>2288</v>
      </c>
      <c r="AS14" s="644" t="s">
        <v>2420</v>
      </c>
      <c r="AT14" s="609"/>
      <c r="AU14" s="908" t="s">
        <v>2493</v>
      </c>
      <c r="AV14" s="908" t="s">
        <v>1893</v>
      </c>
      <c r="AW14" s="157"/>
      <c r="AX14" s="151"/>
      <c r="AY14" s="151"/>
      <c r="AZ14" s="151"/>
      <c r="BA14" s="151"/>
      <c r="BB14" s="151"/>
      <c r="BC14" s="151"/>
      <c r="BD14" s="151"/>
      <c r="BE14" s="151"/>
      <c r="BF14" s="151"/>
      <c r="BG14" s="151"/>
      <c r="BH14" s="151"/>
      <c r="BI14" s="151"/>
      <c r="BJ14" s="151"/>
      <c r="BK14" s="151"/>
      <c r="BL14" s="151"/>
      <c r="BM14" s="151"/>
      <c r="BN14" s="151"/>
      <c r="BO14" s="151"/>
    </row>
    <row r="15" spans="1:125" ht="93" customHeight="1" thickBot="1" x14ac:dyDescent="0.4">
      <c r="A15" s="155"/>
      <c r="B15" s="1561" t="s">
        <v>1790</v>
      </c>
      <c r="C15" s="1562"/>
      <c r="D15" s="185"/>
      <c r="E15" s="158">
        <v>0.15</v>
      </c>
      <c r="F15" s="159">
        <f>+E15*AF15</f>
        <v>9.7499999999999989E-2</v>
      </c>
      <c r="G15" s="163"/>
      <c r="H15" s="159">
        <f>+E15*AG15</f>
        <v>0.1150875</v>
      </c>
      <c r="I15" s="159">
        <f>+E15*AH15</f>
        <v>2.0331818181818184E-2</v>
      </c>
      <c r="J15" s="161">
        <f>+(J16+J21+J24+J28)/4</f>
        <v>0.28770833333333334</v>
      </c>
      <c r="K15" s="161">
        <f>+(K16+K21+K24+K28)/4</f>
        <v>0.34704861111111107</v>
      </c>
      <c r="L15" s="161">
        <f>+(L16+L21+L24+L28)/4</f>
        <v>0.37916666666666665</v>
      </c>
      <c r="M15" s="162">
        <f>+(M16+M21+M24+M28)/4</f>
        <v>0.20433333333333331</v>
      </c>
      <c r="N15" s="162">
        <f>+(N16+N21+N24+N28)/4</f>
        <v>0.33291666666666664</v>
      </c>
      <c r="O15" s="162"/>
      <c r="P15" s="163"/>
      <c r="Q15" s="163"/>
      <c r="R15" s="163"/>
      <c r="S15" s="163"/>
      <c r="T15" s="163"/>
      <c r="U15" s="983"/>
      <c r="V15" s="163"/>
      <c r="W15" s="163"/>
      <c r="X15" s="163"/>
      <c r="Y15" s="163"/>
      <c r="Z15" s="163"/>
      <c r="AA15" s="163"/>
      <c r="AB15" s="163"/>
      <c r="AC15" s="161">
        <f>+(AC16+AC21+AC24+AC28)/4</f>
        <v>1</v>
      </c>
      <c r="AD15" s="161">
        <f>+(AD16+AD21+AD24+AD28)/4</f>
        <v>0.82645833333333329</v>
      </c>
      <c r="AE15" s="161">
        <f>+(AE16+AE21+AE24+AE28)/4</f>
        <v>0.19053030303030299</v>
      </c>
      <c r="AF15" s="162">
        <f>+AF16+AF21+AF24+AF28</f>
        <v>0.64999999999999991</v>
      </c>
      <c r="AG15" s="162">
        <f>+AG16+AG21+AG24+AG28</f>
        <v>0.76724999999999999</v>
      </c>
      <c r="AH15" s="162">
        <f>+AH16+AH21+AH24+AH28</f>
        <v>0.13554545454545455</v>
      </c>
      <c r="AI15" s="161">
        <f>(AI16+AI21+AI24+AI28)/4</f>
        <v>0.23097916666666671</v>
      </c>
      <c r="AJ15" s="161">
        <v>0.58986633269720101</v>
      </c>
      <c r="AK15" s="161">
        <f>(AK16+AK21+AK24+AK28)/4</f>
        <v>0.62353363549618313</v>
      </c>
      <c r="AL15" s="162">
        <f>+AL16+AL21+AL24+AL28</f>
        <v>0.373</v>
      </c>
      <c r="AM15" s="162">
        <f>+(AM16*E16)+(AM21*E21)+(AM24*E24)+(AM28*E28)</f>
        <v>0.67023139312977098</v>
      </c>
      <c r="AN15" s="162">
        <f>+(AN16*E16)+(AN21*E21)+(AN24*E24)+(AN28*E28)</f>
        <v>0.68558826335877854</v>
      </c>
      <c r="AO15" s="905"/>
      <c r="AP15" s="163"/>
      <c r="AQ15" s="163"/>
      <c r="AR15" s="163"/>
      <c r="AS15" s="163"/>
      <c r="AT15" s="609"/>
      <c r="AU15" s="163"/>
      <c r="AV15" s="163"/>
      <c r="AW15" s="157"/>
      <c r="AX15" s="151"/>
      <c r="AY15" s="151"/>
      <c r="AZ15" s="151"/>
      <c r="BA15" s="151"/>
      <c r="BB15" s="151"/>
      <c r="BC15" s="151"/>
      <c r="BD15" s="151"/>
      <c r="BE15" s="151"/>
      <c r="BF15" s="151"/>
      <c r="BG15" s="151"/>
      <c r="BH15" s="151"/>
      <c r="BI15" s="151"/>
      <c r="BJ15" s="151"/>
      <c r="BK15" s="151"/>
      <c r="BL15" s="151"/>
      <c r="BM15" s="151"/>
      <c r="BN15" s="151"/>
      <c r="BO15" s="151"/>
    </row>
    <row r="16" spans="1:125" ht="72" customHeight="1" thickBot="1" x14ac:dyDescent="0.4">
      <c r="A16" s="155"/>
      <c r="B16" s="1557" t="s">
        <v>1702</v>
      </c>
      <c r="C16" s="1558"/>
      <c r="D16" s="185"/>
      <c r="E16" s="166">
        <v>0.25</v>
      </c>
      <c r="F16" s="187"/>
      <c r="G16" s="170"/>
      <c r="H16" s="170"/>
      <c r="I16" s="170"/>
      <c r="J16" s="169">
        <f>+AVERAGE(J17:J20)</f>
        <v>0.25</v>
      </c>
      <c r="K16" s="169">
        <f>+AVERAGE(K17:K20)</f>
        <v>0.21875</v>
      </c>
      <c r="L16" s="169">
        <f>+AVERAGE(L17:L20)</f>
        <v>0.27500000000000002</v>
      </c>
      <c r="M16" s="169">
        <f>+M17+M18+M19+M20</f>
        <v>0.25</v>
      </c>
      <c r="N16" s="169">
        <f>+N17+N18+N19+N20</f>
        <v>0.22500000000000001</v>
      </c>
      <c r="O16" s="169"/>
      <c r="P16" s="168"/>
      <c r="Q16" s="168"/>
      <c r="R16" s="168"/>
      <c r="S16" s="168"/>
      <c r="T16" s="168"/>
      <c r="U16" s="984"/>
      <c r="V16" s="168"/>
      <c r="W16" s="168"/>
      <c r="X16" s="168"/>
      <c r="Y16" s="168"/>
      <c r="Z16" s="168"/>
      <c r="AA16" s="168"/>
      <c r="AB16" s="168"/>
      <c r="AC16" s="192">
        <f>+AVERAGE(AC17:AC20)</f>
        <v>1</v>
      </c>
      <c r="AD16" s="192">
        <f>+AVERAGE(AD17:AD20)</f>
        <v>0.82250000000000001</v>
      </c>
      <c r="AE16" s="192">
        <f>+AVERAGE(AE17:AE20)</f>
        <v>0</v>
      </c>
      <c r="AF16" s="192">
        <f>+(AF17+AF18+AF19+AF20)*E16</f>
        <v>0.25</v>
      </c>
      <c r="AG16" s="192">
        <f>+(AG17+AG18+AG19+AG20)*E16</f>
        <v>0.19974999999999998</v>
      </c>
      <c r="AH16" s="192">
        <f>+(AH17+AH18+AH19+AH20)*E16</f>
        <v>0</v>
      </c>
      <c r="AI16" s="169">
        <f>+AVERAGE(AI17:AI20)</f>
        <v>0.4375</v>
      </c>
      <c r="AJ16" s="169">
        <v>0.72187500000000004</v>
      </c>
      <c r="AK16" s="169">
        <f>+AVERAGE(AK17:AK20)</f>
        <v>0.72187500000000004</v>
      </c>
      <c r="AL16" s="169">
        <f>+(AL17+AL18+AL19+AL20)*E16</f>
        <v>0.17500000000000002</v>
      </c>
      <c r="AM16" s="169">
        <f>+(AM17+AM18+AM19+AM20)</f>
        <v>0.88874999999999993</v>
      </c>
      <c r="AN16" s="169">
        <f>+(AN17+AN18+AN19+AN20)</f>
        <v>0.88874999999999993</v>
      </c>
      <c r="AO16" s="605"/>
      <c r="AP16" s="163"/>
      <c r="AQ16" s="163"/>
      <c r="AR16" s="163"/>
      <c r="AS16" s="163"/>
      <c r="AT16" s="609"/>
      <c r="AU16" s="163"/>
      <c r="AV16" s="163"/>
      <c r="AW16" s="157"/>
      <c r="AX16" s="151"/>
      <c r="AY16" s="151"/>
      <c r="AZ16" s="151"/>
      <c r="BA16" s="151"/>
      <c r="BB16" s="151"/>
      <c r="BC16" s="151"/>
      <c r="BD16" s="151"/>
      <c r="BE16" s="151"/>
      <c r="BF16" s="151"/>
      <c r="BG16" s="151"/>
      <c r="BH16" s="151"/>
      <c r="BI16" s="151"/>
      <c r="BJ16" s="151"/>
      <c r="BK16" s="151"/>
      <c r="BL16" s="151"/>
      <c r="BM16" s="151"/>
      <c r="BN16" s="151"/>
      <c r="BO16" s="151"/>
    </row>
    <row r="17" spans="1:67" ht="49.95" customHeight="1" thickBot="1" x14ac:dyDescent="0.4">
      <c r="A17" s="155"/>
      <c r="B17" s="173" t="s">
        <v>690</v>
      </c>
      <c r="C17" s="183" t="s">
        <v>1399</v>
      </c>
      <c r="D17" s="185" t="s">
        <v>683</v>
      </c>
      <c r="E17" s="174">
        <v>0.1</v>
      </c>
      <c r="F17" s="175">
        <v>4</v>
      </c>
      <c r="G17" s="170">
        <v>1</v>
      </c>
      <c r="H17" s="170">
        <v>1</v>
      </c>
      <c r="I17" s="170">
        <v>1.1499999999999999</v>
      </c>
      <c r="J17" s="176">
        <f>+G17/F17</f>
        <v>0.25</v>
      </c>
      <c r="K17" s="176">
        <f t="shared" ref="K17:K20" si="17">+H17/F17</f>
        <v>0.25</v>
      </c>
      <c r="L17" s="176">
        <f t="shared" ref="L17:L18" si="18">+I17/F17</f>
        <v>0.28749999999999998</v>
      </c>
      <c r="M17" s="176">
        <f>+(G17/F17)*E17</f>
        <v>2.5000000000000001E-2</v>
      </c>
      <c r="N17" s="176">
        <f t="shared" ref="N17:N20" si="19">+(H17/F17)*E17</f>
        <v>2.5000000000000001E-2</v>
      </c>
      <c r="O17" s="176"/>
      <c r="P17" s="170">
        <v>1</v>
      </c>
      <c r="Q17" s="541">
        <v>0</v>
      </c>
      <c r="R17" s="541">
        <v>0.7</v>
      </c>
      <c r="S17" s="541">
        <v>0</v>
      </c>
      <c r="T17" s="541">
        <v>0</v>
      </c>
      <c r="U17" s="541">
        <v>0</v>
      </c>
      <c r="V17" s="170">
        <f t="shared" ref="V17:V19" si="20">+Q17+R17+S17+T17+U17</f>
        <v>0.7</v>
      </c>
      <c r="W17" s="170">
        <f>+V17+P17+AB17</f>
        <v>1.7</v>
      </c>
      <c r="X17" s="541">
        <v>0</v>
      </c>
      <c r="Y17" s="170"/>
      <c r="Z17" s="170"/>
      <c r="AA17" s="170"/>
      <c r="AB17" s="170">
        <f t="shared" ref="AB17:AB20" si="21">+X17+Y17+Z17+AA17</f>
        <v>0</v>
      </c>
      <c r="AC17" s="176">
        <f>+(P17/G17)</f>
        <v>1</v>
      </c>
      <c r="AD17" s="176">
        <f t="shared" ref="AD17:AD20" si="22">+V17/H17</f>
        <v>0.7</v>
      </c>
      <c r="AE17" s="176">
        <f t="shared" ref="AE17:AE20" si="23">+AB17/I17</f>
        <v>0</v>
      </c>
      <c r="AF17" s="176">
        <f>+AC17*E17</f>
        <v>0.1</v>
      </c>
      <c r="AG17" s="176">
        <f t="shared" ref="AG17:AG20" si="24">+AD17*E17</f>
        <v>6.9999999999999993E-2</v>
      </c>
      <c r="AH17" s="176">
        <f t="shared" ref="AH17:AH32" si="25">+AE17*E17</f>
        <v>0</v>
      </c>
      <c r="AI17" s="176">
        <f>+P17/F17</f>
        <v>0.25</v>
      </c>
      <c r="AJ17" s="176">
        <v>0.42499999999999999</v>
      </c>
      <c r="AK17" s="194">
        <f t="shared" ref="AK17:AK22" si="26">+W17/F17</f>
        <v>0.42499999999999999</v>
      </c>
      <c r="AL17" s="194">
        <f>+AI17*E17</f>
        <v>2.5000000000000001E-2</v>
      </c>
      <c r="AM17" s="194">
        <f>+AJ17*E17</f>
        <v>4.2500000000000003E-2</v>
      </c>
      <c r="AN17" s="194">
        <f t="shared" ref="AN17:AN32" si="27">+AK17*E17</f>
        <v>4.2500000000000003E-2</v>
      </c>
      <c r="AO17" s="566" t="s">
        <v>1850</v>
      </c>
      <c r="AP17" s="909" t="s">
        <v>1892</v>
      </c>
      <c r="AQ17" s="909" t="s">
        <v>2267</v>
      </c>
      <c r="AR17" s="908" t="s">
        <v>2288</v>
      </c>
      <c r="AS17" s="908" t="s">
        <v>2402</v>
      </c>
      <c r="AT17" s="985" t="s">
        <v>2436</v>
      </c>
      <c r="AU17" s="908" t="s">
        <v>2493</v>
      </c>
      <c r="AV17" s="908" t="s">
        <v>1893</v>
      </c>
      <c r="AW17" s="157"/>
      <c r="AX17" s="151"/>
      <c r="AY17" s="151"/>
      <c r="AZ17" s="151"/>
      <c r="BA17" s="151"/>
      <c r="BB17" s="151"/>
      <c r="BC17" s="151"/>
      <c r="BD17" s="151"/>
      <c r="BE17" s="151"/>
      <c r="BF17" s="151"/>
      <c r="BG17" s="151"/>
      <c r="BH17" s="151"/>
      <c r="BI17" s="151"/>
      <c r="BJ17" s="151"/>
      <c r="BK17" s="151"/>
      <c r="BL17" s="151"/>
      <c r="BM17" s="151"/>
      <c r="BN17" s="151"/>
      <c r="BO17" s="151"/>
    </row>
    <row r="18" spans="1:67" ht="70.95" customHeight="1" thickBot="1" x14ac:dyDescent="0.4">
      <c r="A18" s="188"/>
      <c r="B18" s="173" t="s">
        <v>691</v>
      </c>
      <c r="C18" s="183" t="s">
        <v>1400</v>
      </c>
      <c r="D18" s="185" t="s">
        <v>683</v>
      </c>
      <c r="E18" s="174">
        <v>0.1</v>
      </c>
      <c r="F18" s="175">
        <v>4</v>
      </c>
      <c r="G18" s="170">
        <v>1</v>
      </c>
      <c r="H18" s="170">
        <v>1</v>
      </c>
      <c r="I18" s="170">
        <v>1.05</v>
      </c>
      <c r="J18" s="176">
        <f>+G18/F18</f>
        <v>0.25</v>
      </c>
      <c r="K18" s="176">
        <f t="shared" si="17"/>
        <v>0.25</v>
      </c>
      <c r="L18" s="176">
        <f t="shared" si="18"/>
        <v>0.26250000000000001</v>
      </c>
      <c r="M18" s="176">
        <f>+(G18/F18)*E18</f>
        <v>2.5000000000000001E-2</v>
      </c>
      <c r="N18" s="176">
        <f t="shared" si="19"/>
        <v>2.5000000000000001E-2</v>
      </c>
      <c r="O18" s="176"/>
      <c r="P18" s="170">
        <v>1</v>
      </c>
      <c r="Q18" s="541">
        <v>0.1</v>
      </c>
      <c r="R18" s="541">
        <v>0.6</v>
      </c>
      <c r="S18" s="541">
        <v>0</v>
      </c>
      <c r="T18" s="541">
        <v>0.15</v>
      </c>
      <c r="U18" s="541">
        <v>0</v>
      </c>
      <c r="V18" s="170">
        <f t="shared" si="20"/>
        <v>0.85</v>
      </c>
      <c r="W18" s="170">
        <f t="shared" ref="W18:W19" si="28">+V18+P18+AB18</f>
        <v>1.85</v>
      </c>
      <c r="X18" s="541">
        <v>0</v>
      </c>
      <c r="Y18" s="170"/>
      <c r="Z18" s="170"/>
      <c r="AA18" s="170"/>
      <c r="AB18" s="170">
        <f t="shared" si="21"/>
        <v>0</v>
      </c>
      <c r="AC18" s="194">
        <f>+(P18/G18)</f>
        <v>1</v>
      </c>
      <c r="AD18" s="194">
        <f t="shared" si="22"/>
        <v>0.85</v>
      </c>
      <c r="AE18" s="194">
        <f t="shared" si="23"/>
        <v>0</v>
      </c>
      <c r="AF18" s="194">
        <f>+AC18*E18</f>
        <v>0.1</v>
      </c>
      <c r="AG18" s="194">
        <f t="shared" si="24"/>
        <v>8.5000000000000006E-2</v>
      </c>
      <c r="AH18" s="194">
        <f t="shared" si="25"/>
        <v>0</v>
      </c>
      <c r="AI18" s="194">
        <f>+P18/F18</f>
        <v>0.25</v>
      </c>
      <c r="AJ18" s="194">
        <v>0.46250000000000002</v>
      </c>
      <c r="AK18" s="194">
        <f t="shared" si="26"/>
        <v>0.46250000000000002</v>
      </c>
      <c r="AL18" s="194">
        <f>+AI18*E18</f>
        <v>2.5000000000000001E-2</v>
      </c>
      <c r="AM18" s="194">
        <f>+AJ18*E18</f>
        <v>4.6250000000000006E-2</v>
      </c>
      <c r="AN18" s="194">
        <f t="shared" si="27"/>
        <v>4.6250000000000006E-2</v>
      </c>
      <c r="AO18" s="566" t="s">
        <v>1850</v>
      </c>
      <c r="AP18" s="909" t="s">
        <v>1892</v>
      </c>
      <c r="AQ18" s="909" t="s">
        <v>2267</v>
      </c>
      <c r="AR18" s="908" t="s">
        <v>2288</v>
      </c>
      <c r="AS18" s="908" t="s">
        <v>2402</v>
      </c>
      <c r="AT18" s="985" t="s">
        <v>2436</v>
      </c>
      <c r="AU18" s="908" t="s">
        <v>2493</v>
      </c>
      <c r="AV18" s="908" t="s">
        <v>1893</v>
      </c>
      <c r="AW18" s="157"/>
      <c r="AX18" s="151"/>
      <c r="AY18" s="151"/>
      <c r="AZ18" s="151"/>
      <c r="BA18" s="151"/>
      <c r="BB18" s="151"/>
      <c r="BC18" s="151"/>
      <c r="BD18" s="151"/>
      <c r="BE18" s="151"/>
      <c r="BF18" s="151"/>
      <c r="BG18" s="151"/>
      <c r="BH18" s="151"/>
      <c r="BI18" s="151"/>
      <c r="BJ18" s="151"/>
      <c r="BK18" s="151"/>
      <c r="BL18" s="151"/>
      <c r="BM18" s="151"/>
      <c r="BN18" s="151"/>
      <c r="BO18" s="151"/>
    </row>
    <row r="19" spans="1:67" ht="70.2" customHeight="1" thickBot="1" x14ac:dyDescent="0.4">
      <c r="A19" s="155"/>
      <c r="B19" s="181" t="s">
        <v>692</v>
      </c>
      <c r="C19" s="1482" t="s">
        <v>1401</v>
      </c>
      <c r="D19" s="185" t="s">
        <v>683</v>
      </c>
      <c r="E19" s="174">
        <v>0.6</v>
      </c>
      <c r="F19" s="175">
        <v>400</v>
      </c>
      <c r="G19" s="170">
        <v>100</v>
      </c>
      <c r="H19" s="236">
        <v>100</v>
      </c>
      <c r="I19" s="236">
        <v>170</v>
      </c>
      <c r="J19" s="176">
        <f>+G19/F19</f>
        <v>0.25</v>
      </c>
      <c r="K19" s="176">
        <f t="shared" si="17"/>
        <v>0.25</v>
      </c>
      <c r="L19" s="176"/>
      <c r="M19" s="176">
        <f>+(G19/F19)*E19</f>
        <v>0.15</v>
      </c>
      <c r="N19" s="176">
        <f t="shared" si="19"/>
        <v>0.15</v>
      </c>
      <c r="O19" s="176"/>
      <c r="P19" s="170">
        <v>630</v>
      </c>
      <c r="Q19" s="541">
        <v>0</v>
      </c>
      <c r="R19" s="541">
        <v>58</v>
      </c>
      <c r="S19" s="541">
        <v>16</v>
      </c>
      <c r="T19" s="541">
        <v>0</v>
      </c>
      <c r="U19" s="541">
        <v>0</v>
      </c>
      <c r="V19" s="170">
        <f t="shared" si="20"/>
        <v>74</v>
      </c>
      <c r="W19" s="170">
        <f t="shared" si="28"/>
        <v>704</v>
      </c>
      <c r="X19" s="541">
        <v>0</v>
      </c>
      <c r="Y19" s="170"/>
      <c r="Z19" s="170"/>
      <c r="AA19" s="170"/>
      <c r="AB19" s="170">
        <f t="shared" si="21"/>
        <v>0</v>
      </c>
      <c r="AC19" s="194">
        <v>1</v>
      </c>
      <c r="AD19" s="194">
        <f t="shared" si="22"/>
        <v>0.74</v>
      </c>
      <c r="AE19" s="194">
        <f>+AB19/I19</f>
        <v>0</v>
      </c>
      <c r="AF19" s="194">
        <f>+AC19*E19</f>
        <v>0.6</v>
      </c>
      <c r="AG19" s="194">
        <f t="shared" si="24"/>
        <v>0.44400000000000001</v>
      </c>
      <c r="AH19" s="194">
        <f t="shared" si="25"/>
        <v>0</v>
      </c>
      <c r="AI19" s="194">
        <v>1</v>
      </c>
      <c r="AJ19" s="194">
        <v>1</v>
      </c>
      <c r="AK19" s="194">
        <v>1</v>
      </c>
      <c r="AL19" s="194">
        <f>+AI19*E19</f>
        <v>0.6</v>
      </c>
      <c r="AM19" s="194">
        <f>+AJ19*E19</f>
        <v>0.6</v>
      </c>
      <c r="AN19" s="194">
        <f t="shared" si="27"/>
        <v>0.6</v>
      </c>
      <c r="AO19" s="604" t="s">
        <v>1865</v>
      </c>
      <c r="AP19" s="644" t="s">
        <v>1884</v>
      </c>
      <c r="AQ19" s="909" t="s">
        <v>2267</v>
      </c>
      <c r="AR19" s="908" t="s">
        <v>1591</v>
      </c>
      <c r="AS19" s="908" t="s">
        <v>2402</v>
      </c>
      <c r="AT19" s="985" t="s">
        <v>2436</v>
      </c>
      <c r="AU19" s="908" t="s">
        <v>2493</v>
      </c>
      <c r="AV19" s="908" t="s">
        <v>1893</v>
      </c>
      <c r="AW19" s="157"/>
      <c r="AX19" s="151"/>
      <c r="AY19" s="151"/>
      <c r="AZ19" s="151"/>
      <c r="BA19" s="151"/>
      <c r="BB19" s="151"/>
      <c r="BC19" s="151"/>
      <c r="BD19" s="151"/>
      <c r="BE19" s="151"/>
      <c r="BF19" s="151"/>
      <c r="BG19" s="151"/>
      <c r="BH19" s="151"/>
      <c r="BI19" s="151"/>
      <c r="BJ19" s="151"/>
      <c r="BK19" s="151"/>
      <c r="BL19" s="151"/>
      <c r="BM19" s="151"/>
      <c r="BN19" s="151"/>
      <c r="BO19" s="151"/>
    </row>
    <row r="20" spans="1:67" ht="124.2" customHeight="1" thickBot="1" x14ac:dyDescent="0.4">
      <c r="A20" s="155"/>
      <c r="B20" s="181" t="s">
        <v>693</v>
      </c>
      <c r="C20" s="1482" t="s">
        <v>1402</v>
      </c>
      <c r="D20" s="185" t="s">
        <v>683</v>
      </c>
      <c r="E20" s="174">
        <v>0.2</v>
      </c>
      <c r="F20" s="175">
        <v>4</v>
      </c>
      <c r="G20" s="170">
        <v>1</v>
      </c>
      <c r="H20" s="170">
        <v>0.5</v>
      </c>
      <c r="I20" s="170">
        <v>0.5</v>
      </c>
      <c r="J20" s="176">
        <f>+G20/F20</f>
        <v>0.25</v>
      </c>
      <c r="K20" s="176">
        <f t="shared" si="17"/>
        <v>0.125</v>
      </c>
      <c r="L20" s="176"/>
      <c r="M20" s="176">
        <f>+(G20/F20)*E20</f>
        <v>0.05</v>
      </c>
      <c r="N20" s="176">
        <f t="shared" si="19"/>
        <v>2.5000000000000001E-2</v>
      </c>
      <c r="O20" s="176"/>
      <c r="P20" s="170">
        <v>1</v>
      </c>
      <c r="Q20" s="541">
        <v>0</v>
      </c>
      <c r="R20" s="541">
        <v>0.5</v>
      </c>
      <c r="S20" s="541">
        <v>0</v>
      </c>
      <c r="T20" s="541">
        <v>0</v>
      </c>
      <c r="U20" s="541">
        <v>0</v>
      </c>
      <c r="V20" s="170">
        <f>+Q20+R20+S20+T20+U20</f>
        <v>0.5</v>
      </c>
      <c r="W20" s="170">
        <f>+V20+P20+AB20</f>
        <v>1.5</v>
      </c>
      <c r="X20" s="541">
        <v>0</v>
      </c>
      <c r="Y20" s="170"/>
      <c r="Z20" s="170"/>
      <c r="AA20" s="170"/>
      <c r="AB20" s="170">
        <f t="shared" si="21"/>
        <v>0</v>
      </c>
      <c r="AC20" s="194">
        <f>+(P20/G20)</f>
        <v>1</v>
      </c>
      <c r="AD20" s="194">
        <f t="shared" si="22"/>
        <v>1</v>
      </c>
      <c r="AE20" s="194">
        <f t="shared" si="23"/>
        <v>0</v>
      </c>
      <c r="AF20" s="194">
        <f>+AC20*E20</f>
        <v>0.2</v>
      </c>
      <c r="AG20" s="194">
        <f t="shared" si="24"/>
        <v>0.2</v>
      </c>
      <c r="AH20" s="194">
        <f t="shared" si="25"/>
        <v>0</v>
      </c>
      <c r="AI20" s="194">
        <f>+P20/F20</f>
        <v>0.25</v>
      </c>
      <c r="AJ20" s="194">
        <v>1</v>
      </c>
      <c r="AK20" s="194">
        <v>1</v>
      </c>
      <c r="AL20" s="194">
        <f>+AI20*E20</f>
        <v>0.05</v>
      </c>
      <c r="AM20" s="176">
        <f>+AJ20*E20</f>
        <v>0.2</v>
      </c>
      <c r="AN20" s="176">
        <f t="shared" si="27"/>
        <v>0.2</v>
      </c>
      <c r="AO20" s="566" t="s">
        <v>1850</v>
      </c>
      <c r="AP20" s="644" t="s">
        <v>1884</v>
      </c>
      <c r="AQ20" s="909" t="s">
        <v>2267</v>
      </c>
      <c r="AR20" s="908" t="s">
        <v>1591</v>
      </c>
      <c r="AS20" s="908" t="s">
        <v>2402</v>
      </c>
      <c r="AT20" s="985" t="s">
        <v>2436</v>
      </c>
      <c r="AU20" s="644" t="s">
        <v>2510</v>
      </c>
      <c r="AV20" s="908" t="s">
        <v>1893</v>
      </c>
      <c r="AW20" s="157"/>
      <c r="AX20" s="151"/>
      <c r="AY20" s="151"/>
      <c r="AZ20" s="151"/>
      <c r="BA20" s="151"/>
      <c r="BB20" s="151"/>
      <c r="BC20" s="151"/>
      <c r="BD20" s="151"/>
      <c r="BE20" s="151"/>
      <c r="BF20" s="151"/>
      <c r="BG20" s="151"/>
      <c r="BH20" s="151"/>
      <c r="BI20" s="151"/>
      <c r="BJ20" s="151"/>
      <c r="BK20" s="151"/>
      <c r="BL20" s="151"/>
      <c r="BM20" s="151"/>
      <c r="BN20" s="151"/>
      <c r="BO20" s="151"/>
    </row>
    <row r="21" spans="1:67" ht="42.75" customHeight="1" thickBot="1" x14ac:dyDescent="0.4">
      <c r="A21" s="155"/>
      <c r="B21" s="1557" t="s">
        <v>1703</v>
      </c>
      <c r="C21" s="1558"/>
      <c r="D21" s="185"/>
      <c r="E21" s="166">
        <v>0.1</v>
      </c>
      <c r="F21" s="175"/>
      <c r="G21" s="170"/>
      <c r="H21" s="170"/>
      <c r="I21" s="170"/>
      <c r="J21" s="169">
        <f>+AVERAGE(J22:J23)</f>
        <v>0.13416666666666666</v>
      </c>
      <c r="K21" s="169">
        <f>+AVERAGE(K22:K23)</f>
        <v>0.15833333333333333</v>
      </c>
      <c r="L21" s="169">
        <f>+AVERAGE(L22:L23)</f>
        <v>0.15833333333333333</v>
      </c>
      <c r="M21" s="169">
        <f>+M22+M23</f>
        <v>0.15733333333333333</v>
      </c>
      <c r="N21" s="169">
        <f>+N22+N23</f>
        <v>0.17666666666666667</v>
      </c>
      <c r="O21" s="169"/>
      <c r="P21" s="170"/>
      <c r="Q21" s="170"/>
      <c r="R21" s="170"/>
      <c r="S21" s="170"/>
      <c r="T21" s="170"/>
      <c r="U21" s="795"/>
      <c r="V21" s="170"/>
      <c r="W21" s="170"/>
      <c r="X21" s="170"/>
      <c r="Y21" s="170"/>
      <c r="Z21" s="170"/>
      <c r="AA21" s="170"/>
      <c r="AB21" s="170"/>
      <c r="AC21" s="192">
        <f>+AVERAGE(AC22:AC23)</f>
        <v>1</v>
      </c>
      <c r="AD21" s="192">
        <f>+AVERAGE(AD22:AD23)</f>
        <v>1</v>
      </c>
      <c r="AE21" s="192">
        <f>+AVERAGE(AE22:AE23)</f>
        <v>0.3833333333333333</v>
      </c>
      <c r="AF21" s="192">
        <f>+(AF22+AF23)*E21</f>
        <v>0.1</v>
      </c>
      <c r="AG21" s="192">
        <f>+(AG22+AG23)*E21</f>
        <v>0.1</v>
      </c>
      <c r="AH21" s="192">
        <f>+(AH22+AH23)*E21</f>
        <v>3.5999999999999997E-2</v>
      </c>
      <c r="AI21" s="169">
        <f>+AVERAGE(AI22:AI23)</f>
        <v>0.22916666666666669</v>
      </c>
      <c r="AJ21" s="169">
        <v>0.55159033078880404</v>
      </c>
      <c r="AK21" s="169">
        <f>+AVERAGE(AK22:AK23)</f>
        <v>0.6612595419847328</v>
      </c>
      <c r="AL21" s="169">
        <f>+(AL22+AL23)*E21</f>
        <v>2.7000000000000003E-2</v>
      </c>
      <c r="AM21" s="169">
        <f>+(AM22+AM23)</f>
        <v>0.5779389312977099</v>
      </c>
      <c r="AN21" s="169">
        <f>+(AN22+AN23)</f>
        <v>0.67900763358778615</v>
      </c>
      <c r="AO21" s="605"/>
      <c r="AP21" s="163"/>
      <c r="AQ21" s="163"/>
      <c r="AR21" s="163"/>
      <c r="AS21" s="163"/>
      <c r="AT21" s="609"/>
      <c r="AU21" s="163"/>
      <c r="AV21" s="163"/>
      <c r="AW21" s="157"/>
      <c r="AX21" s="151"/>
      <c r="AY21" s="151"/>
      <c r="AZ21" s="151"/>
      <c r="BA21" s="151"/>
      <c r="BB21" s="151"/>
      <c r="BC21" s="151"/>
      <c r="BD21" s="151"/>
      <c r="BE21" s="151"/>
      <c r="BF21" s="151"/>
      <c r="BG21" s="151"/>
      <c r="BH21" s="151"/>
      <c r="BI21" s="151"/>
      <c r="BJ21" s="151"/>
      <c r="BK21" s="151"/>
      <c r="BL21" s="151"/>
      <c r="BM21" s="151"/>
      <c r="BN21" s="151"/>
      <c r="BO21" s="151"/>
    </row>
    <row r="22" spans="1:67" ht="60" customHeight="1" thickBot="1" x14ac:dyDescent="0.4">
      <c r="A22" s="155"/>
      <c r="B22" s="181" t="s">
        <v>694</v>
      </c>
      <c r="C22" s="1482" t="s">
        <v>1403</v>
      </c>
      <c r="D22" s="189" t="s">
        <v>696</v>
      </c>
      <c r="E22" s="190">
        <v>0.6</v>
      </c>
      <c r="F22" s="175">
        <v>60</v>
      </c>
      <c r="G22" s="170">
        <v>15</v>
      </c>
      <c r="H22" s="170">
        <v>15</v>
      </c>
      <c r="I22" s="170">
        <v>15</v>
      </c>
      <c r="J22" s="176">
        <f>+G22/F22</f>
        <v>0.25</v>
      </c>
      <c r="K22" s="176">
        <f t="shared" ref="K22:K23" si="29">+H22/F22</f>
        <v>0.25</v>
      </c>
      <c r="L22" s="176">
        <f t="shared" ref="L22:L23" si="30">+I22/F22</f>
        <v>0.25</v>
      </c>
      <c r="M22" s="176">
        <f>+(G22/F22)*E22</f>
        <v>0.15</v>
      </c>
      <c r="N22" s="176">
        <f t="shared" ref="N22:N23" si="31">+(H22/F22)*E22</f>
        <v>0.15</v>
      </c>
      <c r="O22" s="176"/>
      <c r="P22" s="170">
        <v>26</v>
      </c>
      <c r="Q22" s="541">
        <v>4</v>
      </c>
      <c r="R22" s="541">
        <v>3</v>
      </c>
      <c r="S22" s="541">
        <v>4</v>
      </c>
      <c r="T22" s="541">
        <v>2</v>
      </c>
      <c r="U22" s="541">
        <v>2</v>
      </c>
      <c r="V22" s="170">
        <f t="shared" ref="V22:V31" si="32">+Q22+R22+S22+T22+U22</f>
        <v>15</v>
      </c>
      <c r="W22" s="170">
        <f>+V22+P22+AB22</f>
        <v>45</v>
      </c>
      <c r="X22" s="541">
        <v>4</v>
      </c>
      <c r="Y22" s="170"/>
      <c r="Z22" s="170"/>
      <c r="AA22" s="170"/>
      <c r="AB22" s="170">
        <f t="shared" ref="AB22:AB23" si="33">+X22+Y22+Z22+AA22</f>
        <v>4</v>
      </c>
      <c r="AC22" s="194">
        <v>1</v>
      </c>
      <c r="AD22" s="194">
        <f t="shared" ref="AD22:AD23" si="34">+V22/H22</f>
        <v>1</v>
      </c>
      <c r="AE22" s="194">
        <f t="shared" ref="AE22:AE23" si="35">+AB22/I22</f>
        <v>0.26666666666666666</v>
      </c>
      <c r="AF22" s="194">
        <f>+AC22*E22</f>
        <v>0.6</v>
      </c>
      <c r="AG22" s="194">
        <f t="shared" ref="AG22:AG23" si="36">+AD22*E22</f>
        <v>0.6</v>
      </c>
      <c r="AH22" s="194">
        <f t="shared" si="25"/>
        <v>0.16</v>
      </c>
      <c r="AI22" s="194">
        <f>+P22/F22</f>
        <v>0.43333333333333335</v>
      </c>
      <c r="AJ22" s="194">
        <v>0.68333333333333335</v>
      </c>
      <c r="AK22" s="194">
        <f t="shared" si="26"/>
        <v>0.75</v>
      </c>
      <c r="AL22" s="178">
        <f>+AI22*E22</f>
        <v>0.26</v>
      </c>
      <c r="AM22" s="178">
        <f>+AJ22*E22</f>
        <v>0.41</v>
      </c>
      <c r="AN22" s="178">
        <f t="shared" si="27"/>
        <v>0.44999999999999996</v>
      </c>
      <c r="AO22" s="604" t="s">
        <v>1865</v>
      </c>
      <c r="AP22" s="909" t="s">
        <v>1892</v>
      </c>
      <c r="AQ22" s="908" t="s">
        <v>2267</v>
      </c>
      <c r="AR22" s="908" t="s">
        <v>2288</v>
      </c>
      <c r="AS22" s="908" t="s">
        <v>2402</v>
      </c>
      <c r="AT22" s="985" t="s">
        <v>2436</v>
      </c>
      <c r="AU22" s="908" t="s">
        <v>2493</v>
      </c>
      <c r="AV22" s="908" t="s">
        <v>1893</v>
      </c>
      <c r="AW22" s="157"/>
      <c r="AX22" s="151"/>
      <c r="AY22" s="151"/>
      <c r="AZ22" s="151"/>
      <c r="BA22" s="151"/>
      <c r="BB22" s="151"/>
      <c r="BC22" s="151"/>
      <c r="BD22" s="151"/>
      <c r="BE22" s="151"/>
      <c r="BF22" s="151"/>
      <c r="BG22" s="151"/>
      <c r="BH22" s="151"/>
      <c r="BI22" s="151"/>
      <c r="BJ22" s="151"/>
      <c r="BK22" s="151"/>
      <c r="BL22" s="151"/>
      <c r="BM22" s="151"/>
      <c r="BN22" s="151"/>
      <c r="BO22" s="151"/>
    </row>
    <row r="23" spans="1:67" ht="73.2" customHeight="1" thickBot="1" x14ac:dyDescent="0.4">
      <c r="A23" s="155"/>
      <c r="B23" s="181" t="s">
        <v>695</v>
      </c>
      <c r="C23" s="1482" t="s">
        <v>1404</v>
      </c>
      <c r="D23" s="189" t="s">
        <v>696</v>
      </c>
      <c r="E23" s="190">
        <v>0.4</v>
      </c>
      <c r="F23" s="175">
        <v>1200</v>
      </c>
      <c r="G23" s="170">
        <v>22</v>
      </c>
      <c r="H23" s="170">
        <v>80</v>
      </c>
      <c r="I23" s="170">
        <v>80</v>
      </c>
      <c r="J23" s="176">
        <f>+G23/F23</f>
        <v>1.8333333333333333E-2</v>
      </c>
      <c r="K23" s="176">
        <f t="shared" si="29"/>
        <v>6.6666666666666666E-2</v>
      </c>
      <c r="L23" s="176">
        <f t="shared" si="30"/>
        <v>6.6666666666666666E-2</v>
      </c>
      <c r="M23" s="176">
        <f>+(G23/F23)*E23</f>
        <v>7.3333333333333341E-3</v>
      </c>
      <c r="N23" s="176">
        <f t="shared" si="31"/>
        <v>2.6666666666666668E-2</v>
      </c>
      <c r="O23" s="176"/>
      <c r="P23" s="170">
        <v>30</v>
      </c>
      <c r="Q23" s="541">
        <v>25</v>
      </c>
      <c r="R23" s="541">
        <v>15</v>
      </c>
      <c r="S23" s="541">
        <v>0</v>
      </c>
      <c r="T23" s="541">
        <v>31</v>
      </c>
      <c r="U23" s="541">
        <v>9</v>
      </c>
      <c r="V23" s="170">
        <f>+Q23+R23+S23+T23+U23</f>
        <v>80</v>
      </c>
      <c r="W23" s="170">
        <f>+V23+P23+AB23</f>
        <v>150</v>
      </c>
      <c r="X23" s="541">
        <v>40</v>
      </c>
      <c r="Y23" s="170"/>
      <c r="Z23" s="170"/>
      <c r="AA23" s="170"/>
      <c r="AB23" s="170">
        <f t="shared" si="33"/>
        <v>40</v>
      </c>
      <c r="AC23" s="194">
        <v>1</v>
      </c>
      <c r="AD23" s="194">
        <f t="shared" si="34"/>
        <v>1</v>
      </c>
      <c r="AE23" s="194">
        <f t="shared" si="35"/>
        <v>0.5</v>
      </c>
      <c r="AF23" s="194">
        <f>+AC23*E23</f>
        <v>0.4</v>
      </c>
      <c r="AG23" s="194">
        <f t="shared" si="36"/>
        <v>0.4</v>
      </c>
      <c r="AH23" s="194">
        <f t="shared" si="25"/>
        <v>0.2</v>
      </c>
      <c r="AI23" s="194">
        <f>+P23/F23</f>
        <v>2.5000000000000001E-2</v>
      </c>
      <c r="AJ23" s="194">
        <v>0.41984732824427479</v>
      </c>
      <c r="AK23" s="194">
        <f>+W23/262</f>
        <v>0.5725190839694656</v>
      </c>
      <c r="AL23" s="178">
        <f>+AI23*E23</f>
        <v>1.0000000000000002E-2</v>
      </c>
      <c r="AM23" s="178">
        <f>+AJ23*E23</f>
        <v>0.16793893129770993</v>
      </c>
      <c r="AN23" s="178">
        <f t="shared" si="27"/>
        <v>0.22900763358778625</v>
      </c>
      <c r="AO23" s="566" t="s">
        <v>1850</v>
      </c>
      <c r="AP23" s="909" t="s">
        <v>1954</v>
      </c>
      <c r="AQ23" s="908" t="s">
        <v>2267</v>
      </c>
      <c r="AR23" s="908" t="s">
        <v>2288</v>
      </c>
      <c r="AS23" s="908" t="s">
        <v>2402</v>
      </c>
      <c r="AT23" s="985" t="s">
        <v>2436</v>
      </c>
      <c r="AU23" s="908" t="s">
        <v>2493</v>
      </c>
      <c r="AV23" s="908" t="s">
        <v>1893</v>
      </c>
      <c r="AW23" s="157"/>
      <c r="AX23" s="151"/>
      <c r="AY23" s="151"/>
      <c r="AZ23" s="151"/>
      <c r="BA23" s="151"/>
      <c r="BB23" s="151"/>
      <c r="BC23" s="151"/>
      <c r="BD23" s="151"/>
      <c r="BE23" s="151"/>
      <c r="BF23" s="151"/>
      <c r="BG23" s="151"/>
      <c r="BH23" s="151"/>
      <c r="BI23" s="151"/>
      <c r="BJ23" s="151"/>
      <c r="BK23" s="151"/>
      <c r="BL23" s="151"/>
      <c r="BM23" s="151"/>
      <c r="BN23" s="151"/>
      <c r="BO23" s="151"/>
    </row>
    <row r="24" spans="1:67" ht="102.6" customHeight="1" thickBot="1" x14ac:dyDescent="0.4">
      <c r="A24" s="155"/>
      <c r="B24" s="1557" t="s">
        <v>1704</v>
      </c>
      <c r="C24" s="1558"/>
      <c r="D24" s="185"/>
      <c r="E24" s="166">
        <v>0.3</v>
      </c>
      <c r="F24" s="187"/>
      <c r="G24" s="163"/>
      <c r="H24" s="163"/>
      <c r="I24" s="163"/>
      <c r="J24" s="169">
        <f>+AVERAGE(J25:J27)</f>
        <v>0.16666666666666666</v>
      </c>
      <c r="K24" s="169">
        <f>+AVERAGE(K25:K27)</f>
        <v>0.41111111111111115</v>
      </c>
      <c r="L24" s="169">
        <f>+AVERAGE(L25:L27)</f>
        <v>0.45</v>
      </c>
      <c r="M24" s="169">
        <f>+M25+M26+M27</f>
        <v>4.9999999999999996E-2</v>
      </c>
      <c r="N24" s="169">
        <f>+N25+N26+N27</f>
        <v>0.43999999999999995</v>
      </c>
      <c r="O24" s="169"/>
      <c r="P24" s="168"/>
      <c r="Q24" s="168"/>
      <c r="R24" s="168"/>
      <c r="S24" s="168"/>
      <c r="T24" s="168"/>
      <c r="U24" s="984"/>
      <c r="V24" s="170"/>
      <c r="W24" s="170"/>
      <c r="X24" s="170"/>
      <c r="Y24" s="170"/>
      <c r="Z24" s="170"/>
      <c r="AA24" s="170"/>
      <c r="AB24" s="170"/>
      <c r="AC24" s="192">
        <f>+AVERAGE(AC25:AC27)</f>
        <v>1</v>
      </c>
      <c r="AD24" s="192">
        <f>+AVERAGE(AD25:AD27)</f>
        <v>0.73333333333333339</v>
      </c>
      <c r="AE24" s="192">
        <f>+AVERAGE(AE25:AE27)</f>
        <v>0.33333333333333331</v>
      </c>
      <c r="AF24" s="192">
        <f>+(AF25+AF26+AF27)*E24</f>
        <v>0.09</v>
      </c>
      <c r="AG24" s="192">
        <f>+(AG25+AG26+AG27)*E24</f>
        <v>0.156</v>
      </c>
      <c r="AH24" s="192">
        <f>+(AH25+AH26+AH27)*E24</f>
        <v>0.09</v>
      </c>
      <c r="AI24" s="169">
        <f>+AVERAGE(AI25:AI29)*0.33</f>
        <v>0.10725000000000001</v>
      </c>
      <c r="AJ24" s="169">
        <v>0.56099999999999994</v>
      </c>
      <c r="AK24" s="169">
        <f>+(AK25*0.33)+(AK26*0.33)+(AK27*0.33)</f>
        <v>0.56099999999999994</v>
      </c>
      <c r="AL24" s="169">
        <f>+(AL25+AL26+AL27)*E24</f>
        <v>4.4999999999999998E-2</v>
      </c>
      <c r="AM24" s="169">
        <f>+(AM25+AM26+AM27)</f>
        <v>0.42</v>
      </c>
      <c r="AN24" s="169">
        <f>+(AN25+AN26+AN27)</f>
        <v>0.42</v>
      </c>
      <c r="AO24" s="605"/>
      <c r="AP24" s="163"/>
      <c r="AQ24" s="163"/>
      <c r="AR24" s="163"/>
      <c r="AS24" s="163"/>
      <c r="AT24" s="609"/>
      <c r="AU24" s="163"/>
      <c r="AV24" s="163"/>
      <c r="AW24" s="157"/>
      <c r="AX24" s="151"/>
      <c r="AY24" s="151"/>
      <c r="AZ24" s="151"/>
      <c r="BA24" s="151"/>
      <c r="BB24" s="151"/>
      <c r="BC24" s="151"/>
      <c r="BD24" s="151"/>
      <c r="BE24" s="151"/>
      <c r="BF24" s="151"/>
      <c r="BG24" s="151"/>
      <c r="BH24" s="151"/>
      <c r="BI24" s="151"/>
      <c r="BJ24" s="151"/>
      <c r="BK24" s="151"/>
      <c r="BL24" s="151"/>
      <c r="BM24" s="151"/>
      <c r="BN24" s="151"/>
      <c r="BO24" s="151"/>
    </row>
    <row r="25" spans="1:67" ht="99" customHeight="1" thickBot="1" x14ac:dyDescent="0.4">
      <c r="A25" s="155"/>
      <c r="B25" s="173" t="s">
        <v>697</v>
      </c>
      <c r="C25" s="183" t="s">
        <v>1405</v>
      </c>
      <c r="D25" s="189" t="s">
        <v>698</v>
      </c>
      <c r="E25" s="190">
        <v>0.3</v>
      </c>
      <c r="F25" s="175">
        <v>60</v>
      </c>
      <c r="G25" s="170">
        <v>10</v>
      </c>
      <c r="H25" s="170">
        <v>20</v>
      </c>
      <c r="I25" s="170">
        <v>10</v>
      </c>
      <c r="J25" s="176">
        <f>+G25/F25</f>
        <v>0.16666666666666666</v>
      </c>
      <c r="K25" s="176">
        <f t="shared" ref="K25:K27" si="37">+H25/F25</f>
        <v>0.33333333333333331</v>
      </c>
      <c r="L25" s="176"/>
      <c r="M25" s="176">
        <f>+(G25/F25)*E25</f>
        <v>4.9999999999999996E-2</v>
      </c>
      <c r="N25" s="176">
        <f t="shared" ref="N25:N27" si="38">+(H25/F25)*E25</f>
        <v>9.9999999999999992E-2</v>
      </c>
      <c r="O25" s="176"/>
      <c r="P25" s="170">
        <v>30</v>
      </c>
      <c r="Q25" s="541">
        <v>14</v>
      </c>
      <c r="R25" s="541">
        <v>2</v>
      </c>
      <c r="S25" s="541">
        <v>16</v>
      </c>
      <c r="T25" s="541">
        <v>0</v>
      </c>
      <c r="U25" s="541">
        <v>0</v>
      </c>
      <c r="V25" s="170">
        <f t="shared" si="32"/>
        <v>32</v>
      </c>
      <c r="W25" s="170">
        <f>+V25+P25+AB25</f>
        <v>74</v>
      </c>
      <c r="X25" s="541">
        <v>12</v>
      </c>
      <c r="Y25" s="170"/>
      <c r="Z25" s="170"/>
      <c r="AA25" s="170"/>
      <c r="AB25" s="170">
        <f t="shared" ref="AB25:AB27" si="39">+X25+Y25+Z25+AA25</f>
        <v>12</v>
      </c>
      <c r="AC25" s="194">
        <v>1</v>
      </c>
      <c r="AD25" s="194">
        <v>1</v>
      </c>
      <c r="AE25" s="194">
        <v>1</v>
      </c>
      <c r="AF25" s="194">
        <f>+AC25*E25</f>
        <v>0.3</v>
      </c>
      <c r="AG25" s="194">
        <f t="shared" ref="AG25:AG27" si="40">+AD25*E25</f>
        <v>0.3</v>
      </c>
      <c r="AH25" s="194">
        <f t="shared" si="25"/>
        <v>0.3</v>
      </c>
      <c r="AI25" s="194">
        <f>+P25/F25</f>
        <v>0.5</v>
      </c>
      <c r="AJ25" s="802">
        <v>1</v>
      </c>
      <c r="AK25" s="802">
        <v>1</v>
      </c>
      <c r="AL25" s="194">
        <f>+AI25*E25</f>
        <v>0.15</v>
      </c>
      <c r="AM25" s="194">
        <f>+AJ25*E25</f>
        <v>0.3</v>
      </c>
      <c r="AN25" s="194">
        <f t="shared" si="27"/>
        <v>0.3</v>
      </c>
      <c r="AO25" s="566" t="s">
        <v>1850</v>
      </c>
      <c r="AP25" s="163"/>
      <c r="AQ25" s="909" t="s">
        <v>2267</v>
      </c>
      <c r="AR25" s="908" t="s">
        <v>2288</v>
      </c>
      <c r="AS25" s="163"/>
      <c r="AT25" s="925" t="s">
        <v>2469</v>
      </c>
      <c r="AU25" s="908" t="s">
        <v>2493</v>
      </c>
      <c r="AV25" s="908" t="s">
        <v>1893</v>
      </c>
      <c r="AW25" s="157"/>
      <c r="AX25" s="151"/>
      <c r="AY25" s="151"/>
      <c r="AZ25" s="151"/>
      <c r="BA25" s="151"/>
      <c r="BB25" s="151"/>
      <c r="BC25" s="151"/>
      <c r="BD25" s="151"/>
      <c r="BE25" s="151"/>
      <c r="BF25" s="151"/>
      <c r="BG25" s="151"/>
      <c r="BH25" s="151"/>
      <c r="BI25" s="151"/>
      <c r="BJ25" s="151"/>
      <c r="BK25" s="151"/>
      <c r="BL25" s="151"/>
      <c r="BM25" s="151"/>
      <c r="BN25" s="151"/>
      <c r="BO25" s="151"/>
    </row>
    <row r="26" spans="1:67" ht="116.4" customHeight="1" thickBot="1" x14ac:dyDescent="0.4">
      <c r="A26" s="155"/>
      <c r="B26" s="173" t="s">
        <v>699</v>
      </c>
      <c r="C26" s="183" t="s">
        <v>1406</v>
      </c>
      <c r="D26" s="185" t="s">
        <v>700</v>
      </c>
      <c r="E26" s="174">
        <v>0.6</v>
      </c>
      <c r="F26" s="175">
        <v>2</v>
      </c>
      <c r="G26" s="170">
        <v>0</v>
      </c>
      <c r="H26" s="170">
        <v>1</v>
      </c>
      <c r="I26" s="170">
        <v>1</v>
      </c>
      <c r="J26" s="176"/>
      <c r="K26" s="176">
        <f t="shared" si="37"/>
        <v>0.5</v>
      </c>
      <c r="L26" s="176">
        <f t="shared" ref="L26:L27" si="41">+I26/F26</f>
        <v>0.5</v>
      </c>
      <c r="M26" s="176"/>
      <c r="N26" s="176">
        <f t="shared" si="38"/>
        <v>0.3</v>
      </c>
      <c r="O26" s="176"/>
      <c r="P26" s="170"/>
      <c r="Q26" s="541">
        <v>0</v>
      </c>
      <c r="R26" s="541">
        <v>0</v>
      </c>
      <c r="S26" s="541">
        <v>0</v>
      </c>
      <c r="T26" s="541">
        <v>0</v>
      </c>
      <c r="U26" s="541">
        <v>0.2</v>
      </c>
      <c r="V26" s="170">
        <f t="shared" si="32"/>
        <v>0.2</v>
      </c>
      <c r="W26" s="170">
        <f t="shared" ref="W26" si="42">+V26+P26+AB26</f>
        <v>0.2</v>
      </c>
      <c r="X26" s="541">
        <v>0</v>
      </c>
      <c r="Y26" s="170"/>
      <c r="Z26" s="170"/>
      <c r="AA26" s="170"/>
      <c r="AB26" s="170">
        <f>+X26+Y26+Z26+AA26</f>
        <v>0</v>
      </c>
      <c r="AC26" s="194"/>
      <c r="AD26" s="194">
        <f t="shared" ref="AD26" si="43">+V26/H26</f>
        <v>0.2</v>
      </c>
      <c r="AE26" s="194">
        <f t="shared" ref="AE26:AE27" si="44">+AB26/I26</f>
        <v>0</v>
      </c>
      <c r="AF26" s="194"/>
      <c r="AG26" s="194">
        <f t="shared" si="40"/>
        <v>0.12</v>
      </c>
      <c r="AH26" s="194">
        <f t="shared" si="25"/>
        <v>0</v>
      </c>
      <c r="AI26" s="194"/>
      <c r="AJ26" s="194">
        <v>0.1</v>
      </c>
      <c r="AK26" s="194">
        <f t="shared" ref="AK26:AK32" si="45">+W26/F26</f>
        <v>0.1</v>
      </c>
      <c r="AL26" s="194"/>
      <c r="AM26" s="194">
        <f>+AJ26*E26</f>
        <v>0.06</v>
      </c>
      <c r="AN26" s="194">
        <f>+AK26*E26</f>
        <v>0.06</v>
      </c>
      <c r="AO26" s="566" t="s">
        <v>1850</v>
      </c>
      <c r="AP26" s="644" t="s">
        <v>1918</v>
      </c>
      <c r="AQ26" s="909" t="s">
        <v>2267</v>
      </c>
      <c r="AR26" s="908" t="s">
        <v>2288</v>
      </c>
      <c r="AS26" s="908" t="s">
        <v>2402</v>
      </c>
      <c r="AT26" s="985" t="s">
        <v>2436</v>
      </c>
      <c r="AU26" s="908" t="s">
        <v>2493</v>
      </c>
      <c r="AV26" s="908" t="s">
        <v>1893</v>
      </c>
      <c r="AW26" s="157"/>
      <c r="AX26" s="151"/>
      <c r="AY26" s="151"/>
      <c r="AZ26" s="151"/>
      <c r="BA26" s="151"/>
      <c r="BB26" s="151"/>
      <c r="BC26" s="151"/>
      <c r="BD26" s="151"/>
      <c r="BE26" s="151"/>
      <c r="BF26" s="151"/>
      <c r="BG26" s="151"/>
      <c r="BH26" s="151"/>
      <c r="BI26" s="151"/>
      <c r="BJ26" s="151"/>
      <c r="BK26" s="151"/>
      <c r="BL26" s="151"/>
      <c r="BM26" s="151"/>
      <c r="BN26" s="151"/>
      <c r="BO26" s="151"/>
    </row>
    <row r="27" spans="1:67" ht="108" customHeight="1" thickBot="1" x14ac:dyDescent="0.4">
      <c r="A27" s="155"/>
      <c r="B27" s="173" t="s">
        <v>701</v>
      </c>
      <c r="C27" s="183" t="s">
        <v>1407</v>
      </c>
      <c r="D27" s="185" t="s">
        <v>1548</v>
      </c>
      <c r="E27" s="174">
        <v>0.1</v>
      </c>
      <c r="F27" s="175">
        <v>5</v>
      </c>
      <c r="G27" s="170">
        <v>0</v>
      </c>
      <c r="H27" s="170">
        <v>2</v>
      </c>
      <c r="I27" s="170">
        <v>2</v>
      </c>
      <c r="J27" s="176"/>
      <c r="K27" s="176">
        <f t="shared" si="37"/>
        <v>0.4</v>
      </c>
      <c r="L27" s="176">
        <f t="shared" si="41"/>
        <v>0.4</v>
      </c>
      <c r="M27" s="176"/>
      <c r="N27" s="176">
        <f t="shared" si="38"/>
        <v>4.0000000000000008E-2</v>
      </c>
      <c r="O27" s="176"/>
      <c r="P27" s="170"/>
      <c r="Q27" s="541">
        <v>0</v>
      </c>
      <c r="R27" s="541">
        <v>3</v>
      </c>
      <c r="S27" s="541">
        <v>0</v>
      </c>
      <c r="T27" s="541">
        <v>0</v>
      </c>
      <c r="U27" s="541">
        <v>0</v>
      </c>
      <c r="V27" s="170">
        <f t="shared" si="32"/>
        <v>3</v>
      </c>
      <c r="W27" s="170">
        <f>+V27+P27+AB27</f>
        <v>3</v>
      </c>
      <c r="X27" s="541">
        <v>0</v>
      </c>
      <c r="Y27" s="170"/>
      <c r="Z27" s="170"/>
      <c r="AA27" s="170"/>
      <c r="AB27" s="170">
        <f t="shared" si="39"/>
        <v>0</v>
      </c>
      <c r="AC27" s="194"/>
      <c r="AD27" s="194">
        <v>1</v>
      </c>
      <c r="AE27" s="194">
        <f t="shared" si="44"/>
        <v>0</v>
      </c>
      <c r="AF27" s="194"/>
      <c r="AG27" s="194">
        <f t="shared" si="40"/>
        <v>0.1</v>
      </c>
      <c r="AH27" s="194">
        <f t="shared" si="25"/>
        <v>0</v>
      </c>
      <c r="AI27" s="194"/>
      <c r="AJ27" s="194">
        <v>0.6</v>
      </c>
      <c r="AK27" s="194">
        <f t="shared" si="45"/>
        <v>0.6</v>
      </c>
      <c r="AL27" s="194"/>
      <c r="AM27" s="194">
        <f>+AJ27*E27</f>
        <v>0.06</v>
      </c>
      <c r="AN27" s="194">
        <f t="shared" si="27"/>
        <v>0.06</v>
      </c>
      <c r="AO27" s="566" t="s">
        <v>1850</v>
      </c>
      <c r="AP27" s="644" t="s">
        <v>1918</v>
      </c>
      <c r="AQ27" s="163"/>
      <c r="AR27" s="908" t="s">
        <v>2288</v>
      </c>
      <c r="AS27" s="908" t="s">
        <v>2402</v>
      </c>
      <c r="AT27" s="985" t="s">
        <v>2436</v>
      </c>
      <c r="AU27" s="908" t="s">
        <v>2493</v>
      </c>
      <c r="AV27" s="908" t="s">
        <v>1893</v>
      </c>
      <c r="AW27" s="157"/>
      <c r="AX27" s="151"/>
      <c r="AY27" s="151"/>
      <c r="AZ27" s="151"/>
      <c r="BA27" s="151"/>
      <c r="BB27" s="151"/>
      <c r="BC27" s="151"/>
      <c r="BD27" s="151"/>
      <c r="BE27" s="151"/>
      <c r="BF27" s="151"/>
      <c r="BG27" s="151"/>
      <c r="BH27" s="151"/>
      <c r="BI27" s="151"/>
      <c r="BJ27" s="151"/>
      <c r="BK27" s="151"/>
      <c r="BL27" s="151"/>
      <c r="BM27" s="151"/>
      <c r="BN27" s="151"/>
      <c r="BO27" s="151"/>
    </row>
    <row r="28" spans="1:67" ht="94.95" customHeight="1" thickBot="1" x14ac:dyDescent="0.4">
      <c r="A28" s="155"/>
      <c r="B28" s="1557" t="s">
        <v>1705</v>
      </c>
      <c r="C28" s="1558"/>
      <c r="D28" s="185"/>
      <c r="E28" s="166">
        <v>0.35</v>
      </c>
      <c r="F28" s="187"/>
      <c r="G28" s="163"/>
      <c r="H28" s="163"/>
      <c r="I28" s="163"/>
      <c r="J28" s="169">
        <f>+AVERAGE(J29:J32)</f>
        <v>0.6</v>
      </c>
      <c r="K28" s="169">
        <f>+AVERAGE(K29:K32)</f>
        <v>0.6</v>
      </c>
      <c r="L28" s="169">
        <f>+AVERAGE(L29:L32)</f>
        <v>0.63333333333333341</v>
      </c>
      <c r="M28" s="169">
        <f>+M29+M30+M31+M32</f>
        <v>0.36</v>
      </c>
      <c r="N28" s="169">
        <f>+N29+N30+N31+N32</f>
        <v>0.49</v>
      </c>
      <c r="O28" s="169"/>
      <c r="P28" s="168"/>
      <c r="Q28" s="168"/>
      <c r="R28" s="168"/>
      <c r="S28" s="168"/>
      <c r="T28" s="168"/>
      <c r="U28" s="984"/>
      <c r="V28" s="170"/>
      <c r="W28" s="170"/>
      <c r="X28" s="170"/>
      <c r="Y28" s="170"/>
      <c r="Z28" s="170"/>
      <c r="AA28" s="170"/>
      <c r="AB28" s="170"/>
      <c r="AC28" s="192">
        <f>+AVERAGE(AC29:AC32)</f>
        <v>1</v>
      </c>
      <c r="AD28" s="192">
        <f>+AVERAGE(AD29:AD32)</f>
        <v>0.75000000000000011</v>
      </c>
      <c r="AE28" s="192">
        <f>+AVERAGE(AE29:AE32)</f>
        <v>4.5454545454545456E-2</v>
      </c>
      <c r="AF28" s="192">
        <f>+(AF29+AF30+AF31+AF32)*E28</f>
        <v>0.21</v>
      </c>
      <c r="AG28" s="192">
        <f>+(AG29+AG30+AG31+AG32)*E28</f>
        <v>0.3115</v>
      </c>
      <c r="AH28" s="192">
        <f>+(AH29+AH30+AH31+AH32)*E28</f>
        <v>9.5454545454545445E-3</v>
      </c>
      <c r="AI28" s="169">
        <f>+AVERAGE(AI29:AI32)*0.25</f>
        <v>0.15</v>
      </c>
      <c r="AJ28" s="169">
        <v>0.52500000000000002</v>
      </c>
      <c r="AK28" s="169">
        <f>+AVERAGE(AK29:AK32)</f>
        <v>0.55000000000000004</v>
      </c>
      <c r="AL28" s="169">
        <f>+(AL29+AL30+AL31+AL32)*E28</f>
        <v>0.126</v>
      </c>
      <c r="AM28" s="169">
        <f>+(AM29+AM30+AM31+AM32)</f>
        <v>0.755</v>
      </c>
      <c r="AN28" s="169">
        <f>+(AN29+AN30+AN31+AN32)</f>
        <v>0.77</v>
      </c>
      <c r="AO28" s="605"/>
      <c r="AP28" s="644" t="s">
        <v>1885</v>
      </c>
      <c r="AQ28" s="163"/>
      <c r="AR28" s="163"/>
      <c r="AS28" s="163"/>
      <c r="AT28" s="609"/>
      <c r="AU28" s="163"/>
      <c r="AV28" s="163"/>
      <c r="AW28" s="157"/>
      <c r="AX28" s="151"/>
      <c r="AY28" s="151"/>
      <c r="AZ28" s="151"/>
      <c r="BA28" s="151"/>
      <c r="BB28" s="151"/>
      <c r="BC28" s="151"/>
      <c r="BD28" s="151"/>
      <c r="BE28" s="151"/>
      <c r="BF28" s="151"/>
      <c r="BG28" s="151"/>
      <c r="BH28" s="151"/>
      <c r="BI28" s="151"/>
      <c r="BJ28" s="151"/>
      <c r="BK28" s="151"/>
      <c r="BL28" s="151"/>
      <c r="BM28" s="151"/>
      <c r="BN28" s="151"/>
      <c r="BO28" s="151"/>
    </row>
    <row r="29" spans="1:67" ht="100.2" customHeight="1" thickBot="1" x14ac:dyDescent="0.4">
      <c r="A29" s="155"/>
      <c r="B29" s="173" t="s">
        <v>702</v>
      </c>
      <c r="C29" s="183" t="s">
        <v>1408</v>
      </c>
      <c r="D29" s="185" t="s">
        <v>560</v>
      </c>
      <c r="E29" s="174">
        <v>0.15</v>
      </c>
      <c r="F29" s="175">
        <v>1</v>
      </c>
      <c r="H29" s="170">
        <v>0.5</v>
      </c>
      <c r="I29" s="170">
        <v>0.55000000000000004</v>
      </c>
      <c r="J29" s="176"/>
      <c r="K29" s="176">
        <f t="shared" ref="K29:K32" si="46">+H29/F29</f>
        <v>0.5</v>
      </c>
      <c r="L29" s="176">
        <f t="shared" ref="L29:L32" si="47">+I29/F29</f>
        <v>0.55000000000000004</v>
      </c>
      <c r="M29" s="176"/>
      <c r="N29" s="176">
        <f t="shared" ref="N29:N32" si="48">+(H29/F29)*E29</f>
        <v>7.4999999999999997E-2</v>
      </c>
      <c r="O29" s="176"/>
      <c r="P29" s="170"/>
      <c r="Q29" s="541"/>
      <c r="R29" s="541">
        <v>0.1</v>
      </c>
      <c r="S29" s="541">
        <v>0.1</v>
      </c>
      <c r="T29" s="541">
        <v>0.1</v>
      </c>
      <c r="U29" s="541">
        <v>0.15</v>
      </c>
      <c r="V29" s="170">
        <f>+Q29+R29+S29+T29+U29</f>
        <v>0.45000000000000007</v>
      </c>
      <c r="W29" s="170">
        <f>+V29+P29+AB29</f>
        <v>0.50000000000000011</v>
      </c>
      <c r="X29" s="541">
        <v>0.05</v>
      </c>
      <c r="Y29" s="170"/>
      <c r="Z29" s="170"/>
      <c r="AA29" s="170"/>
      <c r="AB29" s="170">
        <f t="shared" ref="AB29:AB32" si="49">+X29+Y29+Z29+AA29</f>
        <v>0.05</v>
      </c>
      <c r="AC29" s="194"/>
      <c r="AD29" s="194">
        <f t="shared" ref="AD29:AD32" si="50">+V29/H29</f>
        <v>0.90000000000000013</v>
      </c>
      <c r="AE29" s="194">
        <f>+AB29/I29</f>
        <v>9.0909090909090912E-2</v>
      </c>
      <c r="AF29" s="194"/>
      <c r="AG29" s="194">
        <f t="shared" ref="AG29:AG32" si="51">+AD29*E29</f>
        <v>0.13500000000000001</v>
      </c>
      <c r="AH29" s="194">
        <f t="shared" si="25"/>
        <v>1.3636363636363636E-2</v>
      </c>
      <c r="AI29" s="194"/>
      <c r="AJ29" s="194">
        <v>0.45000000000000007</v>
      </c>
      <c r="AK29" s="194">
        <f t="shared" si="45"/>
        <v>0.50000000000000011</v>
      </c>
      <c r="AL29" s="194"/>
      <c r="AM29" s="194">
        <f>+AJ29*E29</f>
        <v>6.7500000000000004E-2</v>
      </c>
      <c r="AN29" s="194">
        <f t="shared" si="27"/>
        <v>7.5000000000000011E-2</v>
      </c>
      <c r="AO29" s="566" t="s">
        <v>1850</v>
      </c>
      <c r="AP29" s="908" t="s">
        <v>1892</v>
      </c>
      <c r="AQ29" s="908" t="s">
        <v>2267</v>
      </c>
      <c r="AR29" s="908" t="s">
        <v>2288</v>
      </c>
      <c r="AS29" s="578" t="s">
        <v>2369</v>
      </c>
      <c r="AT29" s="985" t="s">
        <v>2436</v>
      </c>
      <c r="AU29" s="908" t="s">
        <v>2493</v>
      </c>
      <c r="AV29" s="908" t="s">
        <v>1893</v>
      </c>
      <c r="AW29" s="157"/>
      <c r="AX29" s="151"/>
      <c r="AY29" s="151"/>
      <c r="AZ29" s="151"/>
      <c r="BA29" s="151"/>
      <c r="BB29" s="151"/>
      <c r="BC29" s="151"/>
      <c r="BD29" s="151"/>
      <c r="BE29" s="151"/>
      <c r="BF29" s="151"/>
      <c r="BG29" s="151"/>
      <c r="BH29" s="151"/>
      <c r="BI29" s="151"/>
      <c r="BJ29" s="151"/>
      <c r="BK29" s="151"/>
      <c r="BL29" s="151"/>
      <c r="BM29" s="151"/>
      <c r="BN29" s="151"/>
      <c r="BO29" s="151"/>
    </row>
    <row r="30" spans="1:67" ht="56.4" customHeight="1" thickBot="1" x14ac:dyDescent="0.4">
      <c r="A30" s="155"/>
      <c r="B30" s="173" t="s">
        <v>703</v>
      </c>
      <c r="C30" s="183" t="s">
        <v>1409</v>
      </c>
      <c r="D30" s="185" t="s">
        <v>560</v>
      </c>
      <c r="E30" s="174">
        <v>0.15</v>
      </c>
      <c r="F30" s="175">
        <v>1</v>
      </c>
      <c r="G30" s="170">
        <v>0</v>
      </c>
      <c r="H30" s="170">
        <v>0.5</v>
      </c>
      <c r="I30" s="170">
        <v>0.55000000000000004</v>
      </c>
      <c r="J30" s="176"/>
      <c r="K30" s="176">
        <f t="shared" si="46"/>
        <v>0.5</v>
      </c>
      <c r="L30" s="176">
        <f t="shared" si="47"/>
        <v>0.55000000000000004</v>
      </c>
      <c r="M30" s="176"/>
      <c r="N30" s="176">
        <f t="shared" si="48"/>
        <v>7.4999999999999997E-2</v>
      </c>
      <c r="O30" s="176"/>
      <c r="P30" s="170"/>
      <c r="Q30" s="541"/>
      <c r="R30" s="541">
        <v>0.1</v>
      </c>
      <c r="S30" s="541">
        <v>0.1</v>
      </c>
      <c r="T30" s="541">
        <v>0.1</v>
      </c>
      <c r="U30" s="541">
        <v>0.15</v>
      </c>
      <c r="V30" s="170">
        <f t="shared" si="32"/>
        <v>0.45000000000000007</v>
      </c>
      <c r="W30" s="170">
        <f t="shared" ref="W30:W31" si="52">+V30+P30+AB30</f>
        <v>0.50000000000000011</v>
      </c>
      <c r="X30" s="541">
        <v>0.05</v>
      </c>
      <c r="Y30" s="170"/>
      <c r="Z30" s="170"/>
      <c r="AA30" s="170"/>
      <c r="AB30" s="170">
        <f t="shared" si="49"/>
        <v>0.05</v>
      </c>
      <c r="AC30" s="194"/>
      <c r="AD30" s="194">
        <f t="shared" si="50"/>
        <v>0.90000000000000013</v>
      </c>
      <c r="AE30" s="194">
        <f t="shared" ref="AE30:AE32" si="53">+AB30/I30</f>
        <v>9.0909090909090912E-2</v>
      </c>
      <c r="AF30" s="194"/>
      <c r="AG30" s="194">
        <f t="shared" si="51"/>
        <v>0.13500000000000001</v>
      </c>
      <c r="AH30" s="194">
        <f t="shared" si="25"/>
        <v>1.3636363636363636E-2</v>
      </c>
      <c r="AI30" s="194"/>
      <c r="AJ30" s="194">
        <v>0.45000000000000007</v>
      </c>
      <c r="AK30" s="194">
        <f t="shared" si="45"/>
        <v>0.50000000000000011</v>
      </c>
      <c r="AL30" s="194"/>
      <c r="AM30" s="194">
        <f>+AJ30*E30</f>
        <v>6.7500000000000004E-2</v>
      </c>
      <c r="AN30" s="194">
        <f t="shared" si="27"/>
        <v>7.5000000000000011E-2</v>
      </c>
      <c r="AO30" s="566" t="s">
        <v>1850</v>
      </c>
      <c r="AP30" s="909" t="s">
        <v>1892</v>
      </c>
      <c r="AQ30" s="908" t="s">
        <v>2267</v>
      </c>
      <c r="AR30" s="908" t="s">
        <v>2288</v>
      </c>
      <c r="AS30" s="578" t="s">
        <v>2369</v>
      </c>
      <c r="AT30" s="985" t="s">
        <v>2436</v>
      </c>
      <c r="AU30" s="908" t="s">
        <v>2493</v>
      </c>
      <c r="AV30" s="908" t="s">
        <v>1893</v>
      </c>
      <c r="AW30" s="157"/>
      <c r="AX30" s="151"/>
      <c r="AY30" s="151"/>
      <c r="AZ30" s="151"/>
      <c r="BA30" s="151"/>
      <c r="BB30" s="151"/>
      <c r="BC30" s="151"/>
      <c r="BD30" s="151"/>
      <c r="BE30" s="151"/>
      <c r="BF30" s="151"/>
      <c r="BG30" s="151"/>
      <c r="BH30" s="151"/>
      <c r="BI30" s="151"/>
      <c r="BJ30" s="151"/>
      <c r="BK30" s="151"/>
      <c r="BL30" s="151"/>
      <c r="BM30" s="151"/>
      <c r="BN30" s="151"/>
      <c r="BO30" s="151"/>
    </row>
    <row r="31" spans="1:67" ht="148.19999999999999" customHeight="1" thickBot="1" x14ac:dyDescent="0.4">
      <c r="A31" s="155"/>
      <c r="B31" s="173" t="s">
        <v>704</v>
      </c>
      <c r="C31" s="183" t="s">
        <v>1410</v>
      </c>
      <c r="D31" s="185" t="s">
        <v>683</v>
      </c>
      <c r="E31" s="174">
        <v>0.6</v>
      </c>
      <c r="F31" s="175">
        <v>1</v>
      </c>
      <c r="G31" s="170">
        <v>0.6</v>
      </c>
      <c r="H31" s="170">
        <v>0.4</v>
      </c>
      <c r="I31" s="170">
        <v>0.5</v>
      </c>
      <c r="J31" s="176">
        <f>+G31/F31</f>
        <v>0.6</v>
      </c>
      <c r="K31" s="176">
        <f t="shared" si="46"/>
        <v>0.4</v>
      </c>
      <c r="L31" s="176"/>
      <c r="M31" s="176">
        <f>+(G31/F31)*E31</f>
        <v>0.36</v>
      </c>
      <c r="N31" s="176">
        <f t="shared" si="48"/>
        <v>0.24</v>
      </c>
      <c r="O31" s="176"/>
      <c r="P31" s="170">
        <v>0.6</v>
      </c>
      <c r="Q31" s="541">
        <v>0.4</v>
      </c>
      <c r="R31" s="541">
        <v>0.1</v>
      </c>
      <c r="S31" s="541">
        <v>0</v>
      </c>
      <c r="T31" s="541">
        <v>0</v>
      </c>
      <c r="U31" s="541"/>
      <c r="V31" s="170">
        <f t="shared" si="32"/>
        <v>0.5</v>
      </c>
      <c r="W31" s="170">
        <f t="shared" si="52"/>
        <v>1.1000000000000001</v>
      </c>
      <c r="X31" s="541">
        <v>0</v>
      </c>
      <c r="Y31" s="170"/>
      <c r="Z31" s="170"/>
      <c r="AA31" s="170"/>
      <c r="AB31" s="170">
        <f t="shared" si="49"/>
        <v>0</v>
      </c>
      <c r="AC31" s="194">
        <f>+(P31/G31)</f>
        <v>1</v>
      </c>
      <c r="AD31" s="194">
        <v>1</v>
      </c>
      <c r="AE31" s="194">
        <f>+AB31/I31</f>
        <v>0</v>
      </c>
      <c r="AF31" s="194">
        <f>+AC31*E31</f>
        <v>0.6</v>
      </c>
      <c r="AG31" s="194">
        <f t="shared" si="51"/>
        <v>0.6</v>
      </c>
      <c r="AH31" s="194">
        <f>+AE31*E31</f>
        <v>0</v>
      </c>
      <c r="AI31" s="194">
        <f>+P31/F31</f>
        <v>0.6</v>
      </c>
      <c r="AJ31" s="194">
        <v>1</v>
      </c>
      <c r="AK31" s="194">
        <v>1</v>
      </c>
      <c r="AL31" s="194">
        <f>+AI31*E31</f>
        <v>0.36</v>
      </c>
      <c r="AM31" s="194">
        <f>+AJ31*E31</f>
        <v>0.6</v>
      </c>
      <c r="AN31" s="194">
        <f t="shared" si="27"/>
        <v>0.6</v>
      </c>
      <c r="AO31" s="566" t="s">
        <v>1850</v>
      </c>
      <c r="AP31" s="644" t="s">
        <v>1898</v>
      </c>
      <c r="AQ31" s="908" t="s">
        <v>1591</v>
      </c>
      <c r="AR31" s="908" t="s">
        <v>2338</v>
      </c>
      <c r="AS31" s="644" t="s">
        <v>2421</v>
      </c>
      <c r="AT31" s="925" t="s">
        <v>1865</v>
      </c>
      <c r="AU31" s="644" t="s">
        <v>2421</v>
      </c>
      <c r="AV31" s="908" t="s">
        <v>1893</v>
      </c>
      <c r="AW31" s="157"/>
      <c r="AX31" s="151"/>
      <c r="AY31" s="151"/>
      <c r="AZ31" s="151"/>
      <c r="BA31" s="151"/>
      <c r="BB31" s="151"/>
      <c r="BC31" s="151"/>
      <c r="BD31" s="151"/>
      <c r="BE31" s="151"/>
      <c r="BF31" s="151"/>
      <c r="BG31" s="151"/>
      <c r="BH31" s="151"/>
      <c r="BI31" s="151"/>
      <c r="BJ31" s="151"/>
      <c r="BK31" s="151"/>
      <c r="BL31" s="151"/>
      <c r="BM31" s="151"/>
      <c r="BN31" s="151"/>
      <c r="BO31" s="151"/>
    </row>
    <row r="32" spans="1:67" ht="81.599999999999994" customHeight="1" thickBot="1" x14ac:dyDescent="0.4">
      <c r="A32" s="155"/>
      <c r="B32" s="173" t="s">
        <v>705</v>
      </c>
      <c r="C32" s="183" t="s">
        <v>1411</v>
      </c>
      <c r="D32" s="185" t="s">
        <v>683</v>
      </c>
      <c r="E32" s="174">
        <v>0.1</v>
      </c>
      <c r="F32" s="175">
        <v>1</v>
      </c>
      <c r="G32" s="170"/>
      <c r="H32" s="170">
        <v>1</v>
      </c>
      <c r="I32" s="170">
        <v>0.8</v>
      </c>
      <c r="J32" s="176"/>
      <c r="K32" s="176">
        <f t="shared" si="46"/>
        <v>1</v>
      </c>
      <c r="L32" s="176">
        <f t="shared" si="47"/>
        <v>0.8</v>
      </c>
      <c r="M32" s="176"/>
      <c r="N32" s="176">
        <f t="shared" si="48"/>
        <v>0.1</v>
      </c>
      <c r="O32" s="176"/>
      <c r="P32" s="170"/>
      <c r="Q32" s="541">
        <v>0</v>
      </c>
      <c r="R32" s="541">
        <v>0</v>
      </c>
      <c r="S32" s="541">
        <v>0</v>
      </c>
      <c r="T32" s="541">
        <v>0</v>
      </c>
      <c r="U32" s="541">
        <v>0.2</v>
      </c>
      <c r="V32" s="170">
        <f>+Q32+R32+S32+T32+U32</f>
        <v>0.2</v>
      </c>
      <c r="W32" s="170">
        <f>+V32+P32+AB32</f>
        <v>0.2</v>
      </c>
      <c r="X32" s="541">
        <v>0</v>
      </c>
      <c r="Y32" s="170"/>
      <c r="Z32" s="170"/>
      <c r="AA32" s="170"/>
      <c r="AB32" s="170">
        <f t="shared" si="49"/>
        <v>0</v>
      </c>
      <c r="AC32" s="194"/>
      <c r="AD32" s="194">
        <f t="shared" si="50"/>
        <v>0.2</v>
      </c>
      <c r="AE32" s="194">
        <f t="shared" si="53"/>
        <v>0</v>
      </c>
      <c r="AF32" s="194"/>
      <c r="AG32" s="194">
        <f t="shared" si="51"/>
        <v>2.0000000000000004E-2</v>
      </c>
      <c r="AH32" s="194">
        <f t="shared" si="25"/>
        <v>0</v>
      </c>
      <c r="AI32" s="194"/>
      <c r="AJ32" s="194">
        <v>0.2</v>
      </c>
      <c r="AK32" s="194">
        <f t="shared" si="45"/>
        <v>0.2</v>
      </c>
      <c r="AL32" s="194"/>
      <c r="AM32" s="194">
        <f>+AJ32*E32</f>
        <v>2.0000000000000004E-2</v>
      </c>
      <c r="AN32" s="194">
        <f t="shared" si="27"/>
        <v>2.0000000000000004E-2</v>
      </c>
      <c r="AO32" s="566" t="s">
        <v>1850</v>
      </c>
      <c r="AP32" s="909" t="s">
        <v>1892</v>
      </c>
      <c r="AQ32" s="908" t="s">
        <v>2267</v>
      </c>
      <c r="AR32" s="908" t="s">
        <v>2288</v>
      </c>
      <c r="AS32" s="163"/>
      <c r="AT32" s="985" t="s">
        <v>2436</v>
      </c>
      <c r="AU32" s="163"/>
      <c r="AV32" s="908" t="s">
        <v>1893</v>
      </c>
      <c r="AW32" s="157"/>
      <c r="AX32" s="151"/>
      <c r="AY32" s="151"/>
      <c r="AZ32" s="151"/>
      <c r="BA32" s="151"/>
      <c r="BB32" s="151"/>
      <c r="BC32" s="151"/>
      <c r="BD32" s="151"/>
      <c r="BE32" s="151"/>
      <c r="BF32" s="151"/>
      <c r="BG32" s="151"/>
      <c r="BH32" s="151"/>
      <c r="BI32" s="151"/>
      <c r="BJ32" s="151"/>
      <c r="BK32" s="151"/>
      <c r="BL32" s="151"/>
      <c r="BM32" s="151"/>
      <c r="BN32" s="151"/>
      <c r="BO32" s="151"/>
    </row>
    <row r="33" spans="1:67" ht="78" customHeight="1" thickBot="1" x14ac:dyDescent="0.4">
      <c r="A33" s="155"/>
      <c r="B33" s="1561" t="s">
        <v>1791</v>
      </c>
      <c r="C33" s="1558"/>
      <c r="D33" s="185"/>
      <c r="E33" s="158">
        <v>0.15</v>
      </c>
      <c r="F33" s="159">
        <f>+E33*AF33</f>
        <v>0.09</v>
      </c>
      <c r="G33" s="163"/>
      <c r="H33" s="159">
        <f>+E33*AG33</f>
        <v>7.9175000000000009E-2</v>
      </c>
      <c r="I33" s="159">
        <f>+E33*AH33</f>
        <v>3.7499999999999999E-2</v>
      </c>
      <c r="J33" s="161">
        <f>+(J34+J40+J43)/3</f>
        <v>0.36472934472934471</v>
      </c>
      <c r="K33" s="161">
        <f>+(K34+K40+K43)/3</f>
        <v>0.15683760683760684</v>
      </c>
      <c r="L33" s="161">
        <f>+(L34+L40+L43)/3</f>
        <v>0.17341880341880342</v>
      </c>
      <c r="M33" s="162">
        <f>+(M34+M40+M43)/3</f>
        <v>0.25547008547008548</v>
      </c>
      <c r="N33" s="162">
        <f>+(N34+N40+N43)/3</f>
        <v>0.16822649572649573</v>
      </c>
      <c r="O33" s="162"/>
      <c r="P33" s="163"/>
      <c r="Q33" s="163"/>
      <c r="R33" s="163"/>
      <c r="S33" s="163"/>
      <c r="T33" s="163"/>
      <c r="U33" s="983"/>
      <c r="V33" s="163"/>
      <c r="W33" s="163"/>
      <c r="X33" s="163"/>
      <c r="Y33" s="163"/>
      <c r="Z33" s="163"/>
      <c r="AA33" s="163"/>
      <c r="AB33" s="163"/>
      <c r="AC33" s="161">
        <f>+(AC34+AC40+AC43)/3</f>
        <v>0.88888888888888884</v>
      </c>
      <c r="AD33" s="161">
        <f>+(AD34+AD40+AD43)/3</f>
        <v>1.0525925925925925</v>
      </c>
      <c r="AE33" s="161">
        <f>+(AE34+AE40+AE43)/3</f>
        <v>0.33333333333333331</v>
      </c>
      <c r="AF33" s="162">
        <f>AF34+AF40+AF43</f>
        <v>0.6</v>
      </c>
      <c r="AG33" s="162">
        <f>AG34+AG40+AG43</f>
        <v>0.52783333333333338</v>
      </c>
      <c r="AH33" s="162">
        <f>AH34+AH40+AH43</f>
        <v>0.25</v>
      </c>
      <c r="AI33" s="161">
        <f>(AI34+AI40+AI43)/3</f>
        <v>0.28650042735042736</v>
      </c>
      <c r="AJ33" s="161">
        <v>0.55999045584045581</v>
      </c>
      <c r="AK33" s="161">
        <f>(AK34+AK40+AK43)/3</f>
        <v>0.65313860398860402</v>
      </c>
      <c r="AL33" s="162">
        <f>AL34+AL40+AL43</f>
        <v>0.23447615384615383</v>
      </c>
      <c r="AM33" s="162">
        <f>(AM34*E34)+(AM40*E40)+(AM43*E43)</f>
        <v>0.45406589743589743</v>
      </c>
      <c r="AN33" s="162">
        <f>(AN34*E34)+(AN40*E40)+(AN43*E43)</f>
        <v>0.5194825641025641</v>
      </c>
      <c r="AO33" s="905"/>
      <c r="AP33" s="168"/>
      <c r="AQ33" s="163"/>
      <c r="AR33" s="163"/>
      <c r="AS33" s="163"/>
      <c r="AT33" s="609"/>
      <c r="AU33" s="163"/>
      <c r="AV33" s="163"/>
      <c r="AW33" s="157"/>
      <c r="AX33" s="151"/>
      <c r="AY33" s="151"/>
      <c r="AZ33" s="151"/>
      <c r="BA33" s="151"/>
      <c r="BB33" s="151"/>
      <c r="BC33" s="151"/>
      <c r="BD33" s="151"/>
      <c r="BE33" s="151"/>
      <c r="BF33" s="151"/>
      <c r="BG33" s="151"/>
      <c r="BH33" s="151"/>
      <c r="BI33" s="151"/>
      <c r="BJ33" s="151"/>
      <c r="BK33" s="151"/>
      <c r="BL33" s="151"/>
      <c r="BM33" s="151"/>
      <c r="BN33" s="151"/>
      <c r="BO33" s="151"/>
    </row>
    <row r="34" spans="1:67" ht="123.6" customHeight="1" thickBot="1" x14ac:dyDescent="0.4">
      <c r="A34" s="155"/>
      <c r="B34" s="1557" t="s">
        <v>1706</v>
      </c>
      <c r="C34" s="1558"/>
      <c r="D34" s="185"/>
      <c r="E34" s="166">
        <v>0.5</v>
      </c>
      <c r="F34" s="187"/>
      <c r="G34" s="163"/>
      <c r="H34" s="163"/>
      <c r="I34" s="163"/>
      <c r="J34" s="169">
        <f>+AVERAGE(J35:J39)</f>
        <v>8.6111111111111097E-2</v>
      </c>
      <c r="K34" s="169">
        <f>+AVERAGE(K35:K39)</f>
        <v>8.1666666666666665E-2</v>
      </c>
      <c r="L34" s="169">
        <f>+AVERAGE(L35:L39)</f>
        <v>0.20833333333333331</v>
      </c>
      <c r="M34" s="169">
        <f>+M35+M36+M37+M38+M39</f>
        <v>5.0833333333333328E-2</v>
      </c>
      <c r="N34" s="169">
        <f>+N35+N36+N37+N38+N39</f>
        <v>0.11583333333333333</v>
      </c>
      <c r="O34" s="169"/>
      <c r="P34" s="168"/>
      <c r="Q34" s="168"/>
      <c r="R34" s="168"/>
      <c r="S34" s="168"/>
      <c r="T34" s="168"/>
      <c r="U34" s="984"/>
      <c r="V34" s="168"/>
      <c r="W34" s="168"/>
      <c r="X34" s="168"/>
      <c r="Y34" s="168"/>
      <c r="Z34" s="168"/>
      <c r="AA34" s="168"/>
      <c r="AB34" s="168"/>
      <c r="AC34" s="192">
        <f>+AVERAGE(AC35:AC39)</f>
        <v>0.66666666666666663</v>
      </c>
      <c r="AD34" s="192">
        <f>+AVERAGE(AD35:AD39)</f>
        <v>1.1577777777777778</v>
      </c>
      <c r="AE34" s="192">
        <f>+AVERAGE(AE35:AE39)</f>
        <v>0</v>
      </c>
      <c r="AF34" s="192">
        <f>+(AF35+AF36+AF37+AF38+AF39)*E34</f>
        <v>0.22499999999999998</v>
      </c>
      <c r="AG34" s="192">
        <f>+(AG35+AG36+AG37+AG38+AG39)*E34</f>
        <v>0.27783333333333338</v>
      </c>
      <c r="AH34" s="192">
        <f>+(AH35+AH36+AH37+AH38+AH39)*E34</f>
        <v>0</v>
      </c>
      <c r="AI34" s="169">
        <f>+AVERAGE(AI35:AI39)</f>
        <v>0.10536666666666666</v>
      </c>
      <c r="AJ34" s="169">
        <v>0.27314444444444441</v>
      </c>
      <c r="AK34" s="169">
        <f>+AVERAGE(AK35:AK39)</f>
        <v>0.31758888888888887</v>
      </c>
      <c r="AL34" s="169">
        <f>+(AL35+AL36+AL37+AL38+AL39)*E34</f>
        <v>4.5942499999999997E-2</v>
      </c>
      <c r="AM34" s="169">
        <f>+(AM35+AM36+AM37+AM38+AM39)</f>
        <v>0.20471833333333331</v>
      </c>
      <c r="AN34" s="169">
        <f>+(AN35+AN36+AN37+AN38+AN39)</f>
        <v>0.21805166666666664</v>
      </c>
      <c r="AO34" s="605"/>
      <c r="AP34" s="910" t="s">
        <v>1990</v>
      </c>
      <c r="AQ34" s="163"/>
      <c r="AR34" s="163"/>
      <c r="AS34" s="163"/>
      <c r="AT34" s="609"/>
      <c r="AU34" s="163"/>
      <c r="AV34" s="163"/>
      <c r="AW34" s="157"/>
      <c r="AX34" s="151"/>
      <c r="AY34" s="151"/>
      <c r="AZ34" s="151"/>
      <c r="BA34" s="151"/>
      <c r="BB34" s="151"/>
      <c r="BC34" s="151"/>
      <c r="BD34" s="151"/>
      <c r="BE34" s="151"/>
      <c r="BF34" s="151"/>
      <c r="BG34" s="151"/>
      <c r="BH34" s="151"/>
      <c r="BI34" s="151"/>
      <c r="BJ34" s="151"/>
      <c r="BK34" s="151"/>
      <c r="BL34" s="151"/>
      <c r="BM34" s="151"/>
      <c r="BN34" s="151"/>
      <c r="BO34" s="151"/>
    </row>
    <row r="35" spans="1:67" ht="78" customHeight="1" thickBot="1" x14ac:dyDescent="0.4">
      <c r="A35" s="155"/>
      <c r="B35" s="790" t="s">
        <v>706</v>
      </c>
      <c r="C35" s="794" t="s">
        <v>1412</v>
      </c>
      <c r="D35" s="189" t="s">
        <v>707</v>
      </c>
      <c r="E35" s="190">
        <v>0.2</v>
      </c>
      <c r="F35" s="175">
        <v>3</v>
      </c>
      <c r="G35" s="170">
        <v>0</v>
      </c>
      <c r="H35" s="170"/>
      <c r="I35" s="170"/>
      <c r="J35" s="176"/>
      <c r="K35" s="176">
        <f t="shared" ref="K35:K39" si="54">+H35/F35</f>
        <v>0</v>
      </c>
      <c r="L35" s="176">
        <f t="shared" ref="L35:L39" si="55">+I35/F35</f>
        <v>0</v>
      </c>
      <c r="M35" s="176"/>
      <c r="N35" s="176">
        <f t="shared" ref="N35:N39" si="56">+(H35/F35)*E35</f>
        <v>0</v>
      </c>
      <c r="O35" s="176"/>
      <c r="P35" s="170"/>
      <c r="Q35" s="541"/>
      <c r="R35" s="541"/>
      <c r="S35" s="541"/>
      <c r="T35" s="541"/>
      <c r="U35" s="541"/>
      <c r="V35" s="170">
        <f>+Q35+R35+S35+T35+U35</f>
        <v>0</v>
      </c>
      <c r="W35" s="170">
        <f>+V35+P35+AB35</f>
        <v>0</v>
      </c>
      <c r="X35" s="170"/>
      <c r="Y35" s="170"/>
      <c r="Z35" s="170"/>
      <c r="AA35" s="170"/>
      <c r="AB35" s="170">
        <f t="shared" ref="AB35:AB41" si="57">+X35+Y35+Z35+AA35</f>
        <v>0</v>
      </c>
      <c r="AC35" s="176"/>
      <c r="AD35" s="176"/>
      <c r="AE35" s="176"/>
      <c r="AF35" s="176"/>
      <c r="AG35" s="176">
        <f t="shared" ref="AG35:AG39" si="58">+AD35*E35</f>
        <v>0</v>
      </c>
      <c r="AH35" s="176"/>
      <c r="AI35" s="176"/>
      <c r="AJ35" s="176"/>
      <c r="AK35" s="176"/>
      <c r="AL35" s="176"/>
      <c r="AM35" s="176">
        <v>0</v>
      </c>
      <c r="AN35" s="1483">
        <f t="shared" ref="AN35:AN42" si="59">+AK35*E35</f>
        <v>0</v>
      </c>
      <c r="AO35" s="906" t="s">
        <v>1557</v>
      </c>
      <c r="AP35" s="644" t="s">
        <v>1923</v>
      </c>
      <c r="AQ35" s="163"/>
      <c r="AR35" s="644" t="s">
        <v>2318</v>
      </c>
      <c r="AS35" s="163"/>
      <c r="AT35" s="925" t="s">
        <v>1865</v>
      </c>
      <c r="AU35" s="163"/>
      <c r="AV35" s="925" t="s">
        <v>1865</v>
      </c>
      <c r="AW35" s="157"/>
      <c r="AX35" s="151"/>
      <c r="AY35" s="151"/>
      <c r="AZ35" s="151"/>
      <c r="BA35" s="151"/>
      <c r="BB35" s="151"/>
      <c r="BC35" s="151"/>
      <c r="BD35" s="151"/>
      <c r="BE35" s="151"/>
      <c r="BF35" s="151"/>
      <c r="BG35" s="151"/>
      <c r="BH35" s="151"/>
      <c r="BI35" s="151"/>
      <c r="BJ35" s="151"/>
      <c r="BK35" s="151"/>
      <c r="BL35" s="151"/>
      <c r="BM35" s="151"/>
      <c r="BN35" s="151"/>
      <c r="BO35" s="151"/>
    </row>
    <row r="36" spans="1:67" ht="95.4" customHeight="1" thickBot="1" x14ac:dyDescent="0.4">
      <c r="A36" s="155"/>
      <c r="B36" s="790" t="s">
        <v>708</v>
      </c>
      <c r="C36" s="794" t="s">
        <v>1413</v>
      </c>
      <c r="D36" s="189" t="s">
        <v>58</v>
      </c>
      <c r="E36" s="190">
        <v>0.25</v>
      </c>
      <c r="F36" s="175">
        <v>500</v>
      </c>
      <c r="G36" s="170"/>
      <c r="H36" s="170"/>
      <c r="I36" s="170"/>
      <c r="J36" s="176"/>
      <c r="K36" s="176">
        <f t="shared" si="54"/>
        <v>0</v>
      </c>
      <c r="L36" s="176">
        <f t="shared" si="55"/>
        <v>0</v>
      </c>
      <c r="M36" s="176"/>
      <c r="N36" s="176">
        <f t="shared" si="56"/>
        <v>0</v>
      </c>
      <c r="O36" s="176"/>
      <c r="P36" s="170"/>
      <c r="Q36" s="541"/>
      <c r="R36" s="541"/>
      <c r="S36" s="541"/>
      <c r="T36" s="541"/>
      <c r="U36" s="541"/>
      <c r="V36" s="170">
        <f t="shared" ref="V36:V98" si="60">+Q36+R36+S36+T36+U36</f>
        <v>0</v>
      </c>
      <c r="W36" s="170">
        <f t="shared" ref="W36:W39" si="61">+V36+P36+AB36</f>
        <v>0</v>
      </c>
      <c r="X36" s="170"/>
      <c r="Y36" s="170"/>
      <c r="Z36" s="170"/>
      <c r="AA36" s="170"/>
      <c r="AB36" s="170">
        <f t="shared" si="57"/>
        <v>0</v>
      </c>
      <c r="AC36" s="176"/>
      <c r="AD36" s="176"/>
      <c r="AE36" s="176"/>
      <c r="AF36" s="176"/>
      <c r="AG36" s="176">
        <f t="shared" si="58"/>
        <v>0</v>
      </c>
      <c r="AH36" s="176">
        <f t="shared" ref="AH36:AH42" si="62">+AE36*E36</f>
        <v>0</v>
      </c>
      <c r="AI36" s="176"/>
      <c r="AJ36" s="176"/>
      <c r="AK36" s="176"/>
      <c r="AL36" s="176"/>
      <c r="AM36" s="176">
        <v>0</v>
      </c>
      <c r="AN36" s="1483">
        <f t="shared" si="59"/>
        <v>0</v>
      </c>
      <c r="AO36" s="906" t="s">
        <v>1564</v>
      </c>
      <c r="AP36" s="644" t="s">
        <v>1924</v>
      </c>
      <c r="AQ36" s="163"/>
      <c r="AR36" s="644" t="s">
        <v>2318</v>
      </c>
      <c r="AS36" s="163"/>
      <c r="AT36" s="925" t="s">
        <v>1865</v>
      </c>
      <c r="AU36" s="163"/>
      <c r="AV36" s="925" t="s">
        <v>1865</v>
      </c>
      <c r="AW36" s="157"/>
      <c r="AX36" s="151"/>
      <c r="AY36" s="151"/>
      <c r="AZ36" s="151"/>
      <c r="BA36" s="151"/>
      <c r="BB36" s="151"/>
      <c r="BC36" s="151"/>
      <c r="BD36" s="151"/>
      <c r="BE36" s="151"/>
      <c r="BF36" s="151"/>
      <c r="BG36" s="151"/>
      <c r="BH36" s="151"/>
      <c r="BI36" s="151"/>
      <c r="BJ36" s="151"/>
      <c r="BK36" s="151"/>
      <c r="BL36" s="151"/>
      <c r="BM36" s="151"/>
      <c r="BN36" s="151"/>
      <c r="BO36" s="151"/>
    </row>
    <row r="37" spans="1:67" ht="87.6" customHeight="1" thickBot="1" x14ac:dyDescent="0.4">
      <c r="A37" s="155"/>
      <c r="B37" s="173" t="s">
        <v>709</v>
      </c>
      <c r="C37" s="183" t="s">
        <v>1414</v>
      </c>
      <c r="D37" s="185" t="s">
        <v>683</v>
      </c>
      <c r="E37" s="174">
        <v>0.1</v>
      </c>
      <c r="F37" s="175">
        <v>4</v>
      </c>
      <c r="G37" s="170">
        <v>0.3</v>
      </c>
      <c r="H37" s="170">
        <v>0.1</v>
      </c>
      <c r="I37" s="170">
        <v>0.3</v>
      </c>
      <c r="J37" s="176">
        <f>+G37/F37</f>
        <v>7.4999999999999997E-2</v>
      </c>
      <c r="K37" s="176">
        <f t="shared" si="54"/>
        <v>2.5000000000000001E-2</v>
      </c>
      <c r="L37" s="176">
        <f t="shared" si="55"/>
        <v>7.4999999999999997E-2</v>
      </c>
      <c r="M37" s="176">
        <f>+(G37/F37)*E37</f>
        <v>7.4999999999999997E-3</v>
      </c>
      <c r="N37" s="176">
        <f t="shared" si="56"/>
        <v>2.5000000000000005E-3</v>
      </c>
      <c r="O37" s="176"/>
      <c r="P37" s="170">
        <v>0.3</v>
      </c>
      <c r="Q37" s="541">
        <v>0.1</v>
      </c>
      <c r="R37" s="541">
        <v>0.6</v>
      </c>
      <c r="S37" s="541">
        <v>0.2</v>
      </c>
      <c r="T37" s="541">
        <v>0</v>
      </c>
      <c r="U37" s="541">
        <v>0.1</v>
      </c>
      <c r="V37" s="170">
        <f t="shared" si="60"/>
        <v>0.99999999999999989</v>
      </c>
      <c r="W37" s="170">
        <f t="shared" si="61"/>
        <v>1.2999999999999998</v>
      </c>
      <c r="X37" s="541">
        <v>0</v>
      </c>
      <c r="Y37" s="170"/>
      <c r="Z37" s="170"/>
      <c r="AA37" s="170"/>
      <c r="AB37" s="170">
        <f t="shared" si="57"/>
        <v>0</v>
      </c>
      <c r="AC37" s="194">
        <f>+(P37/G37)</f>
        <v>1</v>
      </c>
      <c r="AD37" s="194">
        <v>1</v>
      </c>
      <c r="AE37" s="194">
        <f t="shared" ref="AE37:AE41" si="63">+AB37/I37</f>
        <v>0</v>
      </c>
      <c r="AF37" s="194">
        <f>+AC37*E37</f>
        <v>0.1</v>
      </c>
      <c r="AG37" s="194">
        <f t="shared" si="58"/>
        <v>0.1</v>
      </c>
      <c r="AH37" s="194">
        <f>+AE37*E37</f>
        <v>0</v>
      </c>
      <c r="AI37" s="194">
        <f>+P37/F37</f>
        <v>7.4999999999999997E-2</v>
      </c>
      <c r="AJ37" s="194">
        <v>0.32499999999999996</v>
      </c>
      <c r="AK37" s="194">
        <f t="shared" ref="AK37:AK44" si="64">+W37/F37</f>
        <v>0.32499999999999996</v>
      </c>
      <c r="AL37" s="194">
        <f>+AI37*E37</f>
        <v>7.4999999999999997E-3</v>
      </c>
      <c r="AM37" s="194">
        <f>+AJ37*E37</f>
        <v>3.2499999999999994E-2</v>
      </c>
      <c r="AN37" s="230">
        <f t="shared" si="59"/>
        <v>3.2499999999999994E-2</v>
      </c>
      <c r="AO37" s="566" t="s">
        <v>1850</v>
      </c>
      <c r="AP37" s="908" t="s">
        <v>1892</v>
      </c>
      <c r="AQ37" s="908" t="s">
        <v>2267</v>
      </c>
      <c r="AR37" s="1569" t="s">
        <v>2297</v>
      </c>
      <c r="AS37" s="908" t="s">
        <v>2402</v>
      </c>
      <c r="AT37" s="985" t="s">
        <v>2436</v>
      </c>
      <c r="AU37" s="644" t="s">
        <v>2297</v>
      </c>
      <c r="AV37" s="908" t="s">
        <v>1893</v>
      </c>
      <c r="AW37" s="157"/>
      <c r="AX37" s="151"/>
      <c r="AY37" s="151"/>
      <c r="AZ37" s="151"/>
      <c r="BA37" s="151"/>
      <c r="BB37" s="151"/>
      <c r="BC37" s="151"/>
      <c r="BD37" s="151"/>
      <c r="BE37" s="151"/>
      <c r="BF37" s="151"/>
      <c r="BG37" s="151"/>
      <c r="BH37" s="151"/>
      <c r="BI37" s="151"/>
      <c r="BJ37" s="151"/>
      <c r="BK37" s="151"/>
      <c r="BL37" s="151"/>
      <c r="BM37" s="151"/>
      <c r="BN37" s="151"/>
      <c r="BO37" s="151"/>
    </row>
    <row r="38" spans="1:67" ht="132.6" customHeight="1" thickBot="1" x14ac:dyDescent="0.4">
      <c r="A38" s="155"/>
      <c r="B38" s="173" t="s">
        <v>710</v>
      </c>
      <c r="C38" s="183" t="s">
        <v>1415</v>
      </c>
      <c r="D38" s="185" t="s">
        <v>683</v>
      </c>
      <c r="E38" s="174">
        <v>0.1</v>
      </c>
      <c r="F38" s="175">
        <v>3</v>
      </c>
      <c r="G38" s="170">
        <v>0.25</v>
      </c>
      <c r="H38" s="170">
        <v>0.25</v>
      </c>
      <c r="I38" s="170">
        <v>2</v>
      </c>
      <c r="J38" s="176">
        <f>+G38/F38</f>
        <v>8.3333333333333329E-2</v>
      </c>
      <c r="K38" s="176">
        <f t="shared" si="54"/>
        <v>8.3333333333333329E-2</v>
      </c>
      <c r="L38" s="176">
        <f t="shared" si="55"/>
        <v>0.66666666666666663</v>
      </c>
      <c r="M38" s="176">
        <f>+(G38/F38)*E38</f>
        <v>8.3333333333333332E-3</v>
      </c>
      <c r="N38" s="176">
        <f t="shared" si="56"/>
        <v>8.3333333333333332E-3</v>
      </c>
      <c r="O38" s="176"/>
      <c r="P38" s="170">
        <v>0</v>
      </c>
      <c r="Q38" s="541">
        <v>0</v>
      </c>
      <c r="R38" s="541">
        <v>0</v>
      </c>
      <c r="S38" s="541">
        <v>0.01</v>
      </c>
      <c r="T38" s="541"/>
      <c r="U38" s="541">
        <v>0.4</v>
      </c>
      <c r="V38" s="170">
        <f t="shared" si="60"/>
        <v>0.41000000000000003</v>
      </c>
      <c r="W38" s="170">
        <f t="shared" si="61"/>
        <v>0.41000000000000003</v>
      </c>
      <c r="X38" s="541">
        <v>0</v>
      </c>
      <c r="Y38" s="170"/>
      <c r="Z38" s="170"/>
      <c r="AA38" s="170"/>
      <c r="AB38" s="170">
        <f t="shared" si="57"/>
        <v>0</v>
      </c>
      <c r="AC38" s="194">
        <f>+(P38/G38)</f>
        <v>0</v>
      </c>
      <c r="AD38" s="194">
        <f t="shared" ref="AD38:AD39" si="65">+V38/H38</f>
        <v>1.6400000000000001</v>
      </c>
      <c r="AE38" s="194">
        <f t="shared" si="63"/>
        <v>0</v>
      </c>
      <c r="AF38" s="194">
        <f>+AC38*E38</f>
        <v>0</v>
      </c>
      <c r="AG38" s="194">
        <f t="shared" si="58"/>
        <v>0.16400000000000003</v>
      </c>
      <c r="AH38" s="194">
        <f t="shared" si="62"/>
        <v>0</v>
      </c>
      <c r="AI38" s="194">
        <f>+P38/F38</f>
        <v>0</v>
      </c>
      <c r="AJ38" s="194">
        <v>3.3333333333333335E-3</v>
      </c>
      <c r="AK38" s="194">
        <f t="shared" si="64"/>
        <v>0.13666666666666669</v>
      </c>
      <c r="AL38" s="194">
        <f>+AI38*E38</f>
        <v>0</v>
      </c>
      <c r="AM38" s="194">
        <f>+AJ38*E38</f>
        <v>3.3333333333333338E-4</v>
      </c>
      <c r="AN38" s="230">
        <f t="shared" si="59"/>
        <v>1.3666666666666669E-2</v>
      </c>
      <c r="AO38" s="566" t="s">
        <v>1850</v>
      </c>
      <c r="AP38" s="908" t="s">
        <v>1892</v>
      </c>
      <c r="AQ38" s="908" t="s">
        <v>2267</v>
      </c>
      <c r="AR38" s="1569"/>
      <c r="AS38" s="908" t="s">
        <v>2402</v>
      </c>
      <c r="AT38" s="925" t="s">
        <v>1865</v>
      </c>
      <c r="AU38" s="644" t="s">
        <v>2658</v>
      </c>
      <c r="AV38" s="908" t="s">
        <v>1893</v>
      </c>
      <c r="AW38" s="157"/>
      <c r="AX38" s="151"/>
      <c r="AY38" s="151"/>
      <c r="AZ38" s="151"/>
      <c r="BA38" s="151"/>
      <c r="BB38" s="151"/>
      <c r="BC38" s="151"/>
      <c r="BD38" s="151"/>
      <c r="BE38" s="151"/>
      <c r="BF38" s="151"/>
      <c r="BG38" s="151"/>
      <c r="BH38" s="151"/>
      <c r="BI38" s="151"/>
      <c r="BJ38" s="151"/>
      <c r="BK38" s="151"/>
      <c r="BL38" s="151"/>
      <c r="BM38" s="151"/>
      <c r="BN38" s="151"/>
      <c r="BO38" s="151"/>
    </row>
    <row r="39" spans="1:67" ht="64.2" customHeight="1" thickBot="1" x14ac:dyDescent="0.4">
      <c r="A39" s="155"/>
      <c r="B39" s="173" t="s">
        <v>711</v>
      </c>
      <c r="C39" s="183" t="s">
        <v>1416</v>
      </c>
      <c r="D39" s="185" t="s">
        <v>683</v>
      </c>
      <c r="E39" s="174">
        <v>0.35</v>
      </c>
      <c r="F39" s="175">
        <v>10000</v>
      </c>
      <c r="G39" s="170">
        <v>1000</v>
      </c>
      <c r="H39" s="170">
        <v>3000</v>
      </c>
      <c r="I39" s="170">
        <v>3000</v>
      </c>
      <c r="J39" s="176">
        <f>+G39/F39</f>
        <v>0.1</v>
      </c>
      <c r="K39" s="176">
        <f t="shared" si="54"/>
        <v>0.3</v>
      </c>
      <c r="L39" s="176">
        <f t="shared" si="55"/>
        <v>0.3</v>
      </c>
      <c r="M39" s="176">
        <f>+(G39/F39)*E39</f>
        <v>3.4999999999999996E-2</v>
      </c>
      <c r="N39" s="176">
        <f t="shared" si="56"/>
        <v>0.105</v>
      </c>
      <c r="O39" s="176"/>
      <c r="P39" s="170">
        <v>2411</v>
      </c>
      <c r="Q39" s="541">
        <v>0</v>
      </c>
      <c r="R39" s="541">
        <v>0</v>
      </c>
      <c r="S39" s="541">
        <v>1336</v>
      </c>
      <c r="T39" s="541">
        <v>1164</v>
      </c>
      <c r="U39" s="541">
        <v>0</v>
      </c>
      <c r="V39" s="170">
        <f t="shared" si="60"/>
        <v>2500</v>
      </c>
      <c r="W39" s="170">
        <f t="shared" si="61"/>
        <v>4911</v>
      </c>
      <c r="X39" s="541">
        <v>0</v>
      </c>
      <c r="Y39" s="170"/>
      <c r="Z39" s="170"/>
      <c r="AA39" s="170"/>
      <c r="AB39" s="170">
        <f t="shared" si="57"/>
        <v>0</v>
      </c>
      <c r="AC39" s="194">
        <v>1</v>
      </c>
      <c r="AD39" s="194">
        <f t="shared" si="65"/>
        <v>0.83333333333333337</v>
      </c>
      <c r="AE39" s="194">
        <f t="shared" si="63"/>
        <v>0</v>
      </c>
      <c r="AF39" s="194">
        <f>+AC39*E39</f>
        <v>0.35</v>
      </c>
      <c r="AG39" s="194">
        <f t="shared" si="58"/>
        <v>0.29166666666666669</v>
      </c>
      <c r="AH39" s="194">
        <f t="shared" si="62"/>
        <v>0</v>
      </c>
      <c r="AI39" s="194">
        <f>+P39/F39</f>
        <v>0.24110000000000001</v>
      </c>
      <c r="AJ39" s="194">
        <v>0.49109999999999998</v>
      </c>
      <c r="AK39" s="194">
        <f t="shared" si="64"/>
        <v>0.49109999999999998</v>
      </c>
      <c r="AL39" s="194">
        <f>+AI39*E39</f>
        <v>8.4385000000000002E-2</v>
      </c>
      <c r="AM39" s="194">
        <f>+AJ39*E39</f>
        <v>0.17188499999999998</v>
      </c>
      <c r="AN39" s="230">
        <f t="shared" si="59"/>
        <v>0.17188499999999998</v>
      </c>
      <c r="AO39" s="566" t="s">
        <v>1850</v>
      </c>
      <c r="AP39" s="908" t="s">
        <v>1892</v>
      </c>
      <c r="AQ39" s="908" t="s">
        <v>2267</v>
      </c>
      <c r="AR39" s="1569"/>
      <c r="AS39" s="908" t="s">
        <v>2402</v>
      </c>
      <c r="AT39" s="985" t="s">
        <v>2436</v>
      </c>
      <c r="AU39" s="644" t="s">
        <v>2297</v>
      </c>
      <c r="AV39" s="908" t="s">
        <v>1893</v>
      </c>
      <c r="AW39" s="157"/>
      <c r="AX39" s="151"/>
      <c r="AY39" s="151"/>
      <c r="AZ39" s="151"/>
      <c r="BA39" s="151"/>
      <c r="BB39" s="151"/>
      <c r="BC39" s="151"/>
      <c r="BD39" s="151"/>
      <c r="BE39" s="151"/>
      <c r="BF39" s="151"/>
      <c r="BG39" s="151"/>
      <c r="BH39" s="151"/>
      <c r="BI39" s="151"/>
      <c r="BJ39" s="151"/>
      <c r="BK39" s="151"/>
      <c r="BL39" s="151"/>
      <c r="BM39" s="151"/>
      <c r="BN39" s="151"/>
      <c r="BO39" s="151"/>
    </row>
    <row r="40" spans="1:67" ht="68.400000000000006" customHeight="1" thickBot="1" x14ac:dyDescent="0.4">
      <c r="A40" s="155"/>
      <c r="B40" s="1557" t="s">
        <v>1707</v>
      </c>
      <c r="C40" s="1558"/>
      <c r="D40" s="185"/>
      <c r="E40" s="166">
        <v>0.25</v>
      </c>
      <c r="F40" s="175"/>
      <c r="G40" s="170"/>
      <c r="H40" s="170"/>
      <c r="I40" s="170"/>
      <c r="J40" s="169">
        <f>+AVERAGE(J41:J42)</f>
        <v>0.58499999999999996</v>
      </c>
      <c r="K40" s="169">
        <f>+AVERAGE(K41:K42)</f>
        <v>0.23500000000000001</v>
      </c>
      <c r="L40" s="169">
        <f>+AVERAGE(L41:L42)</f>
        <v>0.23500000000000001</v>
      </c>
      <c r="M40" s="169">
        <f>+M41+M42</f>
        <v>0.29249999999999998</v>
      </c>
      <c r="N40" s="169">
        <f>+N41+N42</f>
        <v>0.23500000000000001</v>
      </c>
      <c r="O40" s="169"/>
      <c r="P40" s="168"/>
      <c r="Q40" s="168"/>
      <c r="R40" s="168"/>
      <c r="S40" s="168"/>
      <c r="T40" s="168"/>
      <c r="U40" s="984"/>
      <c r="V40" s="170"/>
      <c r="W40" s="168"/>
      <c r="X40" s="168"/>
      <c r="Y40" s="168"/>
      <c r="Z40" s="168"/>
      <c r="AA40" s="168"/>
      <c r="AB40" s="168"/>
      <c r="AC40" s="192">
        <f>+AVERAGE(AC41:AC43)</f>
        <v>1</v>
      </c>
      <c r="AD40" s="192">
        <f>+AVERAGE(AD41:AD42)</f>
        <v>1</v>
      </c>
      <c r="AE40" s="192">
        <f>+AVERAGE(AE41:AE42)</f>
        <v>1</v>
      </c>
      <c r="AF40" s="192">
        <f>+(AF41+AF42)*E40</f>
        <v>0.125</v>
      </c>
      <c r="AG40" s="192">
        <f>+(AG41+AG42)*E40</f>
        <v>0.25</v>
      </c>
      <c r="AH40" s="192">
        <f>+(AH41+AH42)*E40</f>
        <v>0.25</v>
      </c>
      <c r="AI40" s="169">
        <f>+AVERAGE(AI41:AI42)*0.5</f>
        <v>0.30875000000000002</v>
      </c>
      <c r="AJ40" s="169">
        <v>0.54374999999999996</v>
      </c>
      <c r="AK40" s="169">
        <f>+AVERAGE(AK41:AK42)</f>
        <v>0.77875000000000005</v>
      </c>
      <c r="AL40" s="169">
        <f>+(AL41+AL42)*E40</f>
        <v>7.7187500000000006E-2</v>
      </c>
      <c r="AM40" s="169">
        <f>+(AM41+AM42)</f>
        <v>0.54374999999999996</v>
      </c>
      <c r="AN40" s="169">
        <f>+(AN41+AN42)</f>
        <v>0.77875000000000005</v>
      </c>
      <c r="AO40" s="590"/>
      <c r="AP40" s="163"/>
      <c r="AQ40" s="163"/>
      <c r="AR40" s="163"/>
      <c r="AS40" s="163"/>
      <c r="AT40" s="609"/>
      <c r="AU40" s="163"/>
      <c r="AV40" s="163"/>
      <c r="AW40" s="157"/>
      <c r="AX40" s="151"/>
      <c r="AY40" s="151"/>
      <c r="AZ40" s="151"/>
      <c r="BA40" s="151"/>
      <c r="BB40" s="151"/>
      <c r="BC40" s="151"/>
      <c r="BD40" s="151"/>
      <c r="BE40" s="151"/>
      <c r="BF40" s="151"/>
      <c r="BG40" s="151"/>
      <c r="BH40" s="151"/>
      <c r="BI40" s="151"/>
      <c r="BJ40" s="151"/>
      <c r="BK40" s="151"/>
      <c r="BL40" s="151"/>
      <c r="BM40" s="151"/>
      <c r="BN40" s="151"/>
      <c r="BO40" s="151"/>
    </row>
    <row r="41" spans="1:67" ht="69.599999999999994" customHeight="1" thickBot="1" x14ac:dyDescent="0.4">
      <c r="A41" s="155"/>
      <c r="B41" s="173" t="s">
        <v>712</v>
      </c>
      <c r="C41" s="183" t="s">
        <v>1417</v>
      </c>
      <c r="D41" s="185" t="s">
        <v>516</v>
      </c>
      <c r="E41" s="174">
        <v>0.5</v>
      </c>
      <c r="F41" s="175">
        <v>400</v>
      </c>
      <c r="G41" s="170">
        <v>234</v>
      </c>
      <c r="H41" s="170">
        <v>55</v>
      </c>
      <c r="I41" s="170">
        <v>55</v>
      </c>
      <c r="J41" s="176">
        <f>+G41/F41</f>
        <v>0.58499999999999996</v>
      </c>
      <c r="K41" s="176">
        <f t="shared" ref="K41:K42" si="66">+H41/F41</f>
        <v>0.13750000000000001</v>
      </c>
      <c r="L41" s="176">
        <f t="shared" ref="L41:L42" si="67">+I41/F41</f>
        <v>0.13750000000000001</v>
      </c>
      <c r="M41" s="176">
        <f>+(G41/F41)*E41</f>
        <v>0.29249999999999998</v>
      </c>
      <c r="N41" s="176">
        <f t="shared" ref="N41:N42" si="68">+(H41/F41)*E41</f>
        <v>6.8750000000000006E-2</v>
      </c>
      <c r="O41" s="176"/>
      <c r="P41" s="170">
        <v>247</v>
      </c>
      <c r="Q41" s="541">
        <v>55</v>
      </c>
      <c r="R41" s="541">
        <v>0</v>
      </c>
      <c r="S41" s="541">
        <v>0</v>
      </c>
      <c r="T41" s="541">
        <v>0</v>
      </c>
      <c r="U41" s="541">
        <v>0</v>
      </c>
      <c r="V41" s="170">
        <f t="shared" si="60"/>
        <v>55</v>
      </c>
      <c r="W41" s="170">
        <f>+V41+P41+AB41</f>
        <v>357</v>
      </c>
      <c r="X41" s="541">
        <v>55</v>
      </c>
      <c r="Y41" s="170"/>
      <c r="Z41" s="170"/>
      <c r="AA41" s="170"/>
      <c r="AB41" s="170">
        <f t="shared" si="57"/>
        <v>55</v>
      </c>
      <c r="AC41" s="176">
        <v>1</v>
      </c>
      <c r="AD41" s="176">
        <f t="shared" ref="AD41:AD42" si="69">+V41/H41</f>
        <v>1</v>
      </c>
      <c r="AE41" s="176">
        <f t="shared" si="63"/>
        <v>1</v>
      </c>
      <c r="AF41" s="176">
        <f>+AC41*E41</f>
        <v>0.5</v>
      </c>
      <c r="AG41" s="176">
        <f t="shared" ref="AG41:AG44" si="70">+AD41*E41</f>
        <v>0.5</v>
      </c>
      <c r="AH41" s="176">
        <f t="shared" si="62"/>
        <v>0.5</v>
      </c>
      <c r="AI41" s="176">
        <f>+P41/F41</f>
        <v>0.61750000000000005</v>
      </c>
      <c r="AJ41" s="176">
        <v>0.755</v>
      </c>
      <c r="AK41" s="176">
        <f t="shared" si="64"/>
        <v>0.89249999999999996</v>
      </c>
      <c r="AL41" s="176">
        <f>+AI41*E41</f>
        <v>0.30875000000000002</v>
      </c>
      <c r="AM41" s="194">
        <f>+AJ41*E41</f>
        <v>0.3775</v>
      </c>
      <c r="AN41" s="230">
        <f t="shared" si="59"/>
        <v>0.44624999999999998</v>
      </c>
      <c r="AO41" s="566" t="s">
        <v>1850</v>
      </c>
      <c r="AP41" s="908" t="s">
        <v>1892</v>
      </c>
      <c r="AQ41" s="908" t="s">
        <v>2267</v>
      </c>
      <c r="AR41" s="908" t="s">
        <v>2288</v>
      </c>
      <c r="AS41" s="908" t="s">
        <v>2402</v>
      </c>
      <c r="AT41" s="985" t="s">
        <v>2436</v>
      </c>
      <c r="AU41" s="644" t="s">
        <v>2521</v>
      </c>
      <c r="AV41" s="163"/>
      <c r="AW41" s="157"/>
      <c r="AX41" s="151"/>
      <c r="AY41" s="151"/>
      <c r="AZ41" s="151"/>
      <c r="BA41" s="151"/>
      <c r="BB41" s="151"/>
      <c r="BC41" s="151"/>
      <c r="BD41" s="151"/>
      <c r="BE41" s="151"/>
      <c r="BF41" s="151"/>
      <c r="BG41" s="151"/>
      <c r="BH41" s="151"/>
      <c r="BI41" s="151"/>
      <c r="BJ41" s="151"/>
      <c r="BK41" s="151"/>
      <c r="BL41" s="151"/>
      <c r="BM41" s="151"/>
      <c r="BN41" s="151"/>
      <c r="BO41" s="151"/>
    </row>
    <row r="42" spans="1:67" ht="154.94999999999999" customHeight="1" thickBot="1" x14ac:dyDescent="0.4">
      <c r="A42" s="155"/>
      <c r="B42" s="173" t="s">
        <v>713</v>
      </c>
      <c r="C42" s="183" t="s">
        <v>1418</v>
      </c>
      <c r="D42" s="185" t="s">
        <v>516</v>
      </c>
      <c r="E42" s="174">
        <v>0.5</v>
      </c>
      <c r="F42" s="175">
        <v>400</v>
      </c>
      <c r="G42" s="170">
        <v>0</v>
      </c>
      <c r="H42" s="170">
        <v>133</v>
      </c>
      <c r="I42" s="170">
        <v>133</v>
      </c>
      <c r="J42" s="176"/>
      <c r="K42" s="176">
        <f t="shared" si="66"/>
        <v>0.33250000000000002</v>
      </c>
      <c r="L42" s="176">
        <f t="shared" si="67"/>
        <v>0.33250000000000002</v>
      </c>
      <c r="M42" s="176"/>
      <c r="N42" s="176">
        <f t="shared" si="68"/>
        <v>0.16625000000000001</v>
      </c>
      <c r="O42" s="176"/>
      <c r="P42" s="170"/>
      <c r="Q42" s="541">
        <v>0</v>
      </c>
      <c r="R42" s="541">
        <v>89</v>
      </c>
      <c r="S42" s="541">
        <v>44</v>
      </c>
      <c r="T42" s="541">
        <v>0</v>
      </c>
      <c r="U42" s="541">
        <v>0</v>
      </c>
      <c r="V42" s="170">
        <f>+Q42+R42+S42+T42+U42</f>
        <v>133</v>
      </c>
      <c r="W42" s="170">
        <f>+V42+P42+AB42</f>
        <v>266</v>
      </c>
      <c r="X42" s="541">
        <v>133</v>
      </c>
      <c r="Y42" s="170"/>
      <c r="Z42" s="170"/>
      <c r="AA42" s="170"/>
      <c r="AB42" s="170">
        <f>+X42+Y42+Z42+AA42</f>
        <v>133</v>
      </c>
      <c r="AC42" s="176"/>
      <c r="AD42" s="176">
        <f t="shared" si="69"/>
        <v>1</v>
      </c>
      <c r="AE42" s="176">
        <f>+AB42/I42</f>
        <v>1</v>
      </c>
      <c r="AF42" s="176"/>
      <c r="AG42" s="176">
        <f t="shared" si="70"/>
        <v>0.5</v>
      </c>
      <c r="AH42" s="176">
        <f t="shared" si="62"/>
        <v>0.5</v>
      </c>
      <c r="AI42" s="176"/>
      <c r="AJ42" s="176">
        <v>0.33250000000000002</v>
      </c>
      <c r="AK42" s="176">
        <f t="shared" si="64"/>
        <v>0.66500000000000004</v>
      </c>
      <c r="AL42" s="176"/>
      <c r="AM42" s="194">
        <f>+AJ42*E42</f>
        <v>0.16625000000000001</v>
      </c>
      <c r="AN42" s="230">
        <f t="shared" si="59"/>
        <v>0.33250000000000002</v>
      </c>
      <c r="AO42" s="566" t="s">
        <v>1850</v>
      </c>
      <c r="AP42" s="644" t="s">
        <v>1955</v>
      </c>
      <c r="AQ42" s="908" t="s">
        <v>2267</v>
      </c>
      <c r="AR42" s="908" t="s">
        <v>2288</v>
      </c>
      <c r="AS42" s="908" t="s">
        <v>2402</v>
      </c>
      <c r="AT42" s="985" t="s">
        <v>2436</v>
      </c>
      <c r="AU42" s="644" t="s">
        <v>2521</v>
      </c>
      <c r="AV42" s="163"/>
      <c r="AW42" s="157"/>
      <c r="AX42" s="151"/>
      <c r="AY42" s="151"/>
      <c r="AZ42" s="151"/>
      <c r="BA42" s="151"/>
      <c r="BB42" s="151"/>
      <c r="BC42" s="151"/>
      <c r="BD42" s="151"/>
      <c r="BE42" s="151"/>
      <c r="BF42" s="151"/>
      <c r="BG42" s="151"/>
      <c r="BH42" s="151"/>
      <c r="BI42" s="151"/>
      <c r="BJ42" s="151"/>
      <c r="BK42" s="151"/>
      <c r="BL42" s="151"/>
      <c r="BM42" s="151"/>
      <c r="BN42" s="151"/>
      <c r="BO42" s="151"/>
    </row>
    <row r="43" spans="1:67" ht="72" customHeight="1" thickBot="1" x14ac:dyDescent="0.4">
      <c r="A43" s="155"/>
      <c r="B43" s="1557" t="s">
        <v>1708</v>
      </c>
      <c r="C43" s="1558"/>
      <c r="D43" s="185"/>
      <c r="E43" s="166">
        <v>0.25</v>
      </c>
      <c r="F43" s="175"/>
      <c r="G43" s="170"/>
      <c r="H43" s="170"/>
      <c r="I43" s="170"/>
      <c r="J43" s="169">
        <f>+AVERAGE(J44)</f>
        <v>0.42307692307692307</v>
      </c>
      <c r="K43" s="169">
        <f>+AVERAGE(K44)</f>
        <v>0.15384615384615385</v>
      </c>
      <c r="L43" s="169">
        <f>+AVERAGE(L44)</f>
        <v>7.6923076923076927E-2</v>
      </c>
      <c r="M43" s="169">
        <f>+M44</f>
        <v>0.42307692307692307</v>
      </c>
      <c r="N43" s="169">
        <f>+N44</f>
        <v>0.15384615384615385</v>
      </c>
      <c r="O43" s="169"/>
      <c r="P43" s="168"/>
      <c r="Q43" s="168"/>
      <c r="R43" s="168"/>
      <c r="S43" s="168"/>
      <c r="T43" s="168"/>
      <c r="U43" s="984"/>
      <c r="V43" s="170"/>
      <c r="W43" s="168"/>
      <c r="X43" s="168"/>
      <c r="Y43" s="168"/>
      <c r="Z43" s="168"/>
      <c r="AA43" s="168"/>
      <c r="AB43" s="168"/>
      <c r="AC43" s="192">
        <f>+AVERAGE(AC44)</f>
        <v>1</v>
      </c>
      <c r="AD43" s="192">
        <f>+AVERAGE(AD44)</f>
        <v>1</v>
      </c>
      <c r="AE43" s="192">
        <f>+AVERAGE(AE44)</f>
        <v>0</v>
      </c>
      <c r="AF43" s="192">
        <f>+(AF44)*E43</f>
        <v>0.25</v>
      </c>
      <c r="AG43" s="192">
        <f>+(AG44)*F43</f>
        <v>0</v>
      </c>
      <c r="AH43" s="192">
        <f>+(AH44)*E43</f>
        <v>0</v>
      </c>
      <c r="AI43" s="169">
        <f>+AVERAGE(AI44)</f>
        <v>0.44538461538461538</v>
      </c>
      <c r="AJ43" s="169">
        <v>0.86307692307692307</v>
      </c>
      <c r="AK43" s="169">
        <f>+AVERAGE(AK44)</f>
        <v>0.86307692307692307</v>
      </c>
      <c r="AL43" s="169">
        <f>+(AL44)*E43</f>
        <v>0.11134615384615384</v>
      </c>
      <c r="AM43" s="169">
        <f>+(AM44)</f>
        <v>0.86307692307692307</v>
      </c>
      <c r="AN43" s="169">
        <f>+(AN44)</f>
        <v>0.86307692307692307</v>
      </c>
      <c r="AO43" s="590"/>
      <c r="AP43" s="163"/>
      <c r="AQ43" s="163"/>
      <c r="AR43" s="163"/>
      <c r="AS43" s="163"/>
      <c r="AT43" s="609"/>
      <c r="AU43" s="163"/>
      <c r="AV43" s="163"/>
      <c r="AW43" s="157"/>
      <c r="AX43" s="151"/>
      <c r="AY43" s="151"/>
      <c r="AZ43" s="151"/>
      <c r="BA43" s="151"/>
      <c r="BB43" s="151"/>
      <c r="BC43" s="151"/>
      <c r="BD43" s="151"/>
      <c r="BE43" s="151"/>
      <c r="BF43" s="151"/>
      <c r="BG43" s="151"/>
      <c r="BH43" s="151"/>
      <c r="BI43" s="151"/>
      <c r="BJ43" s="151"/>
      <c r="BK43" s="151"/>
      <c r="BL43" s="151"/>
      <c r="BM43" s="151"/>
      <c r="BN43" s="151"/>
      <c r="BO43" s="151"/>
    </row>
    <row r="44" spans="1:67" ht="82.2" customHeight="1" thickBot="1" x14ac:dyDescent="0.4">
      <c r="A44" s="155"/>
      <c r="B44" s="173" t="s">
        <v>714</v>
      </c>
      <c r="C44" s="183" t="s">
        <v>1419</v>
      </c>
      <c r="D44" s="185" t="s">
        <v>58</v>
      </c>
      <c r="E44" s="174">
        <v>1</v>
      </c>
      <c r="F44" s="175">
        <v>1300</v>
      </c>
      <c r="G44" s="170">
        <v>550</v>
      </c>
      <c r="H44" s="170">
        <v>200</v>
      </c>
      <c r="I44" s="170">
        <v>100</v>
      </c>
      <c r="J44" s="176">
        <f>+G44/F44</f>
        <v>0.42307692307692307</v>
      </c>
      <c r="K44" s="176">
        <f>+H44/F44</f>
        <v>0.15384615384615385</v>
      </c>
      <c r="L44" s="176">
        <f>+I44/F44</f>
        <v>7.6923076923076927E-2</v>
      </c>
      <c r="M44" s="176">
        <f>+(G44/F44)*E44</f>
        <v>0.42307692307692307</v>
      </c>
      <c r="N44" s="176">
        <f t="shared" ref="N44" si="71">+(H44/F44)*E44</f>
        <v>0.15384615384615385</v>
      </c>
      <c r="O44" s="176"/>
      <c r="P44" s="170">
        <v>579</v>
      </c>
      <c r="Q44" s="541">
        <v>0</v>
      </c>
      <c r="R44" s="541">
        <v>40</v>
      </c>
      <c r="S44" s="541">
        <v>55</v>
      </c>
      <c r="T44" s="541">
        <v>200</v>
      </c>
      <c r="U44" s="541">
        <v>248</v>
      </c>
      <c r="V44" s="170">
        <f>+Q44+R44+S44+T44+U44</f>
        <v>543</v>
      </c>
      <c r="W44" s="170">
        <f>+V44+P44+AB44</f>
        <v>1122</v>
      </c>
      <c r="X44" s="541">
        <v>0</v>
      </c>
      <c r="Y44" s="170"/>
      <c r="Z44" s="170"/>
      <c r="AA44" s="170"/>
      <c r="AB44" s="170">
        <f>+X44+Y44+Z44+AA44</f>
        <v>0</v>
      </c>
      <c r="AC44" s="194">
        <v>1</v>
      </c>
      <c r="AD44" s="194">
        <v>1</v>
      </c>
      <c r="AE44" s="194">
        <f>+AB44/I44</f>
        <v>0</v>
      </c>
      <c r="AF44" s="194">
        <f>+AC44*E44</f>
        <v>1</v>
      </c>
      <c r="AG44" s="194">
        <f t="shared" si="70"/>
        <v>1</v>
      </c>
      <c r="AH44" s="194">
        <f>+AE44*E44</f>
        <v>0</v>
      </c>
      <c r="AI44" s="194">
        <f>+P44/F44</f>
        <v>0.44538461538461538</v>
      </c>
      <c r="AJ44" s="194">
        <v>0.86307692307692307</v>
      </c>
      <c r="AK44" s="194">
        <f t="shared" si="64"/>
        <v>0.86307692307692307</v>
      </c>
      <c r="AL44" s="194">
        <f>+AI44*E44</f>
        <v>0.44538461538461538</v>
      </c>
      <c r="AM44" s="194">
        <f>+AJ44*E44</f>
        <v>0.86307692307692307</v>
      </c>
      <c r="AN44" s="194">
        <f>+AK44*E44</f>
        <v>0.86307692307692307</v>
      </c>
      <c r="AO44" s="590"/>
      <c r="AP44" s="908" t="s">
        <v>1892</v>
      </c>
      <c r="AQ44" s="908" t="s">
        <v>2267</v>
      </c>
      <c r="AR44" s="908" t="s">
        <v>2288</v>
      </c>
      <c r="AS44" s="908" t="s">
        <v>2402</v>
      </c>
      <c r="AT44" s="985" t="s">
        <v>2436</v>
      </c>
      <c r="AU44" s="908" t="s">
        <v>2493</v>
      </c>
      <c r="AV44" s="908" t="s">
        <v>1893</v>
      </c>
      <c r="AW44" s="157"/>
      <c r="AX44" s="151"/>
      <c r="AY44" s="151"/>
      <c r="AZ44" s="151"/>
      <c r="BA44" s="151"/>
      <c r="BB44" s="151"/>
      <c r="BC44" s="151"/>
      <c r="BD44" s="151"/>
      <c r="BE44" s="151"/>
      <c r="BF44" s="151"/>
      <c r="BG44" s="151"/>
      <c r="BH44" s="151"/>
      <c r="BI44" s="151"/>
      <c r="BJ44" s="151"/>
      <c r="BK44" s="151"/>
      <c r="BL44" s="151"/>
      <c r="BM44" s="151"/>
      <c r="BN44" s="151"/>
      <c r="BO44" s="151"/>
    </row>
    <row r="45" spans="1:67" ht="114.6" customHeight="1" thickBot="1" x14ac:dyDescent="0.4">
      <c r="A45" s="155"/>
      <c r="B45" s="1561" t="s">
        <v>1792</v>
      </c>
      <c r="C45" s="1558"/>
      <c r="D45" s="185"/>
      <c r="E45" s="158">
        <v>0.2</v>
      </c>
      <c r="F45" s="159">
        <f>+E45*AF45</f>
        <v>8.5500000000000007E-2</v>
      </c>
      <c r="G45" s="163"/>
      <c r="H45" s="159">
        <f>+E45*AG45</f>
        <v>0.167075</v>
      </c>
      <c r="I45" s="159">
        <f>+E45*AH45</f>
        <v>4.0061666666666662E-2</v>
      </c>
      <c r="J45" s="161">
        <f>+(J46+J54+J59+J64)/3</f>
        <v>0.15416666666666667</v>
      </c>
      <c r="K45" s="161">
        <f>+(K46+K54+K59+K64)/4</f>
        <v>0.28135416666666668</v>
      </c>
      <c r="L45" s="161">
        <f>+(L46+L54+L59+L64)/4</f>
        <v>0.37308035714285714</v>
      </c>
      <c r="M45" s="162">
        <f>+(M46+M54+M59+M64)/4</f>
        <v>5.2656250000000002E-2</v>
      </c>
      <c r="N45" s="162">
        <f>+(N46+N54+N59+N64)/4</f>
        <v>0.28637500000000005</v>
      </c>
      <c r="O45" s="162"/>
      <c r="P45" s="163"/>
      <c r="Q45" s="163"/>
      <c r="R45" s="163"/>
      <c r="S45" s="163"/>
      <c r="T45" s="163"/>
      <c r="U45" s="983"/>
      <c r="V45" s="967"/>
      <c r="W45" s="163"/>
      <c r="X45" s="163"/>
      <c r="Y45" s="163"/>
      <c r="Z45" s="163"/>
      <c r="AA45" s="163"/>
      <c r="AB45" s="163"/>
      <c r="AC45" s="161">
        <f>+(AC46+AC54+AC59+AC64)/3</f>
        <v>1</v>
      </c>
      <c r="AD45" s="161">
        <f>+(AD46+AD54+AD59+AD64)/4</f>
        <v>0.70187500000000003</v>
      </c>
      <c r="AE45" s="161">
        <f>+(AE46+AE54+AE59+AE64)/4</f>
        <v>0.23845833333333333</v>
      </c>
      <c r="AF45" s="162">
        <f>AF46+AF54+AF59+AF64</f>
        <v>0.42749999999999999</v>
      </c>
      <c r="AG45" s="162">
        <f>AG46+AG54+AG59+AG64</f>
        <v>0.83537499999999998</v>
      </c>
      <c r="AH45" s="162">
        <f>AH46+AH54+AH59+AH64</f>
        <v>0.20030833333333331</v>
      </c>
      <c r="AI45" s="161">
        <f>(AI46+AI54+AI59+AI64)/3</f>
        <v>0.17056250000000003</v>
      </c>
      <c r="AJ45" s="161">
        <v>0.39236458333333335</v>
      </c>
      <c r="AK45" s="1130">
        <f>(AK46+AK54+AK59+AK64)/4</f>
        <v>0.45648363095238093</v>
      </c>
      <c r="AL45" s="162">
        <f>AL46+AL54+AL59+AL64</f>
        <v>0.11891499999999999</v>
      </c>
      <c r="AM45" s="162">
        <f>(AM46*E46)+(AM54*E54)+(AM59*E59)+(AM64*E64)</f>
        <v>0.48483416666666668</v>
      </c>
      <c r="AN45" s="162">
        <f>(AN46*E46)+(AN54*E54)+(AN59*E59)+(AN64*E64)</f>
        <v>0.53543083333333341</v>
      </c>
      <c r="AO45" s="590"/>
      <c r="AP45" s="590"/>
      <c r="AQ45" s="163"/>
      <c r="AR45" s="163"/>
      <c r="AS45" s="163"/>
      <c r="AT45" s="609"/>
      <c r="AU45" s="163"/>
      <c r="AV45" s="163"/>
      <c r="AW45" s="157"/>
      <c r="AX45" s="151"/>
      <c r="AY45" s="151"/>
      <c r="AZ45" s="151"/>
      <c r="BA45" s="151"/>
      <c r="BB45" s="151"/>
      <c r="BC45" s="151"/>
      <c r="BD45" s="151"/>
      <c r="BE45" s="151"/>
      <c r="BF45" s="151"/>
      <c r="BG45" s="151"/>
      <c r="BH45" s="151"/>
      <c r="BI45" s="151"/>
      <c r="BJ45" s="151"/>
      <c r="BK45" s="151"/>
      <c r="BL45" s="151"/>
      <c r="BM45" s="151"/>
      <c r="BN45" s="151"/>
      <c r="BO45" s="151"/>
    </row>
    <row r="46" spans="1:67" ht="149.4" customHeight="1" thickBot="1" x14ac:dyDescent="0.4">
      <c r="A46" s="155"/>
      <c r="B46" s="1557" t="s">
        <v>1709</v>
      </c>
      <c r="C46" s="1558"/>
      <c r="D46" s="185"/>
      <c r="E46" s="166">
        <v>0.25</v>
      </c>
      <c r="F46" s="187"/>
      <c r="G46" s="163"/>
      <c r="H46" s="163"/>
      <c r="I46" s="163"/>
      <c r="J46" s="169">
        <f>+AVERAGE(J47:J53)</f>
        <v>0.21249999999999999</v>
      </c>
      <c r="K46" s="169">
        <f>+AVERAGE(K47:K53)</f>
        <v>0.32916666666666666</v>
      </c>
      <c r="L46" s="169">
        <f>+AVERAGE(L47:L53)</f>
        <v>0.28857142857142859</v>
      </c>
      <c r="M46" s="169">
        <f>+M47+M48+M49+M50+M51+M52+M53</f>
        <v>7.8125E-2</v>
      </c>
      <c r="N46" s="169">
        <f>+N47+N48+N49+N50+N51+N52+N53</f>
        <v>0.27500000000000002</v>
      </c>
      <c r="O46" s="169"/>
      <c r="P46" s="168"/>
      <c r="Q46" s="168"/>
      <c r="R46" s="168"/>
      <c r="S46" s="168"/>
      <c r="T46" s="168"/>
      <c r="U46" s="984"/>
      <c r="V46" s="170"/>
      <c r="W46" s="168"/>
      <c r="X46" s="168"/>
      <c r="Y46" s="168"/>
      <c r="Z46" s="168"/>
      <c r="AA46" s="168"/>
      <c r="AB46" s="168"/>
      <c r="AC46" s="192">
        <f>+AVERAGE(AC47:AC53)</f>
        <v>1</v>
      </c>
      <c r="AD46" s="192">
        <f>+AVERAGE(AD47:AD53)</f>
        <v>0.84500000000000008</v>
      </c>
      <c r="AE46" s="192">
        <f>+AVERAGE(AE47:AE53)</f>
        <v>0</v>
      </c>
      <c r="AF46" s="192">
        <f>+(AF47+AF48+AF49+AF50+AF51+AF52+AF53)*E46</f>
        <v>8.7499999999999994E-2</v>
      </c>
      <c r="AG46" s="192">
        <f>+(AG47+AG48+AG49+AG50+AG51+AG52+AG53)*E46</f>
        <v>0.203375</v>
      </c>
      <c r="AH46" s="192">
        <f>+(AH47+AH48+AH49+AH50+AH51+AH52+AH53)*E46</f>
        <v>0</v>
      </c>
      <c r="AI46" s="169">
        <f>+AVERAGE(AI47:AI53)</f>
        <v>0.16250000000000001</v>
      </c>
      <c r="AJ46" s="169">
        <v>0.3838333333333333</v>
      </c>
      <c r="AK46" s="169">
        <f>+AVERAGE(AK47:AK53)</f>
        <v>0.33614285714285713</v>
      </c>
      <c r="AL46" s="169">
        <f>+(AL47+AL48+AL49+AL50+AL51+AL52+AL53)*E46</f>
        <v>1.6406250000000001E-2</v>
      </c>
      <c r="AM46" s="169">
        <f>+(AM47+AM48+AM49+AM50+AM51+AM52+AM53)</f>
        <v>0.34800000000000003</v>
      </c>
      <c r="AN46" s="169">
        <f>+(AN47+AN48+AN49+AN50+AN51+AN52+AN53)</f>
        <v>0.35300000000000004</v>
      </c>
      <c r="AO46" s="590"/>
      <c r="AP46" s="163"/>
      <c r="AQ46" s="163"/>
      <c r="AR46" s="163"/>
      <c r="AS46" s="163"/>
      <c r="AT46" s="609"/>
      <c r="AU46" s="163"/>
      <c r="AV46" s="163"/>
      <c r="AW46" s="157"/>
      <c r="AX46" s="151"/>
      <c r="AY46" s="151"/>
      <c r="AZ46" s="151"/>
      <c r="BA46" s="151"/>
      <c r="BB46" s="151"/>
      <c r="BC46" s="151"/>
      <c r="BD46" s="151"/>
      <c r="BE46" s="151"/>
      <c r="BF46" s="151"/>
      <c r="BG46" s="151"/>
      <c r="BH46" s="151"/>
      <c r="BI46" s="151"/>
      <c r="BJ46" s="151"/>
      <c r="BK46" s="151"/>
      <c r="BL46" s="151"/>
      <c r="BM46" s="151"/>
      <c r="BN46" s="151"/>
      <c r="BO46" s="151"/>
    </row>
    <row r="47" spans="1:67" ht="72" customHeight="1" thickBot="1" x14ac:dyDescent="0.4">
      <c r="A47" s="155"/>
      <c r="B47" s="173" t="s">
        <v>715</v>
      </c>
      <c r="C47" s="183" t="s">
        <v>1420</v>
      </c>
      <c r="D47" s="189" t="s">
        <v>683</v>
      </c>
      <c r="E47" s="190">
        <v>0.05</v>
      </c>
      <c r="F47" s="175">
        <v>4</v>
      </c>
      <c r="G47" s="170">
        <v>1</v>
      </c>
      <c r="H47" s="170">
        <v>2</v>
      </c>
      <c r="I47" s="170">
        <v>2</v>
      </c>
      <c r="J47" s="176">
        <f>+G47/F47</f>
        <v>0.25</v>
      </c>
      <c r="K47" s="176">
        <f t="shared" ref="K47:K66" si="72">+H47/F47</f>
        <v>0.5</v>
      </c>
      <c r="L47" s="176">
        <f t="shared" ref="L47:L66" si="73">+I47/F47</f>
        <v>0.5</v>
      </c>
      <c r="M47" s="176">
        <f>+(G47/F47)*E47</f>
        <v>1.2500000000000001E-2</v>
      </c>
      <c r="N47" s="176">
        <f t="shared" ref="N47:N66" si="74">+(H47/F47)*E47</f>
        <v>2.5000000000000001E-2</v>
      </c>
      <c r="O47" s="176"/>
      <c r="P47" s="170">
        <v>0</v>
      </c>
      <c r="Q47" s="541">
        <v>0</v>
      </c>
      <c r="R47" s="541">
        <v>0</v>
      </c>
      <c r="S47" s="541">
        <v>0.25</v>
      </c>
      <c r="T47" s="541">
        <v>0.75</v>
      </c>
      <c r="U47" s="541">
        <v>0</v>
      </c>
      <c r="V47" s="170">
        <f t="shared" si="60"/>
        <v>1</v>
      </c>
      <c r="W47" s="170">
        <f>+V47+P47+AB47</f>
        <v>1</v>
      </c>
      <c r="X47" s="541">
        <v>0</v>
      </c>
      <c r="Y47" s="170"/>
      <c r="Z47" s="170"/>
      <c r="AA47" s="170"/>
      <c r="AB47" s="170">
        <f t="shared" ref="AB47:AB99" si="75">+X47+Y47+Z47+AA47</f>
        <v>0</v>
      </c>
      <c r="AC47" s="194">
        <v>1</v>
      </c>
      <c r="AD47" s="194">
        <f t="shared" ref="AD47:AD52" si="76">+V47/H47</f>
        <v>0.5</v>
      </c>
      <c r="AE47" s="194">
        <f t="shared" ref="AE47:AE63" si="77">+AB47/I47</f>
        <v>0</v>
      </c>
      <c r="AF47" s="194">
        <f>+AC47*E47</f>
        <v>0.05</v>
      </c>
      <c r="AG47" s="194">
        <f t="shared" ref="AG47:AG52" si="78">+AD47*E47</f>
        <v>2.5000000000000001E-2</v>
      </c>
      <c r="AH47" s="194">
        <f t="shared" ref="AH47:AH66" si="79">+AE47*E47</f>
        <v>0</v>
      </c>
      <c r="AI47" s="194">
        <f>+P47/F47</f>
        <v>0</v>
      </c>
      <c r="AJ47" s="802">
        <v>0.25</v>
      </c>
      <c r="AK47" s="802">
        <f t="shared" ref="AK47:AK66" si="80">+W47/F47</f>
        <v>0.25</v>
      </c>
      <c r="AL47" s="194">
        <f t="shared" ref="AL47:AL52" si="81">+AI47*E47</f>
        <v>0</v>
      </c>
      <c r="AM47" s="194">
        <f>+AJ47*E47</f>
        <v>1.2500000000000001E-2</v>
      </c>
      <c r="AN47" s="194">
        <f t="shared" ref="AN47:AN66" si="82">+AK47*E47</f>
        <v>1.2500000000000001E-2</v>
      </c>
      <c r="AO47" s="566" t="s">
        <v>1850</v>
      </c>
      <c r="AP47" s="644" t="s">
        <v>1898</v>
      </c>
      <c r="AQ47" s="908" t="s">
        <v>2267</v>
      </c>
      <c r="AR47" s="908" t="s">
        <v>2288</v>
      </c>
      <c r="AS47" s="644" t="s">
        <v>1865</v>
      </c>
      <c r="AT47" s="985" t="s">
        <v>2436</v>
      </c>
      <c r="AU47" s="644" t="s">
        <v>2511</v>
      </c>
      <c r="AV47" s="908" t="s">
        <v>1893</v>
      </c>
      <c r="AW47" s="157"/>
      <c r="AX47" s="151"/>
      <c r="AY47" s="151"/>
      <c r="AZ47" s="151"/>
      <c r="BA47" s="151"/>
      <c r="BB47" s="151"/>
      <c r="BC47" s="151"/>
      <c r="BD47" s="151"/>
      <c r="BE47" s="151"/>
      <c r="BF47" s="151"/>
      <c r="BG47" s="151"/>
      <c r="BH47" s="151"/>
      <c r="BI47" s="151"/>
      <c r="BJ47" s="151"/>
      <c r="BK47" s="151"/>
      <c r="BL47" s="151"/>
      <c r="BM47" s="151"/>
      <c r="BN47" s="151"/>
      <c r="BO47" s="151"/>
    </row>
    <row r="48" spans="1:67" ht="52.2" customHeight="1" thickBot="1" x14ac:dyDescent="0.4">
      <c r="A48" s="155"/>
      <c r="B48" s="173" t="s">
        <v>716</v>
      </c>
      <c r="C48" s="183" t="s">
        <v>1421</v>
      </c>
      <c r="D48" s="185" t="s">
        <v>683</v>
      </c>
      <c r="E48" s="174">
        <v>0.1</v>
      </c>
      <c r="F48" s="175">
        <v>4</v>
      </c>
      <c r="G48" s="170">
        <v>1</v>
      </c>
      <c r="H48" s="795">
        <v>0.5</v>
      </c>
      <c r="I48" s="795">
        <v>0.6</v>
      </c>
      <c r="J48" s="176">
        <f>+G48/F48</f>
        <v>0.25</v>
      </c>
      <c r="K48" s="176">
        <f t="shared" si="72"/>
        <v>0.125</v>
      </c>
      <c r="L48" s="176">
        <f t="shared" si="73"/>
        <v>0.15</v>
      </c>
      <c r="M48" s="176">
        <f>+(G48/F48)*E48</f>
        <v>2.5000000000000001E-2</v>
      </c>
      <c r="N48" s="176">
        <f t="shared" si="74"/>
        <v>1.2500000000000001E-2</v>
      </c>
      <c r="O48" s="176"/>
      <c r="P48" s="170">
        <v>1</v>
      </c>
      <c r="Q48" s="541">
        <v>0</v>
      </c>
      <c r="R48" s="541">
        <v>0.3</v>
      </c>
      <c r="S48" s="541">
        <v>0.1</v>
      </c>
      <c r="T48" s="541"/>
      <c r="U48" s="541">
        <v>0.2</v>
      </c>
      <c r="V48" s="170">
        <f t="shared" si="60"/>
        <v>0.60000000000000009</v>
      </c>
      <c r="W48" s="170">
        <f t="shared" ref="W48:W53" si="83">+V48+P48+AB48</f>
        <v>1.6</v>
      </c>
      <c r="X48" s="541">
        <v>0</v>
      </c>
      <c r="Y48" s="170"/>
      <c r="Z48" s="170"/>
      <c r="AA48" s="170"/>
      <c r="AB48" s="170">
        <f t="shared" si="75"/>
        <v>0</v>
      </c>
      <c r="AC48" s="194">
        <v>1</v>
      </c>
      <c r="AD48" s="194">
        <f t="shared" si="76"/>
        <v>1.2000000000000002</v>
      </c>
      <c r="AE48" s="194">
        <f t="shared" si="77"/>
        <v>0</v>
      </c>
      <c r="AF48" s="194">
        <f>+AC48*E48</f>
        <v>0.1</v>
      </c>
      <c r="AG48" s="194">
        <f t="shared" si="78"/>
        <v>0.12000000000000002</v>
      </c>
      <c r="AH48" s="194">
        <f t="shared" si="79"/>
        <v>0</v>
      </c>
      <c r="AI48" s="194">
        <f>+P48/F48</f>
        <v>0.25</v>
      </c>
      <c r="AJ48" s="802">
        <v>0.35</v>
      </c>
      <c r="AK48" s="802">
        <f t="shared" si="80"/>
        <v>0.4</v>
      </c>
      <c r="AL48" s="194">
        <f t="shared" si="81"/>
        <v>2.5000000000000001E-2</v>
      </c>
      <c r="AM48" s="194">
        <f>+AJ48*E48</f>
        <v>3.4999999999999996E-2</v>
      </c>
      <c r="AN48" s="194">
        <f t="shared" si="82"/>
        <v>4.0000000000000008E-2</v>
      </c>
      <c r="AO48" s="566" t="s">
        <v>1850</v>
      </c>
      <c r="AP48" s="571" t="s">
        <v>1892</v>
      </c>
      <c r="AQ48" s="908" t="s">
        <v>2267</v>
      </c>
      <c r="AR48" s="908" t="s">
        <v>2288</v>
      </c>
      <c r="AS48" s="908" t="s">
        <v>2402</v>
      </c>
      <c r="AT48" s="925" t="s">
        <v>1865</v>
      </c>
      <c r="AU48" s="644" t="s">
        <v>2512</v>
      </c>
      <c r="AV48" s="908" t="s">
        <v>1893</v>
      </c>
      <c r="AW48" s="157"/>
      <c r="AX48" s="151"/>
      <c r="AY48" s="151"/>
      <c r="AZ48" s="151"/>
      <c r="BA48" s="151"/>
      <c r="BB48" s="151"/>
      <c r="BC48" s="151"/>
      <c r="BD48" s="151"/>
      <c r="BE48" s="151"/>
      <c r="BF48" s="151"/>
      <c r="BG48" s="151"/>
      <c r="BH48" s="151"/>
      <c r="BI48" s="151"/>
      <c r="BJ48" s="151"/>
      <c r="BK48" s="151"/>
      <c r="BL48" s="151"/>
      <c r="BM48" s="151"/>
      <c r="BN48" s="151"/>
      <c r="BO48" s="151"/>
    </row>
    <row r="49" spans="1:67" ht="89.4" customHeight="1" thickBot="1" x14ac:dyDescent="0.4">
      <c r="A49" s="155"/>
      <c r="B49" s="173" t="s">
        <v>717</v>
      </c>
      <c r="C49" s="183" t="s">
        <v>1422</v>
      </c>
      <c r="D49" s="185" t="s">
        <v>683</v>
      </c>
      <c r="E49" s="174">
        <v>0.1</v>
      </c>
      <c r="F49" s="175">
        <v>4</v>
      </c>
      <c r="G49" s="170">
        <v>1</v>
      </c>
      <c r="H49" s="170">
        <v>1</v>
      </c>
      <c r="I49" s="170">
        <v>0.5</v>
      </c>
      <c r="J49" s="176">
        <f>+G49/F49</f>
        <v>0.25</v>
      </c>
      <c r="K49" s="176">
        <f t="shared" si="72"/>
        <v>0.25</v>
      </c>
      <c r="L49" s="176">
        <f>+I49/F49</f>
        <v>0.125</v>
      </c>
      <c r="M49" s="176">
        <f>+(G49/F49)*E49</f>
        <v>2.5000000000000001E-2</v>
      </c>
      <c r="N49" s="176">
        <f t="shared" si="74"/>
        <v>2.5000000000000001E-2</v>
      </c>
      <c r="O49" s="176"/>
      <c r="P49" s="170">
        <v>1</v>
      </c>
      <c r="Q49" s="541">
        <v>0</v>
      </c>
      <c r="R49" s="541">
        <v>0.3</v>
      </c>
      <c r="S49" s="541">
        <v>0.7</v>
      </c>
      <c r="T49" s="541"/>
      <c r="U49" s="541"/>
      <c r="V49" s="170">
        <f t="shared" si="60"/>
        <v>1</v>
      </c>
      <c r="W49" s="170">
        <f t="shared" si="83"/>
        <v>2</v>
      </c>
      <c r="X49" s="541">
        <v>0</v>
      </c>
      <c r="Y49" s="170"/>
      <c r="Z49" s="170"/>
      <c r="AA49" s="170"/>
      <c r="AB49" s="170">
        <f t="shared" si="75"/>
        <v>0</v>
      </c>
      <c r="AC49" s="194">
        <v>1</v>
      </c>
      <c r="AD49" s="194">
        <v>1</v>
      </c>
      <c r="AE49" s="194">
        <f t="shared" si="77"/>
        <v>0</v>
      </c>
      <c r="AF49" s="194">
        <f>+AC49*E49</f>
        <v>0.1</v>
      </c>
      <c r="AG49" s="194">
        <f t="shared" si="78"/>
        <v>0.1</v>
      </c>
      <c r="AH49" s="194">
        <f t="shared" si="79"/>
        <v>0</v>
      </c>
      <c r="AI49" s="194">
        <f>+P49/F49</f>
        <v>0.25</v>
      </c>
      <c r="AJ49" s="802">
        <v>0.5</v>
      </c>
      <c r="AK49" s="802">
        <f t="shared" si="80"/>
        <v>0.5</v>
      </c>
      <c r="AL49" s="194">
        <f t="shared" si="81"/>
        <v>2.5000000000000001E-2</v>
      </c>
      <c r="AM49" s="194">
        <f>+AJ49*E49</f>
        <v>0.05</v>
      </c>
      <c r="AN49" s="194">
        <f t="shared" si="82"/>
        <v>0.05</v>
      </c>
      <c r="AO49" s="566" t="s">
        <v>1850</v>
      </c>
      <c r="AP49" s="908" t="s">
        <v>1892</v>
      </c>
      <c r="AQ49" s="908" t="s">
        <v>2267</v>
      </c>
      <c r="AR49" s="908" t="s">
        <v>2288</v>
      </c>
      <c r="AS49" s="908" t="s">
        <v>2402</v>
      </c>
      <c r="AT49" s="925" t="s">
        <v>1865</v>
      </c>
      <c r="AU49" s="644" t="s">
        <v>2513</v>
      </c>
      <c r="AV49" s="908" t="s">
        <v>1893</v>
      </c>
      <c r="AW49" s="157"/>
      <c r="AX49" s="151"/>
      <c r="AY49" s="151"/>
      <c r="AZ49" s="151"/>
      <c r="BA49" s="151"/>
      <c r="BB49" s="151"/>
      <c r="BC49" s="151"/>
      <c r="BD49" s="151"/>
      <c r="BE49" s="151"/>
      <c r="BF49" s="151"/>
      <c r="BG49" s="151"/>
      <c r="BH49" s="151"/>
      <c r="BI49" s="151"/>
      <c r="BJ49" s="151"/>
      <c r="BK49" s="151"/>
      <c r="BL49" s="151"/>
      <c r="BM49" s="151"/>
      <c r="BN49" s="151"/>
      <c r="BO49" s="151"/>
    </row>
    <row r="50" spans="1:67" ht="82.95" customHeight="1" thickBot="1" x14ac:dyDescent="0.4">
      <c r="A50" s="155"/>
      <c r="B50" s="173" t="s">
        <v>718</v>
      </c>
      <c r="C50" s="183" t="s">
        <v>1423</v>
      </c>
      <c r="D50" s="189" t="s">
        <v>683</v>
      </c>
      <c r="E50" s="190">
        <v>0.5</v>
      </c>
      <c r="F50" s="175">
        <v>2000</v>
      </c>
      <c r="G50" s="170">
        <v>0</v>
      </c>
      <c r="H50" s="170">
        <v>700</v>
      </c>
      <c r="I50" s="170">
        <v>700</v>
      </c>
      <c r="J50" s="176"/>
      <c r="K50" s="176">
        <f t="shared" si="72"/>
        <v>0.35</v>
      </c>
      <c r="L50" s="176">
        <f t="shared" si="73"/>
        <v>0.35</v>
      </c>
      <c r="M50" s="176"/>
      <c r="N50" s="176">
        <f t="shared" si="74"/>
        <v>0.17499999999999999</v>
      </c>
      <c r="O50" s="176"/>
      <c r="P50" s="170"/>
      <c r="Q50" s="541">
        <v>0</v>
      </c>
      <c r="R50" s="541">
        <v>0</v>
      </c>
      <c r="S50" s="541">
        <v>723</v>
      </c>
      <c r="T50" s="541">
        <v>123</v>
      </c>
      <c r="U50" s="541">
        <v>0</v>
      </c>
      <c r="V50" s="170">
        <f t="shared" si="60"/>
        <v>846</v>
      </c>
      <c r="W50" s="170">
        <f>+V50+P50+AB50</f>
        <v>846</v>
      </c>
      <c r="X50" s="541">
        <v>0</v>
      </c>
      <c r="Y50" s="170"/>
      <c r="Z50" s="170"/>
      <c r="AA50" s="170"/>
      <c r="AB50" s="170">
        <f t="shared" si="75"/>
        <v>0</v>
      </c>
      <c r="AC50" s="194"/>
      <c r="AD50" s="194">
        <v>1</v>
      </c>
      <c r="AE50" s="194">
        <f t="shared" si="77"/>
        <v>0</v>
      </c>
      <c r="AF50" s="194"/>
      <c r="AG50" s="194">
        <f t="shared" si="78"/>
        <v>0.5</v>
      </c>
      <c r="AH50" s="194">
        <f t="shared" si="79"/>
        <v>0</v>
      </c>
      <c r="AI50" s="194"/>
      <c r="AJ50" s="802">
        <v>0.42299999999999999</v>
      </c>
      <c r="AK50" s="802">
        <f t="shared" si="80"/>
        <v>0.42299999999999999</v>
      </c>
      <c r="AL50" s="194">
        <f t="shared" si="81"/>
        <v>0</v>
      </c>
      <c r="AM50" s="194">
        <f t="shared" ref="AM50:AM53" si="84">+AJ50*E50</f>
        <v>0.21149999999999999</v>
      </c>
      <c r="AN50" s="194">
        <f t="shared" si="82"/>
        <v>0.21149999999999999</v>
      </c>
      <c r="AO50" s="566" t="s">
        <v>1850</v>
      </c>
      <c r="AP50" s="551" t="s">
        <v>1898</v>
      </c>
      <c r="AQ50" s="908" t="s">
        <v>2267</v>
      </c>
      <c r="AR50" s="908" t="s">
        <v>2288</v>
      </c>
      <c r="AS50" s="908" t="s">
        <v>2402</v>
      </c>
      <c r="AT50" s="985" t="s">
        <v>2436</v>
      </c>
      <c r="AU50" s="908" t="s">
        <v>2493</v>
      </c>
      <c r="AV50" s="908" t="s">
        <v>1893</v>
      </c>
      <c r="AW50" s="157"/>
      <c r="AX50" s="151"/>
      <c r="AY50" s="151"/>
      <c r="AZ50" s="151"/>
      <c r="BA50" s="151"/>
      <c r="BB50" s="151"/>
      <c r="BC50" s="151"/>
      <c r="BD50" s="151"/>
      <c r="BE50" s="151"/>
      <c r="BF50" s="151"/>
      <c r="BG50" s="151"/>
      <c r="BH50" s="151"/>
      <c r="BI50" s="151"/>
      <c r="BJ50" s="151"/>
      <c r="BK50" s="151"/>
      <c r="BL50" s="151"/>
      <c r="BM50" s="151"/>
      <c r="BN50" s="151"/>
      <c r="BO50" s="151"/>
    </row>
    <row r="51" spans="1:67" ht="98.4" customHeight="1" thickBot="1" x14ac:dyDescent="0.4">
      <c r="A51" s="155"/>
      <c r="B51" s="173" t="s">
        <v>719</v>
      </c>
      <c r="C51" s="183" t="s">
        <v>1424</v>
      </c>
      <c r="D51" s="193" t="s">
        <v>720</v>
      </c>
      <c r="E51" s="174">
        <v>0.05</v>
      </c>
      <c r="F51" s="175">
        <v>4</v>
      </c>
      <c r="G51" s="170">
        <v>1</v>
      </c>
      <c r="H51" s="170">
        <v>2</v>
      </c>
      <c r="I51" s="170">
        <v>1.38</v>
      </c>
      <c r="J51" s="176">
        <f>+G51/F51</f>
        <v>0.25</v>
      </c>
      <c r="K51" s="176">
        <f t="shared" si="72"/>
        <v>0.5</v>
      </c>
      <c r="L51" s="176">
        <f t="shared" si="73"/>
        <v>0.34499999999999997</v>
      </c>
      <c r="M51" s="176">
        <f>+(G51/F51)*E51</f>
        <v>1.2500000000000001E-2</v>
      </c>
      <c r="N51" s="176">
        <f t="shared" si="74"/>
        <v>2.5000000000000001E-2</v>
      </c>
      <c r="O51" s="176"/>
      <c r="P51" s="170">
        <v>1</v>
      </c>
      <c r="Q51" s="541">
        <v>0</v>
      </c>
      <c r="R51" s="541">
        <v>1</v>
      </c>
      <c r="S51" s="541"/>
      <c r="T51" s="541"/>
      <c r="U51" s="541"/>
      <c r="V51" s="170">
        <f t="shared" si="60"/>
        <v>1</v>
      </c>
      <c r="W51" s="170">
        <f t="shared" si="83"/>
        <v>2</v>
      </c>
      <c r="X51" s="541">
        <v>0</v>
      </c>
      <c r="Y51" s="170"/>
      <c r="Z51" s="170"/>
      <c r="AA51" s="170"/>
      <c r="AB51" s="170">
        <f t="shared" si="75"/>
        <v>0</v>
      </c>
      <c r="AC51" s="194">
        <v>1</v>
      </c>
      <c r="AD51" s="194">
        <f t="shared" si="76"/>
        <v>0.5</v>
      </c>
      <c r="AE51" s="194">
        <f t="shared" si="77"/>
        <v>0</v>
      </c>
      <c r="AF51" s="194">
        <f>+AC51*E51</f>
        <v>0.05</v>
      </c>
      <c r="AG51" s="194">
        <f t="shared" si="78"/>
        <v>2.5000000000000001E-2</v>
      </c>
      <c r="AH51" s="194">
        <f t="shared" si="79"/>
        <v>0</v>
      </c>
      <c r="AI51" s="194">
        <f>+P51/F51</f>
        <v>0.25</v>
      </c>
      <c r="AJ51" s="802">
        <v>0.5</v>
      </c>
      <c r="AK51" s="802">
        <f t="shared" si="80"/>
        <v>0.5</v>
      </c>
      <c r="AL51" s="194">
        <f t="shared" si="81"/>
        <v>1.2500000000000001E-2</v>
      </c>
      <c r="AM51" s="194">
        <f t="shared" si="84"/>
        <v>2.5000000000000001E-2</v>
      </c>
      <c r="AN51" s="194">
        <f t="shared" si="82"/>
        <v>2.5000000000000001E-2</v>
      </c>
      <c r="AO51" s="566" t="s">
        <v>1850</v>
      </c>
      <c r="AP51" s="908" t="s">
        <v>1892</v>
      </c>
      <c r="AQ51" s="908" t="s">
        <v>2267</v>
      </c>
      <c r="AR51" s="908" t="s">
        <v>2333</v>
      </c>
      <c r="AS51" s="644" t="s">
        <v>1865</v>
      </c>
      <c r="AT51" s="925" t="s">
        <v>1865</v>
      </c>
      <c r="AU51" s="644" t="s">
        <v>2514</v>
      </c>
      <c r="AV51" s="908" t="s">
        <v>1893</v>
      </c>
      <c r="AW51" s="157"/>
      <c r="AX51" s="151"/>
      <c r="AY51" s="151"/>
      <c r="AZ51" s="151"/>
      <c r="BA51" s="151"/>
      <c r="BB51" s="151"/>
      <c r="BC51" s="151"/>
      <c r="BD51" s="151"/>
      <c r="BE51" s="151"/>
      <c r="BF51" s="151"/>
      <c r="BG51" s="151"/>
      <c r="BH51" s="151"/>
      <c r="BI51" s="151"/>
      <c r="BJ51" s="151"/>
      <c r="BK51" s="151"/>
      <c r="BL51" s="151"/>
      <c r="BM51" s="151"/>
      <c r="BN51" s="151"/>
      <c r="BO51" s="151"/>
    </row>
    <row r="52" spans="1:67" ht="112.8" customHeight="1" thickBot="1" x14ac:dyDescent="0.4">
      <c r="A52" s="155"/>
      <c r="B52" s="790" t="s">
        <v>721</v>
      </c>
      <c r="C52" s="794" t="s">
        <v>1425</v>
      </c>
      <c r="D52" s="185" t="s">
        <v>683</v>
      </c>
      <c r="E52" s="174">
        <v>0.05</v>
      </c>
      <c r="F52" s="175">
        <v>4</v>
      </c>
      <c r="G52" s="170">
        <v>0.25</v>
      </c>
      <c r="H52" s="170">
        <v>1</v>
      </c>
      <c r="I52" s="170">
        <v>0.2</v>
      </c>
      <c r="J52" s="176">
        <f>+G52/F52</f>
        <v>6.25E-2</v>
      </c>
      <c r="K52" s="176">
        <f t="shared" si="72"/>
        <v>0.25</v>
      </c>
      <c r="L52" s="176">
        <f t="shared" si="73"/>
        <v>0.05</v>
      </c>
      <c r="M52" s="176">
        <f>+(G52/F52)*E52</f>
        <v>3.1250000000000002E-3</v>
      </c>
      <c r="N52" s="176">
        <f t="shared" si="74"/>
        <v>1.2500000000000001E-2</v>
      </c>
      <c r="O52" s="176"/>
      <c r="P52" s="170">
        <v>0.25</v>
      </c>
      <c r="Q52" s="541">
        <v>0.25</v>
      </c>
      <c r="R52" s="541">
        <v>0.25</v>
      </c>
      <c r="S52" s="541">
        <v>0.25</v>
      </c>
      <c r="T52" s="541">
        <v>0.12</v>
      </c>
      <c r="U52" s="541">
        <v>0</v>
      </c>
      <c r="V52" s="170">
        <f t="shared" si="60"/>
        <v>0.87</v>
      </c>
      <c r="W52" s="170">
        <f>+V52+P52+AB52</f>
        <v>1.1200000000000001</v>
      </c>
      <c r="X52" s="541">
        <v>0</v>
      </c>
      <c r="Y52" s="170"/>
      <c r="Z52" s="170"/>
      <c r="AA52" s="170"/>
      <c r="AB52" s="170">
        <f t="shared" si="75"/>
        <v>0</v>
      </c>
      <c r="AC52" s="194">
        <f>+(P52/G52)</f>
        <v>1</v>
      </c>
      <c r="AD52" s="194">
        <f t="shared" si="76"/>
        <v>0.87</v>
      </c>
      <c r="AE52" s="194">
        <f t="shared" si="77"/>
        <v>0</v>
      </c>
      <c r="AF52" s="194">
        <f>+AC52*E52</f>
        <v>0.05</v>
      </c>
      <c r="AG52" s="194">
        <f t="shared" si="78"/>
        <v>4.3500000000000004E-2</v>
      </c>
      <c r="AH52" s="194">
        <f t="shared" si="79"/>
        <v>0</v>
      </c>
      <c r="AI52" s="194">
        <f>+P52/F52</f>
        <v>6.25E-2</v>
      </c>
      <c r="AJ52" s="802">
        <v>0.28000000000000003</v>
      </c>
      <c r="AK52" s="802">
        <f t="shared" si="80"/>
        <v>0.28000000000000003</v>
      </c>
      <c r="AL52" s="194">
        <f t="shared" si="81"/>
        <v>3.1250000000000002E-3</v>
      </c>
      <c r="AM52" s="194">
        <f t="shared" si="84"/>
        <v>1.4000000000000002E-2</v>
      </c>
      <c r="AN52" s="194">
        <f t="shared" si="82"/>
        <v>1.4000000000000002E-2</v>
      </c>
      <c r="AO52" s="566" t="s">
        <v>1850</v>
      </c>
      <c r="AP52" s="908" t="s">
        <v>1892</v>
      </c>
      <c r="AQ52" s="908" t="s">
        <v>2267</v>
      </c>
      <c r="AR52" s="908" t="s">
        <v>2334</v>
      </c>
      <c r="AS52" s="644" t="s">
        <v>1865</v>
      </c>
      <c r="AT52" s="925" t="s">
        <v>1865</v>
      </c>
      <c r="AU52" s="908" t="s">
        <v>2493</v>
      </c>
      <c r="AV52" s="925" t="s">
        <v>1865</v>
      </c>
      <c r="AW52" s="157"/>
      <c r="AX52" s="151"/>
      <c r="AY52" s="151"/>
      <c r="AZ52" s="151"/>
      <c r="BA52" s="151"/>
      <c r="BB52" s="151"/>
      <c r="BC52" s="151"/>
      <c r="BD52" s="151"/>
      <c r="BE52" s="151"/>
      <c r="BF52" s="151"/>
      <c r="BG52" s="151"/>
      <c r="BH52" s="151"/>
      <c r="BI52" s="151"/>
      <c r="BJ52" s="151"/>
      <c r="BK52" s="151"/>
      <c r="BL52" s="151"/>
      <c r="BM52" s="151"/>
      <c r="BN52" s="151"/>
      <c r="BO52" s="151"/>
    </row>
    <row r="53" spans="1:67" ht="73.95" customHeight="1" thickBot="1" x14ac:dyDescent="0.4">
      <c r="A53" s="155"/>
      <c r="B53" s="173" t="s">
        <v>722</v>
      </c>
      <c r="C53" s="183" t="s">
        <v>1426</v>
      </c>
      <c r="D53" s="195" t="s">
        <v>723</v>
      </c>
      <c r="E53" s="174">
        <v>0.15</v>
      </c>
      <c r="F53" s="175">
        <v>2</v>
      </c>
      <c r="G53" s="170">
        <v>0</v>
      </c>
      <c r="H53" s="170">
        <v>0</v>
      </c>
      <c r="I53" s="170">
        <v>1</v>
      </c>
      <c r="J53" s="176"/>
      <c r="K53" s="176"/>
      <c r="L53" s="176">
        <f t="shared" si="73"/>
        <v>0.5</v>
      </c>
      <c r="M53" s="176"/>
      <c r="N53" s="176"/>
      <c r="O53" s="176"/>
      <c r="P53" s="170"/>
      <c r="Q53" s="236"/>
      <c r="R53" s="236"/>
      <c r="S53" s="236"/>
      <c r="T53" s="236"/>
      <c r="U53" s="236"/>
      <c r="V53" s="170">
        <f t="shared" si="60"/>
        <v>0</v>
      </c>
      <c r="W53" s="170">
        <f t="shared" si="83"/>
        <v>0</v>
      </c>
      <c r="X53" s="541">
        <v>0</v>
      </c>
      <c r="Y53" s="170"/>
      <c r="Z53" s="170"/>
      <c r="AA53" s="170"/>
      <c r="AB53" s="170">
        <f t="shared" si="75"/>
        <v>0</v>
      </c>
      <c r="AC53" s="194"/>
      <c r="AD53" s="194"/>
      <c r="AE53" s="194">
        <f t="shared" si="77"/>
        <v>0</v>
      </c>
      <c r="AF53" s="194"/>
      <c r="AG53" s="194"/>
      <c r="AH53" s="194">
        <f t="shared" si="79"/>
        <v>0</v>
      </c>
      <c r="AI53" s="194"/>
      <c r="AJ53" s="802"/>
      <c r="AK53" s="802">
        <v>0</v>
      </c>
      <c r="AL53" s="194"/>
      <c r="AM53" s="194">
        <f t="shared" si="84"/>
        <v>0</v>
      </c>
      <c r="AN53" s="194">
        <f t="shared" si="82"/>
        <v>0</v>
      </c>
      <c r="AO53" s="566" t="s">
        <v>1850</v>
      </c>
      <c r="AP53" s="908" t="s">
        <v>1892</v>
      </c>
      <c r="AQ53" s="908" t="s">
        <v>2267</v>
      </c>
      <c r="AR53" s="908" t="s">
        <v>2288</v>
      </c>
      <c r="AS53" s="908" t="s">
        <v>2402</v>
      </c>
      <c r="AT53" s="985" t="s">
        <v>2436</v>
      </c>
      <c r="AU53" s="908" t="s">
        <v>2493</v>
      </c>
      <c r="AV53" s="163"/>
      <c r="AW53" s="157"/>
      <c r="AX53" s="151"/>
      <c r="AY53" s="151"/>
      <c r="AZ53" s="151"/>
      <c r="BA53" s="151"/>
      <c r="BB53" s="151"/>
      <c r="BC53" s="151"/>
      <c r="BD53" s="151"/>
      <c r="BE53" s="151"/>
      <c r="BF53" s="151"/>
      <c r="BG53" s="151"/>
      <c r="BH53" s="151"/>
      <c r="BI53" s="151"/>
      <c r="BJ53" s="151"/>
      <c r="BK53" s="151"/>
      <c r="BL53" s="151"/>
      <c r="BM53" s="151"/>
      <c r="BN53" s="151"/>
      <c r="BO53" s="151"/>
    </row>
    <row r="54" spans="1:67" ht="100.5" customHeight="1" thickBot="1" x14ac:dyDescent="0.4">
      <c r="A54" s="155"/>
      <c r="B54" s="1557" t="s">
        <v>1793</v>
      </c>
      <c r="C54" s="1558"/>
      <c r="D54" s="196"/>
      <c r="E54" s="166">
        <v>0.35</v>
      </c>
      <c r="F54" s="187"/>
      <c r="G54" s="170"/>
      <c r="H54" s="170"/>
      <c r="I54" s="170"/>
      <c r="J54" s="169">
        <f>+AVERAGE(J55:J58)</f>
        <v>0.125</v>
      </c>
      <c r="K54" s="169">
        <f>+AVERAGE(K55:K58)</f>
        <v>0.34375</v>
      </c>
      <c r="L54" s="169">
        <f>+AVERAGE(L55:L58)</f>
        <v>0.3</v>
      </c>
      <c r="M54" s="169">
        <f>+M55+M56+M57+M58</f>
        <v>6.25E-2</v>
      </c>
      <c r="N54" s="169">
        <f>+N55+N56+N57+N58</f>
        <v>0.36499999999999999</v>
      </c>
      <c r="O54" s="169"/>
      <c r="P54" s="170"/>
      <c r="Q54" s="170"/>
      <c r="R54" s="170"/>
      <c r="S54" s="170"/>
      <c r="T54" s="170"/>
      <c r="U54" s="795"/>
      <c r="V54" s="170"/>
      <c r="W54" s="170"/>
      <c r="X54" s="170"/>
      <c r="Y54" s="170"/>
      <c r="Z54" s="170"/>
      <c r="AA54" s="170"/>
      <c r="AB54" s="170"/>
      <c r="AC54" s="192">
        <f>+AVERAGE(AC55:AC58)</f>
        <v>1</v>
      </c>
      <c r="AD54" s="192">
        <f>+AVERAGE(AD55:AD58)</f>
        <v>1</v>
      </c>
      <c r="AE54" s="192">
        <f>+AVERAGE(AE55:AE58)</f>
        <v>0.17049999999999998</v>
      </c>
      <c r="AF54" s="192">
        <f>+(AF55+AF56+AF57+AF58)*E54</f>
        <v>0.17499999999999999</v>
      </c>
      <c r="AG54" s="192">
        <f>+(AG55+AG56+AG57+AG58)*E54</f>
        <v>0.35</v>
      </c>
      <c r="AH54" s="192">
        <f>+(AH55+AH56+AH57+AH58)*E54</f>
        <v>7.9975000000000004E-2</v>
      </c>
      <c r="AI54" s="169">
        <f>+AVERAGE(AI55:AI58)*0.25</f>
        <v>8.3687499999999998E-2</v>
      </c>
      <c r="AJ54" s="169">
        <v>0.46825</v>
      </c>
      <c r="AK54" s="169">
        <f>+AVERAGE(AK55:AK58)</f>
        <v>0.52024999999999999</v>
      </c>
      <c r="AL54" s="169">
        <f>+(AL55+AL56+AL57+AL58)*E54</f>
        <v>5.8581249999999994E-2</v>
      </c>
      <c r="AM54" s="169">
        <f>+(AM55+AM56+AM57+AM58)</f>
        <v>0.61399999999999999</v>
      </c>
      <c r="AN54" s="169">
        <f>+(AN55+AN56+AN57+AN58)</f>
        <v>0.67300000000000004</v>
      </c>
      <c r="AO54" s="590"/>
      <c r="AP54" s="163"/>
      <c r="AQ54" s="163"/>
      <c r="AR54" s="163"/>
      <c r="AS54" s="163"/>
      <c r="AT54" s="609"/>
      <c r="AU54" s="163"/>
      <c r="AV54" s="163"/>
      <c r="AW54" s="157"/>
      <c r="AX54" s="151"/>
      <c r="AY54" s="151"/>
      <c r="AZ54" s="151"/>
      <c r="BA54" s="151"/>
      <c r="BB54" s="151"/>
      <c r="BC54" s="151"/>
      <c r="BD54" s="151"/>
      <c r="BE54" s="151"/>
      <c r="BF54" s="151"/>
      <c r="BG54" s="151"/>
      <c r="BH54" s="151"/>
      <c r="BI54" s="151"/>
      <c r="BJ54" s="151"/>
      <c r="BK54" s="151"/>
      <c r="BL54" s="151"/>
      <c r="BM54" s="151"/>
      <c r="BN54" s="151"/>
      <c r="BO54" s="151"/>
    </row>
    <row r="55" spans="1:67" ht="70.95" customHeight="1" thickBot="1" x14ac:dyDescent="0.4">
      <c r="A55" s="188"/>
      <c r="B55" s="173" t="s">
        <v>724</v>
      </c>
      <c r="C55" s="183" t="s">
        <v>1427</v>
      </c>
      <c r="D55" s="197" t="s">
        <v>58</v>
      </c>
      <c r="E55" s="174">
        <v>0.05</v>
      </c>
      <c r="F55" s="175">
        <v>1</v>
      </c>
      <c r="G55" s="170">
        <v>0</v>
      </c>
      <c r="H55" s="170">
        <v>0.3</v>
      </c>
      <c r="I55" s="170">
        <v>0.4</v>
      </c>
      <c r="J55" s="176"/>
      <c r="K55" s="176">
        <f t="shared" si="72"/>
        <v>0.3</v>
      </c>
      <c r="L55" s="176">
        <f t="shared" si="73"/>
        <v>0.4</v>
      </c>
      <c r="M55" s="176"/>
      <c r="N55" s="176">
        <f t="shared" si="74"/>
        <v>1.4999999999999999E-2</v>
      </c>
      <c r="O55" s="176"/>
      <c r="P55" s="170"/>
      <c r="Q55" s="541">
        <v>0</v>
      </c>
      <c r="R55" s="541">
        <v>0</v>
      </c>
      <c r="S55" s="541">
        <v>0.2</v>
      </c>
      <c r="T55" s="541">
        <v>0</v>
      </c>
      <c r="U55" s="541">
        <v>0.1</v>
      </c>
      <c r="V55" s="170">
        <f t="shared" si="60"/>
        <v>0.30000000000000004</v>
      </c>
      <c r="W55" s="170">
        <f>+V55+P55+AB55</f>
        <v>0.4</v>
      </c>
      <c r="X55" s="541">
        <v>0.1</v>
      </c>
      <c r="Y55" s="170"/>
      <c r="Z55" s="170"/>
      <c r="AA55" s="170"/>
      <c r="AB55" s="170">
        <f t="shared" si="75"/>
        <v>0.1</v>
      </c>
      <c r="AC55" s="194"/>
      <c r="AD55" s="194">
        <f t="shared" ref="AD55:AD58" si="85">+V55/H55</f>
        <v>1.0000000000000002</v>
      </c>
      <c r="AE55" s="194">
        <f t="shared" si="77"/>
        <v>0.25</v>
      </c>
      <c r="AF55" s="194"/>
      <c r="AG55" s="194">
        <f t="shared" ref="AG55:AG58" si="86">+AD55*E55</f>
        <v>5.0000000000000017E-2</v>
      </c>
      <c r="AH55" s="194">
        <f t="shared" si="79"/>
        <v>1.2500000000000001E-2</v>
      </c>
      <c r="AI55" s="194"/>
      <c r="AJ55" s="194">
        <v>0.30000000000000004</v>
      </c>
      <c r="AK55" s="194">
        <f t="shared" si="80"/>
        <v>0.4</v>
      </c>
      <c r="AL55" s="176"/>
      <c r="AM55" s="194">
        <f t="shared" ref="AM55:AM58" si="87">+AJ55*E55</f>
        <v>1.5000000000000003E-2</v>
      </c>
      <c r="AN55" s="194">
        <f t="shared" si="82"/>
        <v>2.0000000000000004E-2</v>
      </c>
      <c r="AO55" s="566" t="s">
        <v>1850</v>
      </c>
      <c r="AP55" s="908" t="s">
        <v>1892</v>
      </c>
      <c r="AQ55" s="908" t="s">
        <v>2267</v>
      </c>
      <c r="AR55" s="908" t="s">
        <v>2288</v>
      </c>
      <c r="AS55" s="908" t="s">
        <v>2402</v>
      </c>
      <c r="AT55" s="985" t="s">
        <v>2436</v>
      </c>
      <c r="AU55" s="908" t="s">
        <v>2493</v>
      </c>
      <c r="AV55" s="908" t="s">
        <v>1893</v>
      </c>
      <c r="AW55" s="157"/>
      <c r="AX55" s="151"/>
      <c r="AY55" s="151"/>
      <c r="AZ55" s="151"/>
      <c r="BA55" s="151"/>
      <c r="BB55" s="151"/>
      <c r="BC55" s="151"/>
      <c r="BD55" s="151"/>
      <c r="BE55" s="151"/>
      <c r="BF55" s="151"/>
      <c r="BG55" s="151"/>
      <c r="BH55" s="151"/>
      <c r="BI55" s="151"/>
      <c r="BJ55" s="151"/>
      <c r="BK55" s="151"/>
      <c r="BL55" s="151"/>
      <c r="BM55" s="151"/>
      <c r="BN55" s="151"/>
      <c r="BO55" s="151"/>
    </row>
    <row r="56" spans="1:67" ht="58.2" customHeight="1" thickBot="1" x14ac:dyDescent="0.4">
      <c r="A56" s="188"/>
      <c r="B56" s="173" t="s">
        <v>725</v>
      </c>
      <c r="C56" s="183" t="s">
        <v>1428</v>
      </c>
      <c r="D56" s="198" t="s">
        <v>58</v>
      </c>
      <c r="E56" s="174">
        <v>0.5</v>
      </c>
      <c r="F56" s="175">
        <v>4000</v>
      </c>
      <c r="G56" s="170">
        <v>500</v>
      </c>
      <c r="H56" s="170">
        <v>1300</v>
      </c>
      <c r="I56" s="170">
        <v>1000</v>
      </c>
      <c r="J56" s="176">
        <f>+G56/F56</f>
        <v>0.125</v>
      </c>
      <c r="K56" s="176">
        <f t="shared" si="72"/>
        <v>0.32500000000000001</v>
      </c>
      <c r="L56" s="176">
        <f t="shared" si="73"/>
        <v>0.25</v>
      </c>
      <c r="M56" s="176">
        <f>+(G56/F56)*E56</f>
        <v>6.25E-2</v>
      </c>
      <c r="N56" s="176">
        <f t="shared" si="74"/>
        <v>0.16250000000000001</v>
      </c>
      <c r="O56" s="176"/>
      <c r="P56" s="170">
        <v>1339</v>
      </c>
      <c r="Q56" s="541">
        <v>55</v>
      </c>
      <c r="R56" s="541">
        <v>395</v>
      </c>
      <c r="S56" s="541">
        <v>792</v>
      </c>
      <c r="T56" s="541">
        <v>280</v>
      </c>
      <c r="U56" s="541">
        <v>431</v>
      </c>
      <c r="V56" s="170">
        <f t="shared" si="60"/>
        <v>1953</v>
      </c>
      <c r="W56" s="170">
        <f t="shared" ref="W56:W57" si="88">+V56+P56+AB56</f>
        <v>3724</v>
      </c>
      <c r="X56" s="541">
        <v>432</v>
      </c>
      <c r="Y56" s="170"/>
      <c r="Z56" s="170"/>
      <c r="AA56" s="170"/>
      <c r="AB56" s="170">
        <f t="shared" si="75"/>
        <v>432</v>
      </c>
      <c r="AC56" s="194">
        <v>1</v>
      </c>
      <c r="AD56" s="194">
        <v>1</v>
      </c>
      <c r="AE56" s="194">
        <f t="shared" si="77"/>
        <v>0.432</v>
      </c>
      <c r="AF56" s="194">
        <f>+AC56*E56</f>
        <v>0.5</v>
      </c>
      <c r="AG56" s="194">
        <f>+AD56*E56</f>
        <v>0.5</v>
      </c>
      <c r="AH56" s="194">
        <f t="shared" si="79"/>
        <v>0.216</v>
      </c>
      <c r="AI56" s="194">
        <f>+P56/F56</f>
        <v>0.33474999999999999</v>
      </c>
      <c r="AJ56" s="194">
        <v>0.82299999999999995</v>
      </c>
      <c r="AK56" s="194">
        <f t="shared" si="80"/>
        <v>0.93100000000000005</v>
      </c>
      <c r="AL56" s="176">
        <f>+AI56*E56</f>
        <v>0.167375</v>
      </c>
      <c r="AM56" s="194">
        <f t="shared" si="87"/>
        <v>0.41149999999999998</v>
      </c>
      <c r="AN56" s="194">
        <f t="shared" si="82"/>
        <v>0.46550000000000002</v>
      </c>
      <c r="AO56" s="566" t="s">
        <v>1850</v>
      </c>
      <c r="AP56" s="908" t="s">
        <v>1892</v>
      </c>
      <c r="AQ56" s="908" t="s">
        <v>2267</v>
      </c>
      <c r="AR56" s="908" t="s">
        <v>2288</v>
      </c>
      <c r="AS56" s="908" t="s">
        <v>2402</v>
      </c>
      <c r="AT56" s="985" t="s">
        <v>2436</v>
      </c>
      <c r="AU56" s="908" t="s">
        <v>2493</v>
      </c>
      <c r="AV56" s="908" t="s">
        <v>1893</v>
      </c>
      <c r="AW56" s="157"/>
      <c r="AX56" s="151"/>
      <c r="AY56" s="151"/>
      <c r="AZ56" s="151"/>
      <c r="BA56" s="151"/>
      <c r="BB56" s="151"/>
      <c r="BC56" s="151"/>
      <c r="BD56" s="151"/>
      <c r="BE56" s="151"/>
      <c r="BF56" s="151"/>
      <c r="BG56" s="151"/>
      <c r="BH56" s="151"/>
      <c r="BI56" s="151"/>
      <c r="BJ56" s="151"/>
      <c r="BK56" s="151"/>
      <c r="BL56" s="151"/>
      <c r="BM56" s="151"/>
      <c r="BN56" s="151"/>
      <c r="BO56" s="151"/>
    </row>
    <row r="57" spans="1:67" ht="76.2" customHeight="1" thickBot="1" x14ac:dyDescent="0.4">
      <c r="A57" s="188"/>
      <c r="B57" s="173" t="s">
        <v>726</v>
      </c>
      <c r="C57" s="183" t="s">
        <v>1429</v>
      </c>
      <c r="D57" s="198" t="s">
        <v>58</v>
      </c>
      <c r="E57" s="174">
        <v>0.15</v>
      </c>
      <c r="F57" s="175">
        <v>4</v>
      </c>
      <c r="G57" s="170">
        <v>0</v>
      </c>
      <c r="H57" s="170">
        <v>1</v>
      </c>
      <c r="I57" s="170">
        <v>1</v>
      </c>
      <c r="J57" s="176"/>
      <c r="K57" s="176">
        <f t="shared" si="72"/>
        <v>0.25</v>
      </c>
      <c r="L57" s="176">
        <f>+I57/F57</f>
        <v>0.25</v>
      </c>
      <c r="M57" s="176"/>
      <c r="N57" s="176">
        <f t="shared" si="74"/>
        <v>3.7499999999999999E-2</v>
      </c>
      <c r="O57" s="176"/>
      <c r="P57" s="170"/>
      <c r="Q57" s="541">
        <v>0</v>
      </c>
      <c r="R57" s="541">
        <v>0</v>
      </c>
      <c r="S57" s="541">
        <v>0</v>
      </c>
      <c r="T57" s="541">
        <v>0</v>
      </c>
      <c r="U57" s="541">
        <v>1</v>
      </c>
      <c r="V57" s="170">
        <f t="shared" si="60"/>
        <v>1</v>
      </c>
      <c r="W57" s="170">
        <f t="shared" si="88"/>
        <v>1</v>
      </c>
      <c r="X57" s="541">
        <v>0</v>
      </c>
      <c r="Y57" s="170"/>
      <c r="Z57" s="170"/>
      <c r="AA57" s="170"/>
      <c r="AB57" s="170">
        <f t="shared" si="75"/>
        <v>0</v>
      </c>
      <c r="AC57" s="194"/>
      <c r="AD57" s="194">
        <f t="shared" si="85"/>
        <v>1</v>
      </c>
      <c r="AE57" s="194">
        <f t="shared" si="77"/>
        <v>0</v>
      </c>
      <c r="AF57" s="194"/>
      <c r="AG57" s="194">
        <f t="shared" si="86"/>
        <v>0.15</v>
      </c>
      <c r="AH57" s="194">
        <f t="shared" si="79"/>
        <v>0</v>
      </c>
      <c r="AI57" s="194"/>
      <c r="AJ57" s="194">
        <v>0.25</v>
      </c>
      <c r="AK57" s="194">
        <f t="shared" si="80"/>
        <v>0.25</v>
      </c>
      <c r="AL57" s="176"/>
      <c r="AM57" s="194">
        <f t="shared" si="87"/>
        <v>3.7499999999999999E-2</v>
      </c>
      <c r="AN57" s="194">
        <f t="shared" si="82"/>
        <v>3.7499999999999999E-2</v>
      </c>
      <c r="AO57" s="566" t="s">
        <v>1850</v>
      </c>
      <c r="AP57" s="908" t="s">
        <v>1892</v>
      </c>
      <c r="AQ57" s="908" t="s">
        <v>2267</v>
      </c>
      <c r="AR57" s="908" t="s">
        <v>2288</v>
      </c>
      <c r="AS57" s="908" t="s">
        <v>2402</v>
      </c>
      <c r="AT57" s="985" t="s">
        <v>2436</v>
      </c>
      <c r="AU57" s="551" t="s">
        <v>1865</v>
      </c>
      <c r="AV57" s="908" t="s">
        <v>1893</v>
      </c>
      <c r="AW57" s="157"/>
      <c r="AX57" s="151"/>
      <c r="AY57" s="151"/>
      <c r="AZ57" s="151"/>
      <c r="BA57" s="151"/>
      <c r="BB57" s="151"/>
      <c r="BC57" s="151"/>
      <c r="BD57" s="151"/>
      <c r="BE57" s="151"/>
      <c r="BF57" s="151"/>
      <c r="BG57" s="151"/>
      <c r="BH57" s="151"/>
      <c r="BI57" s="151"/>
      <c r="BJ57" s="151"/>
      <c r="BK57" s="151"/>
      <c r="BL57" s="151"/>
      <c r="BM57" s="151"/>
      <c r="BN57" s="151"/>
      <c r="BO57" s="151"/>
    </row>
    <row r="58" spans="1:67" ht="66" customHeight="1" thickBot="1" x14ac:dyDescent="0.4">
      <c r="A58" s="188"/>
      <c r="B58" s="173" t="s">
        <v>727</v>
      </c>
      <c r="C58" s="183" t="s">
        <v>1430</v>
      </c>
      <c r="D58" s="198" t="s">
        <v>58</v>
      </c>
      <c r="E58" s="174">
        <v>0.3</v>
      </c>
      <c r="F58" s="175">
        <v>100</v>
      </c>
      <c r="G58" s="170">
        <v>0</v>
      </c>
      <c r="H58" s="170">
        <v>50</v>
      </c>
      <c r="I58" s="170">
        <v>30</v>
      </c>
      <c r="J58" s="176"/>
      <c r="K58" s="176">
        <f t="shared" si="72"/>
        <v>0.5</v>
      </c>
      <c r="L58" s="176">
        <f t="shared" si="73"/>
        <v>0.3</v>
      </c>
      <c r="M58" s="176"/>
      <c r="N58" s="176">
        <f t="shared" si="74"/>
        <v>0.15</v>
      </c>
      <c r="O58" s="176"/>
      <c r="P58" s="170"/>
      <c r="Q58" s="541">
        <v>0</v>
      </c>
      <c r="R58" s="541">
        <v>0</v>
      </c>
      <c r="S58" s="541">
        <v>0</v>
      </c>
      <c r="T58" s="541">
        <v>0</v>
      </c>
      <c r="U58" s="541">
        <v>50</v>
      </c>
      <c r="V58" s="170">
        <f t="shared" si="60"/>
        <v>50</v>
      </c>
      <c r="W58" s="170">
        <f>+V58+P58+AB58</f>
        <v>50</v>
      </c>
      <c r="X58" s="541">
        <v>0</v>
      </c>
      <c r="Y58" s="170"/>
      <c r="Z58" s="170"/>
      <c r="AA58" s="170"/>
      <c r="AB58" s="170">
        <f t="shared" si="75"/>
        <v>0</v>
      </c>
      <c r="AC58" s="194"/>
      <c r="AD58" s="194">
        <f t="shared" si="85"/>
        <v>1</v>
      </c>
      <c r="AE58" s="194">
        <f t="shared" si="77"/>
        <v>0</v>
      </c>
      <c r="AF58" s="194"/>
      <c r="AG58" s="194">
        <f t="shared" si="86"/>
        <v>0.3</v>
      </c>
      <c r="AH58" s="194">
        <f t="shared" si="79"/>
        <v>0</v>
      </c>
      <c r="AI58" s="194"/>
      <c r="AJ58" s="194">
        <v>0.5</v>
      </c>
      <c r="AK58" s="194">
        <f t="shared" si="80"/>
        <v>0.5</v>
      </c>
      <c r="AL58" s="176"/>
      <c r="AM58" s="194">
        <f t="shared" si="87"/>
        <v>0.15</v>
      </c>
      <c r="AN58" s="194">
        <f t="shared" si="82"/>
        <v>0.15</v>
      </c>
      <c r="AO58" s="566" t="s">
        <v>1850</v>
      </c>
      <c r="AP58" s="908" t="s">
        <v>1892</v>
      </c>
      <c r="AQ58" s="908" t="s">
        <v>2267</v>
      </c>
      <c r="AR58" s="908" t="s">
        <v>2288</v>
      </c>
      <c r="AS58" s="551" t="s">
        <v>2356</v>
      </c>
      <c r="AT58" s="985" t="s">
        <v>2436</v>
      </c>
      <c r="AU58" s="908" t="s">
        <v>2493</v>
      </c>
      <c r="AV58" s="908" t="s">
        <v>1893</v>
      </c>
      <c r="AW58" s="157"/>
      <c r="AX58" s="151"/>
      <c r="AY58" s="151"/>
      <c r="AZ58" s="151"/>
      <c r="BA58" s="151"/>
      <c r="BB58" s="151"/>
      <c r="BC58" s="151"/>
      <c r="BD58" s="151"/>
      <c r="BE58" s="151"/>
      <c r="BF58" s="151"/>
      <c r="BG58" s="151"/>
      <c r="BH58" s="151"/>
      <c r="BI58" s="151"/>
      <c r="BJ58" s="151"/>
      <c r="BK58" s="151"/>
      <c r="BL58" s="151"/>
      <c r="BM58" s="151"/>
      <c r="BN58" s="151"/>
      <c r="BO58" s="151"/>
    </row>
    <row r="59" spans="1:67" ht="42.75" customHeight="1" thickBot="1" x14ac:dyDescent="0.4">
      <c r="A59" s="188"/>
      <c r="B59" s="1557" t="s">
        <v>1711</v>
      </c>
      <c r="C59" s="1558"/>
      <c r="D59" s="198"/>
      <c r="E59" s="166">
        <v>0.3</v>
      </c>
      <c r="F59" s="187"/>
      <c r="G59" s="170"/>
      <c r="H59" s="170"/>
      <c r="I59" s="170"/>
      <c r="J59" s="169">
        <f>+AVERAGE(J60:J63)</f>
        <v>0.125</v>
      </c>
      <c r="K59" s="169">
        <f>+AVERAGE(K60:K63)</f>
        <v>0.45250000000000001</v>
      </c>
      <c r="L59" s="169">
        <f>+AVERAGE(L60:L63)</f>
        <v>0.23708333333333331</v>
      </c>
      <c r="M59" s="169">
        <f>+M60+M61+M62+M63</f>
        <v>7.0000000000000007E-2</v>
      </c>
      <c r="N59" s="169">
        <f>+N60+N61+N62+N63</f>
        <v>0.50550000000000006</v>
      </c>
      <c r="O59" s="169"/>
      <c r="P59" s="170"/>
      <c r="Q59" s="170"/>
      <c r="R59" s="170"/>
      <c r="S59" s="170"/>
      <c r="T59" s="170"/>
      <c r="U59" s="795"/>
      <c r="V59" s="170"/>
      <c r="W59" s="170"/>
      <c r="X59" s="170"/>
      <c r="Y59" s="170"/>
      <c r="Z59" s="170"/>
      <c r="AA59" s="170"/>
      <c r="AB59" s="170"/>
      <c r="AC59" s="192">
        <f>+AVERAGE(AC60:AC63)</f>
        <v>1</v>
      </c>
      <c r="AD59" s="192">
        <f>+AVERAGE(AD60:AD63)</f>
        <v>0.96250000000000002</v>
      </c>
      <c r="AE59" s="192">
        <f>+AVERAGE(AE60:AE63)</f>
        <v>0.45</v>
      </c>
      <c r="AF59" s="192">
        <f>+(AF60+AF61+AF62+AF63)*E59</f>
        <v>0.16500000000000001</v>
      </c>
      <c r="AG59" s="192">
        <f>+(AG60+AG61+AG62+AG63)*E59</f>
        <v>0.28200000000000003</v>
      </c>
      <c r="AH59" s="192">
        <f>+(AH60+AH61+AH62+AH63)*E59</f>
        <v>8.6999999999999994E-2</v>
      </c>
      <c r="AI59" s="169">
        <f>+AVERAGE(AI60:AI63)</f>
        <v>0.26550000000000001</v>
      </c>
      <c r="AJ59" s="169">
        <v>0.58320833333333333</v>
      </c>
      <c r="AK59" s="169">
        <f>+AVERAGE(AK60:AK63)</f>
        <v>0.66870833333333324</v>
      </c>
      <c r="AL59" s="169">
        <f>+(AL60+AL61+AL62+AL63)*E59</f>
        <v>4.3927500000000001E-2</v>
      </c>
      <c r="AM59" s="169">
        <f>+(AM60+AM61+AM62+AM63)</f>
        <v>0.56505833333333333</v>
      </c>
      <c r="AN59" s="169">
        <f>+(AN60+AN61+AN62+AN63)</f>
        <v>0.60515833333333335</v>
      </c>
      <c r="AO59" s="590"/>
      <c r="AP59" s="163"/>
      <c r="AQ59" s="163"/>
      <c r="AR59" s="163"/>
      <c r="AS59" s="163"/>
      <c r="AT59" s="609"/>
      <c r="AU59" s="163"/>
      <c r="AV59" s="163"/>
      <c r="AW59" s="157"/>
      <c r="AX59" s="151"/>
      <c r="AY59" s="151"/>
      <c r="AZ59" s="151"/>
      <c r="BA59" s="151"/>
      <c r="BB59" s="151"/>
      <c r="BC59" s="151"/>
      <c r="BD59" s="151"/>
      <c r="BE59" s="151"/>
      <c r="BF59" s="151"/>
      <c r="BG59" s="151"/>
      <c r="BH59" s="151"/>
      <c r="BI59" s="151"/>
      <c r="BJ59" s="151"/>
      <c r="BK59" s="151"/>
      <c r="BL59" s="151"/>
      <c r="BM59" s="151"/>
      <c r="BN59" s="151"/>
      <c r="BO59" s="151"/>
    </row>
    <row r="60" spans="1:67" ht="85.2" customHeight="1" thickBot="1" x14ac:dyDescent="0.4">
      <c r="A60" s="155"/>
      <c r="B60" s="1484" t="s">
        <v>728</v>
      </c>
      <c r="C60" s="1485" t="s">
        <v>1431</v>
      </c>
      <c r="D60" s="199" t="s">
        <v>58</v>
      </c>
      <c r="E60" s="174">
        <v>0.3</v>
      </c>
      <c r="F60" s="175">
        <v>2000</v>
      </c>
      <c r="G60" s="170">
        <v>300</v>
      </c>
      <c r="H60" s="170">
        <v>120</v>
      </c>
      <c r="I60" s="170">
        <v>230</v>
      </c>
      <c r="J60" s="176">
        <f>+G60/F60</f>
        <v>0.15</v>
      </c>
      <c r="K60" s="176">
        <f t="shared" si="72"/>
        <v>0.06</v>
      </c>
      <c r="L60" s="176">
        <f t="shared" si="73"/>
        <v>0.115</v>
      </c>
      <c r="M60" s="176">
        <f>+(G60/F60)*E60</f>
        <v>4.4999999999999998E-2</v>
      </c>
      <c r="N60" s="176">
        <f t="shared" si="74"/>
        <v>1.7999999999999999E-2</v>
      </c>
      <c r="O60" s="176"/>
      <c r="P60" s="170">
        <v>547</v>
      </c>
      <c r="Q60" s="541">
        <v>0</v>
      </c>
      <c r="R60" s="541">
        <v>531</v>
      </c>
      <c r="S60" s="541">
        <v>405</v>
      </c>
      <c r="T60" s="541">
        <v>54</v>
      </c>
      <c r="U60" s="541">
        <v>37</v>
      </c>
      <c r="V60" s="170">
        <f t="shared" si="60"/>
        <v>1027</v>
      </c>
      <c r="W60" s="170">
        <f>+V60+P60+AB60</f>
        <v>1758</v>
      </c>
      <c r="X60" s="541">
        <v>184</v>
      </c>
      <c r="Y60" s="170"/>
      <c r="Z60" s="170"/>
      <c r="AA60" s="170"/>
      <c r="AB60" s="170">
        <f t="shared" si="75"/>
        <v>184</v>
      </c>
      <c r="AC60" s="194">
        <v>1</v>
      </c>
      <c r="AD60" s="194">
        <v>1</v>
      </c>
      <c r="AE60" s="194">
        <f t="shared" si="77"/>
        <v>0.8</v>
      </c>
      <c r="AF60" s="194">
        <f>+AC60*E60</f>
        <v>0.3</v>
      </c>
      <c r="AG60" s="194">
        <f t="shared" ref="AG60:AG62" si="89">+AD60*E60</f>
        <v>0.3</v>
      </c>
      <c r="AH60" s="194">
        <f t="shared" si="79"/>
        <v>0.24</v>
      </c>
      <c r="AI60" s="194">
        <f>+P60/F60</f>
        <v>0.27350000000000002</v>
      </c>
      <c r="AJ60" s="194">
        <v>0.78700000000000003</v>
      </c>
      <c r="AK60" s="194">
        <f t="shared" si="80"/>
        <v>0.879</v>
      </c>
      <c r="AL60" s="176">
        <f>+AI60*E60</f>
        <v>8.2049999999999998E-2</v>
      </c>
      <c r="AM60" s="176">
        <f>+AJ60*E60</f>
        <v>0.2361</v>
      </c>
      <c r="AN60" s="194">
        <f t="shared" si="82"/>
        <v>0.26369999999999999</v>
      </c>
      <c r="AO60" s="566" t="s">
        <v>1850</v>
      </c>
      <c r="AP60" s="908" t="s">
        <v>1892</v>
      </c>
      <c r="AQ60" s="908" t="s">
        <v>2267</v>
      </c>
      <c r="AR60" s="908" t="s">
        <v>2288</v>
      </c>
      <c r="AS60" s="908" t="s">
        <v>2402</v>
      </c>
      <c r="AT60" s="985" t="s">
        <v>2436</v>
      </c>
      <c r="AU60" s="908" t="s">
        <v>2493</v>
      </c>
      <c r="AV60" s="908" t="s">
        <v>1893</v>
      </c>
      <c r="AW60" s="157"/>
      <c r="AX60" s="151"/>
      <c r="AY60" s="151"/>
      <c r="AZ60" s="151"/>
      <c r="BA60" s="151"/>
      <c r="BB60" s="151"/>
      <c r="BC60" s="151"/>
      <c r="BD60" s="151"/>
      <c r="BE60" s="151"/>
      <c r="BF60" s="151"/>
      <c r="BG60" s="151"/>
      <c r="BH60" s="151"/>
      <c r="BI60" s="151"/>
      <c r="BJ60" s="151"/>
      <c r="BK60" s="151"/>
      <c r="BL60" s="151"/>
      <c r="BM60" s="151"/>
      <c r="BN60" s="151"/>
      <c r="BO60" s="151"/>
    </row>
    <row r="61" spans="1:67" ht="111.6" customHeight="1" thickBot="1" x14ac:dyDescent="0.4">
      <c r="A61" s="155"/>
      <c r="B61" s="1486" t="s">
        <v>729</v>
      </c>
      <c r="C61" s="1487" t="s">
        <v>1432</v>
      </c>
      <c r="D61" s="200" t="s">
        <v>58</v>
      </c>
      <c r="E61" s="174">
        <v>0.4</v>
      </c>
      <c r="F61" s="175">
        <v>600</v>
      </c>
      <c r="G61" s="170">
        <v>0</v>
      </c>
      <c r="H61" s="236">
        <v>600</v>
      </c>
      <c r="I61" s="236">
        <v>200</v>
      </c>
      <c r="J61" s="176"/>
      <c r="K61" s="176">
        <f t="shared" si="72"/>
        <v>1</v>
      </c>
      <c r="L61" s="176">
        <f t="shared" si="73"/>
        <v>0.33333333333333331</v>
      </c>
      <c r="M61" s="176"/>
      <c r="N61" s="176">
        <f t="shared" si="74"/>
        <v>0.4</v>
      </c>
      <c r="O61" s="176"/>
      <c r="P61" s="170"/>
      <c r="Q61" s="541">
        <v>0</v>
      </c>
      <c r="R61" s="541">
        <v>0</v>
      </c>
      <c r="S61" s="541">
        <v>110</v>
      </c>
      <c r="T61" s="541">
        <v>0</v>
      </c>
      <c r="U61" s="541">
        <v>60</v>
      </c>
      <c r="V61" s="170">
        <f t="shared" si="60"/>
        <v>170</v>
      </c>
      <c r="W61" s="170">
        <f t="shared" ref="W61:W63" si="90">+V61+P61+AB61</f>
        <v>170</v>
      </c>
      <c r="X61" s="541">
        <v>0</v>
      </c>
      <c r="Y61" s="170"/>
      <c r="Z61" s="170"/>
      <c r="AA61" s="170"/>
      <c r="AB61" s="170">
        <f t="shared" si="75"/>
        <v>0</v>
      </c>
      <c r="AC61" s="194"/>
      <c r="AD61" s="194">
        <f>+V61/200</f>
        <v>0.85</v>
      </c>
      <c r="AE61" s="194">
        <f t="shared" si="77"/>
        <v>0</v>
      </c>
      <c r="AF61" s="194"/>
      <c r="AG61" s="194">
        <f t="shared" si="89"/>
        <v>0.34</v>
      </c>
      <c r="AH61" s="194">
        <f t="shared" si="79"/>
        <v>0</v>
      </c>
      <c r="AI61" s="194"/>
      <c r="AJ61" s="194">
        <v>0.28333333333333333</v>
      </c>
      <c r="AK61" s="194">
        <f t="shared" si="80"/>
        <v>0.28333333333333333</v>
      </c>
      <c r="AL61" s="176">
        <f>+AI61*E61</f>
        <v>0</v>
      </c>
      <c r="AM61" s="176">
        <f t="shared" ref="AM61:AM63" si="91">+AJ61*E61</f>
        <v>0.11333333333333334</v>
      </c>
      <c r="AN61" s="194">
        <f t="shared" si="82"/>
        <v>0.11333333333333334</v>
      </c>
      <c r="AO61" s="566" t="s">
        <v>1850</v>
      </c>
      <c r="AP61" s="908" t="s">
        <v>1919</v>
      </c>
      <c r="AQ61" s="908" t="s">
        <v>2267</v>
      </c>
      <c r="AR61" s="908" t="s">
        <v>2288</v>
      </c>
      <c r="AS61" s="908" t="s">
        <v>2402</v>
      </c>
      <c r="AT61" s="985" t="s">
        <v>2436</v>
      </c>
      <c r="AU61" s="551" t="s">
        <v>2524</v>
      </c>
      <c r="AV61" s="908" t="s">
        <v>1893</v>
      </c>
      <c r="AW61" s="157"/>
      <c r="AX61" s="151"/>
      <c r="AY61" s="151"/>
      <c r="AZ61" s="151"/>
      <c r="BA61" s="151"/>
      <c r="BB61" s="151"/>
      <c r="BC61" s="151"/>
      <c r="BD61" s="151"/>
      <c r="BE61" s="151"/>
      <c r="BF61" s="151"/>
      <c r="BG61" s="151"/>
      <c r="BH61" s="151"/>
      <c r="BI61" s="151"/>
      <c r="BJ61" s="151"/>
      <c r="BK61" s="151"/>
      <c r="BL61" s="151"/>
      <c r="BM61" s="151"/>
      <c r="BN61" s="151"/>
      <c r="BO61" s="151"/>
    </row>
    <row r="62" spans="1:67" ht="66" customHeight="1" thickBot="1" x14ac:dyDescent="0.4">
      <c r="A62" s="188"/>
      <c r="B62" s="1488" t="s">
        <v>730</v>
      </c>
      <c r="C62" s="1489" t="s">
        <v>1433</v>
      </c>
      <c r="D62" s="201" t="s">
        <v>58</v>
      </c>
      <c r="E62" s="174">
        <v>0.25</v>
      </c>
      <c r="F62" s="175">
        <v>400</v>
      </c>
      <c r="G62" s="170">
        <v>40</v>
      </c>
      <c r="H62" s="170">
        <v>100</v>
      </c>
      <c r="I62" s="170">
        <v>100</v>
      </c>
      <c r="J62" s="176">
        <f>+G62/F62</f>
        <v>0.1</v>
      </c>
      <c r="K62" s="176">
        <f t="shared" si="72"/>
        <v>0.25</v>
      </c>
      <c r="L62" s="176">
        <f t="shared" si="73"/>
        <v>0.25</v>
      </c>
      <c r="M62" s="176">
        <f>+(G62/F62)*E62</f>
        <v>2.5000000000000001E-2</v>
      </c>
      <c r="N62" s="176">
        <f t="shared" si="74"/>
        <v>6.25E-2</v>
      </c>
      <c r="O62" s="176"/>
      <c r="P62" s="170">
        <v>103</v>
      </c>
      <c r="Q62" s="541">
        <v>0</v>
      </c>
      <c r="R62" s="541">
        <v>0</v>
      </c>
      <c r="S62" s="541">
        <v>78</v>
      </c>
      <c r="T62" s="541">
        <v>74</v>
      </c>
      <c r="U62" s="541">
        <v>50</v>
      </c>
      <c r="V62" s="170">
        <f t="shared" si="60"/>
        <v>202</v>
      </c>
      <c r="W62" s="170">
        <f t="shared" si="90"/>
        <v>305</v>
      </c>
      <c r="X62" s="541">
        <v>0</v>
      </c>
      <c r="Y62" s="170"/>
      <c r="Z62" s="170"/>
      <c r="AA62" s="170"/>
      <c r="AB62" s="170">
        <f t="shared" si="75"/>
        <v>0</v>
      </c>
      <c r="AC62" s="194">
        <v>1</v>
      </c>
      <c r="AD62" s="194">
        <v>1</v>
      </c>
      <c r="AE62" s="194">
        <f t="shared" si="77"/>
        <v>0</v>
      </c>
      <c r="AF62" s="194">
        <f>+AC62*E62</f>
        <v>0.25</v>
      </c>
      <c r="AG62" s="194">
        <f t="shared" si="89"/>
        <v>0.25</v>
      </c>
      <c r="AH62" s="194">
        <f t="shared" si="79"/>
        <v>0</v>
      </c>
      <c r="AI62" s="194">
        <f>+P62/F62</f>
        <v>0.25750000000000001</v>
      </c>
      <c r="AJ62" s="194">
        <v>0.76249999999999996</v>
      </c>
      <c r="AK62" s="194">
        <f t="shared" si="80"/>
        <v>0.76249999999999996</v>
      </c>
      <c r="AL62" s="176">
        <f>+AI62*E62</f>
        <v>6.4375000000000002E-2</v>
      </c>
      <c r="AM62" s="176">
        <f t="shared" si="91"/>
        <v>0.19062499999999999</v>
      </c>
      <c r="AN62" s="194">
        <f t="shared" si="82"/>
        <v>0.19062499999999999</v>
      </c>
      <c r="AO62" s="566" t="s">
        <v>1850</v>
      </c>
      <c r="AP62" s="908" t="s">
        <v>1892</v>
      </c>
      <c r="AQ62" s="908" t="s">
        <v>2267</v>
      </c>
      <c r="AR62" s="908" t="s">
        <v>2288</v>
      </c>
      <c r="AS62" s="908" t="s">
        <v>2402</v>
      </c>
      <c r="AT62" s="985" t="s">
        <v>2436</v>
      </c>
      <c r="AU62" s="908" t="s">
        <v>2493</v>
      </c>
      <c r="AV62" s="908" t="s">
        <v>1893</v>
      </c>
      <c r="AW62" s="157"/>
      <c r="AX62" s="151"/>
      <c r="AY62" s="151"/>
      <c r="AZ62" s="151"/>
      <c r="BA62" s="151"/>
      <c r="BB62" s="151"/>
      <c r="BC62" s="151"/>
      <c r="BD62" s="151"/>
      <c r="BE62" s="151"/>
      <c r="BF62" s="151"/>
      <c r="BG62" s="151"/>
      <c r="BH62" s="151"/>
      <c r="BI62" s="151"/>
      <c r="BJ62" s="151"/>
      <c r="BK62" s="151"/>
      <c r="BL62" s="151"/>
      <c r="BM62" s="151"/>
      <c r="BN62" s="151"/>
      <c r="BO62" s="151"/>
    </row>
    <row r="63" spans="1:67" ht="82.95" customHeight="1" thickBot="1" x14ac:dyDescent="0.4">
      <c r="A63" s="155"/>
      <c r="B63" s="1486" t="s">
        <v>731</v>
      </c>
      <c r="C63" s="1490" t="s">
        <v>1434</v>
      </c>
      <c r="D63" s="196" t="s">
        <v>58</v>
      </c>
      <c r="E63" s="174">
        <v>0.05</v>
      </c>
      <c r="F63" s="175">
        <v>4</v>
      </c>
      <c r="G63" s="170">
        <v>0</v>
      </c>
      <c r="H63" s="170">
        <v>2</v>
      </c>
      <c r="I63" s="170">
        <v>1</v>
      </c>
      <c r="J63" s="176"/>
      <c r="K63" s="176">
        <f t="shared" si="72"/>
        <v>0.5</v>
      </c>
      <c r="L63" s="176">
        <f t="shared" si="73"/>
        <v>0.25</v>
      </c>
      <c r="M63" s="176"/>
      <c r="N63" s="176">
        <f t="shared" si="74"/>
        <v>2.5000000000000001E-2</v>
      </c>
      <c r="O63" s="176"/>
      <c r="P63" s="170"/>
      <c r="Q63" s="541">
        <v>0</v>
      </c>
      <c r="R63" s="541">
        <v>1</v>
      </c>
      <c r="S63" s="541">
        <v>1</v>
      </c>
      <c r="T63" s="541">
        <v>0</v>
      </c>
      <c r="U63" s="541">
        <v>0</v>
      </c>
      <c r="V63" s="170">
        <f t="shared" si="60"/>
        <v>2</v>
      </c>
      <c r="W63" s="170">
        <f t="shared" si="90"/>
        <v>3</v>
      </c>
      <c r="X63" s="541">
        <v>1</v>
      </c>
      <c r="Y63" s="170"/>
      <c r="Z63" s="170"/>
      <c r="AA63" s="170"/>
      <c r="AB63" s="170">
        <f t="shared" si="75"/>
        <v>1</v>
      </c>
      <c r="AC63" s="176"/>
      <c r="AD63" s="176">
        <f t="shared" ref="AD63" si="92">+V63/H63</f>
        <v>1</v>
      </c>
      <c r="AE63" s="176">
        <f t="shared" si="77"/>
        <v>1</v>
      </c>
      <c r="AF63" s="176"/>
      <c r="AG63" s="176">
        <f>+AD63*E63</f>
        <v>0.05</v>
      </c>
      <c r="AH63" s="176">
        <f t="shared" si="79"/>
        <v>0.05</v>
      </c>
      <c r="AI63" s="176"/>
      <c r="AJ63" s="176">
        <v>0.5</v>
      </c>
      <c r="AK63" s="176">
        <f t="shared" si="80"/>
        <v>0.75</v>
      </c>
      <c r="AL63" s="176">
        <f>+AI63*E63</f>
        <v>0</v>
      </c>
      <c r="AM63" s="176">
        <f t="shared" si="91"/>
        <v>2.5000000000000001E-2</v>
      </c>
      <c r="AN63" s="194">
        <f t="shared" si="82"/>
        <v>3.7500000000000006E-2</v>
      </c>
      <c r="AO63" s="566" t="s">
        <v>1850</v>
      </c>
      <c r="AP63" s="908" t="s">
        <v>1918</v>
      </c>
      <c r="AQ63" s="908" t="s">
        <v>2267</v>
      </c>
      <c r="AR63" s="908" t="s">
        <v>2288</v>
      </c>
      <c r="AS63" s="908" t="s">
        <v>2402</v>
      </c>
      <c r="AT63" s="985" t="s">
        <v>2436</v>
      </c>
      <c r="AU63" s="908" t="s">
        <v>2493</v>
      </c>
      <c r="AV63" s="908" t="s">
        <v>1893</v>
      </c>
      <c r="AW63" s="157"/>
      <c r="AX63" s="151"/>
      <c r="AY63" s="151"/>
      <c r="AZ63" s="151"/>
      <c r="BA63" s="151"/>
      <c r="BB63" s="151"/>
      <c r="BC63" s="151"/>
      <c r="BD63" s="151"/>
      <c r="BE63" s="151"/>
      <c r="BF63" s="151"/>
      <c r="BG63" s="151"/>
      <c r="BH63" s="151"/>
      <c r="BI63" s="151"/>
      <c r="BJ63" s="151"/>
      <c r="BK63" s="151"/>
      <c r="BL63" s="151"/>
      <c r="BM63" s="151"/>
      <c r="BN63" s="151"/>
      <c r="BO63" s="151"/>
    </row>
    <row r="64" spans="1:67" ht="42.75" customHeight="1" thickBot="1" x14ac:dyDescent="0.4">
      <c r="A64" s="155"/>
      <c r="B64" s="1563" t="s">
        <v>1794</v>
      </c>
      <c r="C64" s="1564"/>
      <c r="D64" s="202"/>
      <c r="E64" s="166">
        <v>0.1</v>
      </c>
      <c r="F64" s="187"/>
      <c r="G64" s="163"/>
      <c r="H64" s="163"/>
      <c r="I64" s="163"/>
      <c r="J64" s="169"/>
      <c r="K64" s="169">
        <f>+AVERAGE(K65:K66)</f>
        <v>0</v>
      </c>
      <c r="L64" s="169">
        <f>+AVERAGE(L65:L66)</f>
        <v>0.66666666666666674</v>
      </c>
      <c r="M64" s="169"/>
      <c r="N64" s="169">
        <f>+N65+N66</f>
        <v>0</v>
      </c>
      <c r="O64" s="169"/>
      <c r="P64" s="170"/>
      <c r="Q64" s="170"/>
      <c r="R64" s="170"/>
      <c r="S64" s="170"/>
      <c r="T64" s="170"/>
      <c r="U64" s="795"/>
      <c r="V64" s="170"/>
      <c r="W64" s="170"/>
      <c r="X64" s="170"/>
      <c r="Y64" s="170"/>
      <c r="Z64" s="170"/>
      <c r="AA64" s="170"/>
      <c r="AB64" s="170"/>
      <c r="AC64" s="192"/>
      <c r="AD64" s="192"/>
      <c r="AE64" s="192">
        <f>+AVERAGE(AE65:AE66)</f>
        <v>0.33333333333333331</v>
      </c>
      <c r="AF64" s="192"/>
      <c r="AG64" s="192">
        <f>+(AG65+AG66)*E64</f>
        <v>0</v>
      </c>
      <c r="AH64" s="192">
        <f>+(AH65+AH66)*E64</f>
        <v>3.3333333333333333E-2</v>
      </c>
      <c r="AI64" s="169"/>
      <c r="AJ64" s="169">
        <v>0.13416666666666666</v>
      </c>
      <c r="AK64" s="169">
        <f>+AVERAGE(AK65:AK66)</f>
        <v>0.30083333333333329</v>
      </c>
      <c r="AL64" s="169"/>
      <c r="AM64" s="169">
        <f>+(AM65+AM66)</f>
        <v>0.13416666666666666</v>
      </c>
      <c r="AN64" s="169">
        <f>+(AN65+AN66)</f>
        <v>0.30083333333333329</v>
      </c>
      <c r="AO64" s="590"/>
      <c r="AP64" s="163"/>
      <c r="AQ64" s="163"/>
      <c r="AR64" s="163"/>
      <c r="AS64" s="163"/>
      <c r="AT64" s="609"/>
      <c r="AU64" s="163"/>
      <c r="AV64" s="163"/>
      <c r="AW64" s="157"/>
      <c r="AX64" s="151"/>
      <c r="AY64" s="151"/>
      <c r="AZ64" s="151"/>
      <c r="BA64" s="151"/>
      <c r="BB64" s="151"/>
      <c r="BC64" s="151"/>
      <c r="BD64" s="151"/>
      <c r="BE64" s="151"/>
      <c r="BF64" s="151"/>
      <c r="BG64" s="151"/>
      <c r="BH64" s="151"/>
      <c r="BI64" s="151"/>
      <c r="BJ64" s="151"/>
      <c r="BK64" s="151"/>
      <c r="BL64" s="151"/>
      <c r="BM64" s="151"/>
      <c r="BN64" s="151"/>
      <c r="BO64" s="151"/>
    </row>
    <row r="65" spans="1:67" ht="143.4" customHeight="1" thickBot="1" x14ac:dyDescent="0.4">
      <c r="A65" s="155"/>
      <c r="B65" s="1491" t="s">
        <v>732</v>
      </c>
      <c r="C65" s="1492" t="s">
        <v>1435</v>
      </c>
      <c r="D65" s="196" t="s">
        <v>1933</v>
      </c>
      <c r="E65" s="174">
        <v>0.5</v>
      </c>
      <c r="F65" s="175">
        <v>600</v>
      </c>
      <c r="G65" s="170">
        <v>0</v>
      </c>
      <c r="H65" s="170">
        <v>0</v>
      </c>
      <c r="I65" s="170">
        <f>300+200</f>
        <v>500</v>
      </c>
      <c r="J65" s="176"/>
      <c r="K65" s="176">
        <f t="shared" si="72"/>
        <v>0</v>
      </c>
      <c r="L65" s="176">
        <f t="shared" si="73"/>
        <v>0.83333333333333337</v>
      </c>
      <c r="M65" s="176"/>
      <c r="N65" s="176">
        <f t="shared" si="74"/>
        <v>0</v>
      </c>
      <c r="O65" s="176"/>
      <c r="P65" s="170"/>
      <c r="Q65" s="541">
        <v>0</v>
      </c>
      <c r="R65" s="541">
        <v>0</v>
      </c>
      <c r="S65" s="541"/>
      <c r="T65" s="541"/>
      <c r="U65" s="541">
        <v>161</v>
      </c>
      <c r="V65" s="236">
        <f t="shared" si="60"/>
        <v>161</v>
      </c>
      <c r="W65" s="236">
        <f>+V65+P65+AB65</f>
        <v>161</v>
      </c>
      <c r="X65" s="541">
        <v>0</v>
      </c>
      <c r="Y65" s="170"/>
      <c r="Z65" s="170"/>
      <c r="AA65" s="170"/>
      <c r="AB65" s="170">
        <f t="shared" si="75"/>
        <v>0</v>
      </c>
      <c r="AC65" s="177"/>
      <c r="AD65" s="176"/>
      <c r="AE65" s="178">
        <f>+AB65/I65</f>
        <v>0</v>
      </c>
      <c r="AF65" s="178"/>
      <c r="AG65" s="178">
        <f t="shared" ref="AG65" si="93">+AD65*E65</f>
        <v>0</v>
      </c>
      <c r="AH65" s="178">
        <f t="shared" si="79"/>
        <v>0</v>
      </c>
      <c r="AI65" s="176"/>
      <c r="AJ65" s="194">
        <v>0.26833333333333331</v>
      </c>
      <c r="AK65" s="194">
        <f t="shared" si="80"/>
        <v>0.26833333333333331</v>
      </c>
      <c r="AL65" s="176"/>
      <c r="AM65" s="194">
        <f t="shared" ref="AM65:AM66" si="94">+AJ65*E65</f>
        <v>0.13416666666666666</v>
      </c>
      <c r="AN65" s="194">
        <f t="shared" si="82"/>
        <v>0.13416666666666666</v>
      </c>
      <c r="AO65" s="590"/>
      <c r="AP65" s="1306" t="s">
        <v>2359</v>
      </c>
      <c r="AQ65" s="1306" t="s">
        <v>2360</v>
      </c>
      <c r="AR65" s="909" t="s">
        <v>2361</v>
      </c>
      <c r="AS65" s="908" t="s">
        <v>2357</v>
      </c>
      <c r="AT65" s="609"/>
      <c r="AU65" s="644" t="s">
        <v>2494</v>
      </c>
      <c r="AV65" s="908" t="s">
        <v>2554</v>
      </c>
      <c r="AW65" s="157"/>
      <c r="AX65" s="151"/>
      <c r="AY65" s="151"/>
      <c r="AZ65" s="151"/>
      <c r="BA65" s="151"/>
      <c r="BB65" s="151"/>
      <c r="BC65" s="151"/>
      <c r="BD65" s="151"/>
      <c r="BE65" s="151"/>
      <c r="BF65" s="151"/>
      <c r="BG65" s="151"/>
      <c r="BH65" s="151"/>
      <c r="BI65" s="151"/>
      <c r="BJ65" s="151"/>
      <c r="BK65" s="151"/>
      <c r="BL65" s="151"/>
      <c r="BM65" s="151"/>
      <c r="BN65" s="151"/>
      <c r="BO65" s="151"/>
    </row>
    <row r="66" spans="1:67" ht="130.19999999999999" customHeight="1" thickBot="1" x14ac:dyDescent="0.4">
      <c r="A66" s="155"/>
      <c r="B66" s="1486" t="s">
        <v>734</v>
      </c>
      <c r="C66" s="1490" t="s">
        <v>1436</v>
      </c>
      <c r="D66" s="196" t="s">
        <v>733</v>
      </c>
      <c r="E66" s="174">
        <v>0.5</v>
      </c>
      <c r="F66" s="175">
        <v>6</v>
      </c>
      <c r="G66" s="170">
        <v>0</v>
      </c>
      <c r="H66" s="170">
        <v>0</v>
      </c>
      <c r="I66" s="170">
        <v>3</v>
      </c>
      <c r="J66" s="176"/>
      <c r="K66" s="176">
        <f t="shared" si="72"/>
        <v>0</v>
      </c>
      <c r="L66" s="176">
        <f t="shared" si="73"/>
        <v>0.5</v>
      </c>
      <c r="M66" s="176"/>
      <c r="N66" s="176">
        <f t="shared" si="74"/>
        <v>0</v>
      </c>
      <c r="O66" s="176"/>
      <c r="P66" s="170"/>
      <c r="Q66" s="541">
        <v>0</v>
      </c>
      <c r="R66" s="541">
        <v>0</v>
      </c>
      <c r="S66" s="541"/>
      <c r="T66" s="541"/>
      <c r="U66" s="541"/>
      <c r="V66" s="236">
        <f t="shared" si="60"/>
        <v>0</v>
      </c>
      <c r="W66" s="236">
        <f>+V66+P66+AB66</f>
        <v>2</v>
      </c>
      <c r="X66" s="541">
        <v>2</v>
      </c>
      <c r="Y66" s="170"/>
      <c r="Z66" s="170"/>
      <c r="AA66" s="170"/>
      <c r="AB66" s="170">
        <f t="shared" si="75"/>
        <v>2</v>
      </c>
      <c r="AC66" s="177"/>
      <c r="AD66" s="176"/>
      <c r="AE66" s="178">
        <f>+AB66/I66</f>
        <v>0.66666666666666663</v>
      </c>
      <c r="AF66" s="178"/>
      <c r="AG66" s="178">
        <f>+AD66*E66</f>
        <v>0</v>
      </c>
      <c r="AH66" s="178">
        <f t="shared" si="79"/>
        <v>0.33333333333333331</v>
      </c>
      <c r="AI66" s="176"/>
      <c r="AJ66" s="176">
        <v>0</v>
      </c>
      <c r="AK66" s="176">
        <f t="shared" si="80"/>
        <v>0.33333333333333331</v>
      </c>
      <c r="AL66" s="176"/>
      <c r="AM66" s="194">
        <f t="shared" si="94"/>
        <v>0</v>
      </c>
      <c r="AN66" s="194">
        <f t="shared" si="82"/>
        <v>0.16666666666666666</v>
      </c>
      <c r="AO66" s="590"/>
      <c r="AP66" s="1306" t="s">
        <v>2362</v>
      </c>
      <c r="AQ66" s="1306" t="s">
        <v>2363</v>
      </c>
      <c r="AR66" s="909" t="s">
        <v>2331</v>
      </c>
      <c r="AS66" s="908" t="s">
        <v>2358</v>
      </c>
      <c r="AT66" s="609"/>
      <c r="AU66" s="908" t="s">
        <v>2493</v>
      </c>
      <c r="AV66" s="908" t="s">
        <v>1893</v>
      </c>
      <c r="AW66" s="157"/>
      <c r="AX66" s="151"/>
      <c r="AY66" s="151"/>
      <c r="AZ66" s="151"/>
      <c r="BA66" s="151"/>
      <c r="BB66" s="151"/>
      <c r="BC66" s="151"/>
      <c r="BD66" s="151"/>
      <c r="BE66" s="151"/>
      <c r="BF66" s="151"/>
      <c r="BG66" s="151"/>
      <c r="BH66" s="151"/>
      <c r="BI66" s="151"/>
      <c r="BJ66" s="151"/>
      <c r="BK66" s="151"/>
      <c r="BL66" s="151"/>
      <c r="BM66" s="151"/>
      <c r="BN66" s="151"/>
      <c r="BO66" s="151"/>
    </row>
    <row r="67" spans="1:67" ht="129" customHeight="1" thickBot="1" x14ac:dyDescent="0.4">
      <c r="A67" s="155"/>
      <c r="B67" s="1565" t="s">
        <v>1795</v>
      </c>
      <c r="C67" s="1566"/>
      <c r="D67" s="196"/>
      <c r="E67" s="158">
        <v>0.1</v>
      </c>
      <c r="F67" s="159">
        <f>+E67*AF67</f>
        <v>2.2000000000000002E-2</v>
      </c>
      <c r="G67" s="163"/>
      <c r="H67" s="159">
        <f>+E67*AG67</f>
        <v>8.9006666666666678E-2</v>
      </c>
      <c r="I67" s="159">
        <f>+E67*AH67</f>
        <v>8.0020542920029355E-3</v>
      </c>
      <c r="J67" s="161">
        <f>+((J86+J96)/2)*(2/5)</f>
        <v>0.1135</v>
      </c>
      <c r="K67" s="161">
        <f>+(K68+K73+K86+K91+K96)/5</f>
        <v>0.50593420257578892</v>
      </c>
      <c r="L67" s="161">
        <f>+(L68+L73+L86+L91+L96)/5</f>
        <v>0.32380212226365584</v>
      </c>
      <c r="M67" s="162">
        <f>+((M86+M96)/2)*(2/5)</f>
        <v>0.20750000000000002</v>
      </c>
      <c r="N67" s="162">
        <f>+(N68+N73+N86+N91+N96)/5</f>
        <v>0.47529743197983565</v>
      </c>
      <c r="O67" s="162"/>
      <c r="P67" s="163"/>
      <c r="Q67" s="163"/>
      <c r="R67" s="163"/>
      <c r="S67" s="163"/>
      <c r="T67" s="163"/>
      <c r="U67" s="983"/>
      <c r="V67" s="967"/>
      <c r="W67" s="163"/>
      <c r="X67" s="163"/>
      <c r="Y67" s="163"/>
      <c r="Z67" s="163"/>
      <c r="AA67" s="163"/>
      <c r="AB67" s="163"/>
      <c r="AC67" s="161">
        <f>+(AC86+AC96)/2</f>
        <v>1</v>
      </c>
      <c r="AD67" s="161">
        <f>+(AD68+AD73+AD86+AD91+AD96)/5</f>
        <v>0.86744444444444446</v>
      </c>
      <c r="AE67" s="161">
        <f>+(AE68+AE73+AE86+AE91+AE96)/5</f>
        <v>6.3350452433357782E-2</v>
      </c>
      <c r="AF67" s="162">
        <f>AF68+AF73+AF86+AF91+AF96</f>
        <v>0.22</v>
      </c>
      <c r="AG67" s="162">
        <f>AG68+AG73+AG86+AG91+AG96</f>
        <v>0.89006666666666667</v>
      </c>
      <c r="AH67" s="162">
        <f>AH68+AH73+AH86+AH91+AH96</f>
        <v>8.0020542920029358E-2</v>
      </c>
      <c r="AI67" s="161">
        <f>+((AI86+AI96) /2 )*(2/5)</f>
        <v>0.16850000000000001</v>
      </c>
      <c r="AJ67" s="161">
        <v>0.51483556384227602</v>
      </c>
      <c r="AK67" s="161">
        <f>+(AK68+AK73+AK86+AK91+AK96)/5</f>
        <v>0.54328163110282435</v>
      </c>
      <c r="AL67" s="162">
        <f>AL68+AL73+AL86+AL91+AL96</f>
        <v>8.3350000000000007E-2</v>
      </c>
      <c r="AM67" s="162">
        <f>AM68*E68+AM73*E73+AM86*E86+AM91*E91+AM96*E96</f>
        <v>0.46027253772184246</v>
      </c>
      <c r="AN67" s="162">
        <f>AN68*E68+AN73*E73+AN86*E86+AN91*E91+AN96*E96</f>
        <v>0.48340781843450037</v>
      </c>
      <c r="AO67" s="590"/>
      <c r="AP67" s="1306" t="s">
        <v>1886</v>
      </c>
      <c r="AQ67" s="163"/>
      <c r="AR67" s="163"/>
      <c r="AS67" s="163"/>
      <c r="AT67" s="609"/>
      <c r="AU67" s="163"/>
      <c r="AV67" s="163"/>
      <c r="AW67" s="157"/>
      <c r="AX67" s="151"/>
      <c r="AY67" s="151"/>
      <c r="AZ67" s="151"/>
      <c r="BA67" s="151"/>
      <c r="BB67" s="151"/>
      <c r="BC67" s="151"/>
      <c r="BD67" s="151"/>
      <c r="BE67" s="151"/>
      <c r="BF67" s="151"/>
      <c r="BG67" s="151"/>
      <c r="BH67" s="151"/>
      <c r="BI67" s="151"/>
      <c r="BJ67" s="151"/>
      <c r="BK67" s="151"/>
      <c r="BL67" s="151"/>
      <c r="BM67" s="151"/>
      <c r="BN67" s="151"/>
      <c r="BO67" s="151"/>
    </row>
    <row r="68" spans="1:67" ht="57" customHeight="1" thickBot="1" x14ac:dyDescent="0.4">
      <c r="A68" s="155"/>
      <c r="B68" s="1567" t="s">
        <v>1796</v>
      </c>
      <c r="C68" s="1568"/>
      <c r="D68" s="203"/>
      <c r="E68" s="166">
        <v>0.25</v>
      </c>
      <c r="F68" s="187"/>
      <c r="G68" s="163"/>
      <c r="H68" s="163"/>
      <c r="I68" s="163"/>
      <c r="J68" s="169"/>
      <c r="K68" s="169">
        <f>+AVERAGE(K69:K72)</f>
        <v>0.3845486111111111</v>
      </c>
      <c r="L68" s="169">
        <f>+AVERAGE(L69:L72)</f>
        <v>0.29913194444444441</v>
      </c>
      <c r="M68" s="169"/>
      <c r="N68" s="169">
        <f>+N69+N70+N71+N72</f>
        <v>0.35642361111111109</v>
      </c>
      <c r="O68" s="169"/>
      <c r="P68" s="168"/>
      <c r="Q68" s="168"/>
      <c r="R68" s="168"/>
      <c r="S68" s="168"/>
      <c r="T68" s="168"/>
      <c r="U68" s="984"/>
      <c r="V68" s="170"/>
      <c r="W68" s="168"/>
      <c r="X68" s="168"/>
      <c r="Y68" s="168"/>
      <c r="Z68" s="168"/>
      <c r="AA68" s="168"/>
      <c r="AB68" s="170"/>
      <c r="AC68" s="192"/>
      <c r="AD68" s="192">
        <f>+AVERAGE(AD69:AD72)</f>
        <v>1</v>
      </c>
      <c r="AE68" s="192">
        <f>+AVERAGE(AE69:AE72)</f>
        <v>0</v>
      </c>
      <c r="AF68" s="192"/>
      <c r="AG68" s="192">
        <f>+(AG69+AG70+AG71+AG72)*E68</f>
        <v>0.25</v>
      </c>
      <c r="AH68" s="192">
        <f>+(AH69+AH70+AH71+AH72)*E68</f>
        <v>0</v>
      </c>
      <c r="AI68" s="169"/>
      <c r="AJ68" s="169">
        <v>0.40173611111111107</v>
      </c>
      <c r="AK68" s="169">
        <f>+AVERAGE(AK69:AK72)</f>
        <v>0.40173611111111107</v>
      </c>
      <c r="AL68" s="169"/>
      <c r="AM68" s="169">
        <f>+(AM69+AM70+AM71+AM72)</f>
        <v>0.38048611111111108</v>
      </c>
      <c r="AN68" s="169">
        <f>+(AN69+AN70+AN71+AN72)</f>
        <v>0.38048611111111108</v>
      </c>
      <c r="AO68" s="590"/>
      <c r="AP68" s="163"/>
      <c r="AQ68" s="163"/>
      <c r="AR68" s="163"/>
      <c r="AS68" s="163"/>
      <c r="AT68" s="609"/>
      <c r="AU68" s="163"/>
      <c r="AV68" s="163"/>
      <c r="AW68" s="157"/>
      <c r="AX68" s="151"/>
      <c r="AY68" s="151"/>
      <c r="AZ68" s="151"/>
      <c r="BA68" s="151"/>
      <c r="BB68" s="151"/>
      <c r="BC68" s="151"/>
      <c r="BD68" s="151"/>
      <c r="BE68" s="151"/>
      <c r="BF68" s="151"/>
      <c r="BG68" s="151"/>
      <c r="BH68" s="151"/>
      <c r="BI68" s="151"/>
      <c r="BJ68" s="151"/>
      <c r="BK68" s="151"/>
      <c r="BL68" s="151"/>
      <c r="BM68" s="151"/>
      <c r="BN68" s="151"/>
      <c r="BO68" s="151"/>
    </row>
    <row r="69" spans="1:67" ht="51" customHeight="1" thickBot="1" x14ac:dyDescent="0.4">
      <c r="A69" s="155"/>
      <c r="B69" s="181" t="s">
        <v>735</v>
      </c>
      <c r="C69" s="1482" t="s">
        <v>1437</v>
      </c>
      <c r="D69" s="185" t="s">
        <v>736</v>
      </c>
      <c r="E69" s="174">
        <v>0.05</v>
      </c>
      <c r="F69" s="175">
        <v>4</v>
      </c>
      <c r="G69" s="170">
        <v>0</v>
      </c>
      <c r="H69" s="170">
        <v>2</v>
      </c>
      <c r="I69" s="170">
        <v>1</v>
      </c>
      <c r="J69" s="176"/>
      <c r="K69" s="176">
        <f t="shared" ref="K69:K95" si="95">+H69/F69</f>
        <v>0.5</v>
      </c>
      <c r="L69" s="194">
        <f t="shared" ref="L69:L98" si="96">+I69/F69</f>
        <v>0.25</v>
      </c>
      <c r="M69" s="176"/>
      <c r="N69" s="176">
        <f t="shared" ref="N69:N99" si="97">+(H69/F69)*E69</f>
        <v>2.5000000000000001E-2</v>
      </c>
      <c r="O69" s="176"/>
      <c r="P69" s="170"/>
      <c r="Q69" s="541">
        <v>0</v>
      </c>
      <c r="R69" s="541">
        <v>0.52</v>
      </c>
      <c r="S69" s="541">
        <v>1.48</v>
      </c>
      <c r="T69" s="541">
        <v>0</v>
      </c>
      <c r="U69" s="541">
        <v>0</v>
      </c>
      <c r="V69" s="170">
        <f t="shared" si="60"/>
        <v>2</v>
      </c>
      <c r="W69" s="170">
        <f>+V69+P69+AB69</f>
        <v>2</v>
      </c>
      <c r="X69" s="541">
        <v>0</v>
      </c>
      <c r="Y69" s="170"/>
      <c r="Z69" s="170"/>
      <c r="AA69" s="170"/>
      <c r="AB69" s="170">
        <f t="shared" si="75"/>
        <v>0</v>
      </c>
      <c r="AC69" s="176"/>
      <c r="AD69" s="194">
        <f t="shared" ref="AD69:AD71" si="98">+V69/H69</f>
        <v>1</v>
      </c>
      <c r="AE69" s="194">
        <f t="shared" ref="AE69:AE99" si="99">+AB69/I69</f>
        <v>0</v>
      </c>
      <c r="AF69" s="194"/>
      <c r="AG69" s="194">
        <f t="shared" ref="AG69:AG72" si="100">+AD69*E69</f>
        <v>0.05</v>
      </c>
      <c r="AH69" s="194">
        <f t="shared" ref="AH69:AH99" si="101">+AE69*E69</f>
        <v>0</v>
      </c>
      <c r="AI69" s="194"/>
      <c r="AJ69" s="194">
        <v>0.5</v>
      </c>
      <c r="AK69" s="194">
        <f t="shared" ref="AK69:AK99" si="102">+W69/F69</f>
        <v>0.5</v>
      </c>
      <c r="AL69" s="176"/>
      <c r="AM69" s="194">
        <f t="shared" ref="AM69:AM85" si="103">+AJ69*E69</f>
        <v>2.5000000000000001E-2</v>
      </c>
      <c r="AN69" s="194">
        <f t="shared" ref="AN69:AN99" si="104">+AK69*E69</f>
        <v>2.5000000000000001E-2</v>
      </c>
      <c r="AO69" s="590" t="s">
        <v>1576</v>
      </c>
      <c r="AP69" s="908" t="s">
        <v>1892</v>
      </c>
      <c r="AQ69" s="908" t="s">
        <v>2267</v>
      </c>
      <c r="AR69" s="908" t="s">
        <v>2288</v>
      </c>
      <c r="AS69" s="908" t="s">
        <v>2402</v>
      </c>
      <c r="AT69" s="985" t="s">
        <v>2436</v>
      </c>
      <c r="AU69" s="908" t="s">
        <v>2493</v>
      </c>
      <c r="AV69" s="908" t="s">
        <v>1893</v>
      </c>
      <c r="AW69" s="157"/>
      <c r="AX69" s="151"/>
      <c r="AY69" s="151"/>
      <c r="AZ69" s="151"/>
      <c r="BA69" s="151"/>
      <c r="BB69" s="151"/>
      <c r="BC69" s="151"/>
      <c r="BD69" s="151"/>
      <c r="BE69" s="151"/>
      <c r="BF69" s="151"/>
      <c r="BG69" s="151"/>
      <c r="BH69" s="151"/>
      <c r="BI69" s="151"/>
      <c r="BJ69" s="151"/>
      <c r="BK69" s="151"/>
      <c r="BL69" s="151"/>
      <c r="BM69" s="151"/>
      <c r="BN69" s="151"/>
      <c r="BO69" s="151"/>
    </row>
    <row r="70" spans="1:67" ht="77.400000000000006" customHeight="1" thickBot="1" x14ac:dyDescent="0.4">
      <c r="A70" s="155"/>
      <c r="B70" s="181" t="s">
        <v>737</v>
      </c>
      <c r="C70" s="1482" t="s">
        <v>1438</v>
      </c>
      <c r="D70" s="185" t="s">
        <v>736</v>
      </c>
      <c r="E70" s="174">
        <v>0.2</v>
      </c>
      <c r="F70" s="175">
        <v>6</v>
      </c>
      <c r="G70" s="170">
        <v>0</v>
      </c>
      <c r="H70" s="170">
        <v>2</v>
      </c>
      <c r="I70" s="170">
        <v>2</v>
      </c>
      <c r="J70" s="176"/>
      <c r="K70" s="176">
        <f t="shared" si="95"/>
        <v>0.33333333333333331</v>
      </c>
      <c r="L70" s="194">
        <f t="shared" si="96"/>
        <v>0.33333333333333331</v>
      </c>
      <c r="M70" s="176"/>
      <c r="N70" s="176">
        <f t="shared" si="97"/>
        <v>6.6666666666666666E-2</v>
      </c>
      <c r="O70" s="176"/>
      <c r="P70" s="170"/>
      <c r="Q70" s="541">
        <v>0</v>
      </c>
      <c r="R70" s="541">
        <v>0</v>
      </c>
      <c r="S70" s="541">
        <v>0</v>
      </c>
      <c r="T70" s="541">
        <v>0</v>
      </c>
      <c r="U70" s="541">
        <v>2</v>
      </c>
      <c r="V70" s="170">
        <f t="shared" si="60"/>
        <v>2</v>
      </c>
      <c r="W70" s="170">
        <f t="shared" ref="W70:W99" si="105">+V70+P70+AB70</f>
        <v>2</v>
      </c>
      <c r="X70" s="541">
        <v>0</v>
      </c>
      <c r="Y70" s="170"/>
      <c r="Z70" s="170"/>
      <c r="AA70" s="170"/>
      <c r="AB70" s="170">
        <f t="shared" si="75"/>
        <v>0</v>
      </c>
      <c r="AC70" s="176"/>
      <c r="AD70" s="194">
        <f t="shared" si="98"/>
        <v>1</v>
      </c>
      <c r="AE70" s="194">
        <f t="shared" si="99"/>
        <v>0</v>
      </c>
      <c r="AF70" s="194"/>
      <c r="AG70" s="194">
        <f t="shared" si="100"/>
        <v>0.2</v>
      </c>
      <c r="AH70" s="194">
        <f t="shared" si="101"/>
        <v>0</v>
      </c>
      <c r="AI70" s="194"/>
      <c r="AJ70" s="194">
        <v>0.33333333333333331</v>
      </c>
      <c r="AK70" s="194">
        <f t="shared" si="102"/>
        <v>0.33333333333333331</v>
      </c>
      <c r="AL70" s="176"/>
      <c r="AM70" s="194">
        <f t="shared" si="103"/>
        <v>6.6666666666666666E-2</v>
      </c>
      <c r="AN70" s="194">
        <f t="shared" si="104"/>
        <v>6.6666666666666666E-2</v>
      </c>
      <c r="AO70" s="590" t="s">
        <v>1576</v>
      </c>
      <c r="AP70" s="908" t="s">
        <v>1892</v>
      </c>
      <c r="AQ70" s="908" t="s">
        <v>2267</v>
      </c>
      <c r="AR70" s="908" t="s">
        <v>2288</v>
      </c>
      <c r="AS70" s="908" t="s">
        <v>2402</v>
      </c>
      <c r="AT70" s="985" t="s">
        <v>2436</v>
      </c>
      <c r="AU70" s="908" t="s">
        <v>2493</v>
      </c>
      <c r="AV70" s="908" t="s">
        <v>1893</v>
      </c>
      <c r="AW70" s="157"/>
      <c r="AX70" s="151"/>
      <c r="AY70" s="151"/>
      <c r="AZ70" s="151"/>
      <c r="BA70" s="151"/>
      <c r="BB70" s="151"/>
      <c r="BC70" s="151"/>
      <c r="BD70" s="151"/>
      <c r="BE70" s="151"/>
      <c r="BF70" s="151"/>
      <c r="BG70" s="151"/>
      <c r="BH70" s="151"/>
      <c r="BI70" s="151"/>
      <c r="BJ70" s="151"/>
      <c r="BK70" s="151"/>
      <c r="BL70" s="151"/>
      <c r="BM70" s="151"/>
      <c r="BN70" s="151"/>
      <c r="BO70" s="151"/>
    </row>
    <row r="71" spans="1:67" ht="75" customHeight="1" thickBot="1" x14ac:dyDescent="0.4">
      <c r="A71" s="155"/>
      <c r="B71" s="181" t="s">
        <v>738</v>
      </c>
      <c r="C71" s="1482" t="s">
        <v>1439</v>
      </c>
      <c r="D71" s="204" t="s">
        <v>736</v>
      </c>
      <c r="E71" s="174">
        <v>0.4</v>
      </c>
      <c r="F71" s="175">
        <v>360</v>
      </c>
      <c r="G71" s="170">
        <v>0</v>
      </c>
      <c r="H71" s="170">
        <v>130</v>
      </c>
      <c r="I71" s="170">
        <v>115</v>
      </c>
      <c r="J71" s="176"/>
      <c r="K71" s="176">
        <f t="shared" si="95"/>
        <v>0.3611111111111111</v>
      </c>
      <c r="L71" s="194">
        <f t="shared" si="96"/>
        <v>0.31944444444444442</v>
      </c>
      <c r="M71" s="176"/>
      <c r="N71" s="176">
        <f>+(H71/F71)*E71</f>
        <v>0.14444444444444446</v>
      </c>
      <c r="O71" s="176"/>
      <c r="P71" s="170"/>
      <c r="Q71" s="541">
        <v>0</v>
      </c>
      <c r="R71" s="541">
        <v>0</v>
      </c>
      <c r="S71" s="541">
        <v>0</v>
      </c>
      <c r="T71" s="541">
        <v>0</v>
      </c>
      <c r="U71" s="541">
        <v>130</v>
      </c>
      <c r="V71" s="170">
        <f t="shared" si="60"/>
        <v>130</v>
      </c>
      <c r="W71" s="170">
        <f t="shared" si="105"/>
        <v>130</v>
      </c>
      <c r="X71" s="541">
        <v>0</v>
      </c>
      <c r="Y71" s="170"/>
      <c r="Z71" s="170"/>
      <c r="AA71" s="170"/>
      <c r="AB71" s="170">
        <f t="shared" si="75"/>
        <v>0</v>
      </c>
      <c r="AC71" s="176"/>
      <c r="AD71" s="194">
        <f t="shared" si="98"/>
        <v>1</v>
      </c>
      <c r="AE71" s="194">
        <f>+AB71/I71</f>
        <v>0</v>
      </c>
      <c r="AF71" s="194"/>
      <c r="AG71" s="194">
        <f>+AD71*E71</f>
        <v>0.4</v>
      </c>
      <c r="AH71" s="194">
        <f t="shared" si="101"/>
        <v>0</v>
      </c>
      <c r="AI71" s="194"/>
      <c r="AJ71" s="194">
        <v>0.3611111111111111</v>
      </c>
      <c r="AK71" s="194">
        <f t="shared" si="102"/>
        <v>0.3611111111111111</v>
      </c>
      <c r="AL71" s="176"/>
      <c r="AM71" s="194">
        <f t="shared" si="103"/>
        <v>0.14444444444444446</v>
      </c>
      <c r="AN71" s="194">
        <f t="shared" si="104"/>
        <v>0.14444444444444446</v>
      </c>
      <c r="AO71" s="590" t="s">
        <v>1576</v>
      </c>
      <c r="AP71" s="908" t="s">
        <v>1892</v>
      </c>
      <c r="AQ71" s="908" t="s">
        <v>2267</v>
      </c>
      <c r="AR71" s="908" t="s">
        <v>2288</v>
      </c>
      <c r="AS71" s="908" t="s">
        <v>2402</v>
      </c>
      <c r="AT71" s="985" t="s">
        <v>2436</v>
      </c>
      <c r="AU71" s="908" t="s">
        <v>2493</v>
      </c>
      <c r="AV71" s="908" t="s">
        <v>1893</v>
      </c>
      <c r="AW71" s="157"/>
      <c r="AX71" s="151"/>
      <c r="AY71" s="151"/>
      <c r="AZ71" s="151"/>
      <c r="BA71" s="151"/>
      <c r="BB71" s="151"/>
      <c r="BC71" s="151"/>
      <c r="BD71" s="151"/>
      <c r="BE71" s="151"/>
      <c r="BF71" s="151"/>
      <c r="BG71" s="151"/>
      <c r="BH71" s="151"/>
      <c r="BI71" s="151"/>
      <c r="BJ71" s="151"/>
      <c r="BK71" s="151"/>
      <c r="BL71" s="151"/>
      <c r="BM71" s="151"/>
      <c r="BN71" s="151"/>
      <c r="BO71" s="151"/>
    </row>
    <row r="72" spans="1:67" ht="83.4" customHeight="1" thickBot="1" x14ac:dyDescent="0.4">
      <c r="A72" s="155"/>
      <c r="B72" s="181" t="s">
        <v>739</v>
      </c>
      <c r="C72" s="1482" t="s">
        <v>1440</v>
      </c>
      <c r="D72" s="203" t="s">
        <v>736</v>
      </c>
      <c r="E72" s="174">
        <v>0.35</v>
      </c>
      <c r="F72" s="175">
        <v>320</v>
      </c>
      <c r="G72" s="170">
        <v>0</v>
      </c>
      <c r="H72" s="170">
        <v>110</v>
      </c>
      <c r="I72" s="170">
        <v>94</v>
      </c>
      <c r="J72" s="176"/>
      <c r="K72" s="176">
        <f t="shared" si="95"/>
        <v>0.34375</v>
      </c>
      <c r="L72" s="194">
        <f t="shared" si="96"/>
        <v>0.29375000000000001</v>
      </c>
      <c r="M72" s="176"/>
      <c r="N72" s="176">
        <f t="shared" si="97"/>
        <v>0.12031249999999999</v>
      </c>
      <c r="O72" s="176"/>
      <c r="P72" s="170"/>
      <c r="Q72" s="541">
        <v>0</v>
      </c>
      <c r="R72" s="541">
        <v>81</v>
      </c>
      <c r="S72" s="541">
        <v>51</v>
      </c>
      <c r="T72" s="541">
        <v>0</v>
      </c>
      <c r="U72" s="541">
        <v>0</v>
      </c>
      <c r="V72" s="170">
        <f t="shared" si="60"/>
        <v>132</v>
      </c>
      <c r="W72" s="170">
        <f t="shared" si="105"/>
        <v>132</v>
      </c>
      <c r="X72" s="541">
        <v>0</v>
      </c>
      <c r="Y72" s="170"/>
      <c r="Z72" s="170"/>
      <c r="AA72" s="170"/>
      <c r="AB72" s="170">
        <f t="shared" si="75"/>
        <v>0</v>
      </c>
      <c r="AC72" s="176"/>
      <c r="AD72" s="194">
        <v>1</v>
      </c>
      <c r="AE72" s="194">
        <f t="shared" si="99"/>
        <v>0</v>
      </c>
      <c r="AF72" s="194"/>
      <c r="AG72" s="194">
        <f t="shared" si="100"/>
        <v>0.35</v>
      </c>
      <c r="AH72" s="194">
        <f t="shared" si="101"/>
        <v>0</v>
      </c>
      <c r="AI72" s="194"/>
      <c r="AJ72" s="194">
        <v>0.41249999999999998</v>
      </c>
      <c r="AK72" s="194">
        <f t="shared" si="102"/>
        <v>0.41249999999999998</v>
      </c>
      <c r="AL72" s="176"/>
      <c r="AM72" s="194">
        <f t="shared" si="103"/>
        <v>0.14437499999999998</v>
      </c>
      <c r="AN72" s="194">
        <f t="shared" si="104"/>
        <v>0.14437499999999998</v>
      </c>
      <c r="AO72" s="590" t="s">
        <v>1576</v>
      </c>
      <c r="AP72" s="908" t="s">
        <v>1892</v>
      </c>
      <c r="AQ72" s="908" t="s">
        <v>2267</v>
      </c>
      <c r="AR72" s="908" t="s">
        <v>2288</v>
      </c>
      <c r="AS72" s="908" t="s">
        <v>2402</v>
      </c>
      <c r="AT72" s="985" t="s">
        <v>2436</v>
      </c>
      <c r="AU72" s="908" t="s">
        <v>2493</v>
      </c>
      <c r="AV72" s="908" t="s">
        <v>1893</v>
      </c>
      <c r="AW72" s="157"/>
      <c r="AX72" s="151"/>
      <c r="AY72" s="151"/>
      <c r="AZ72" s="151"/>
      <c r="BA72" s="151"/>
      <c r="BB72" s="151"/>
      <c r="BC72" s="151"/>
      <c r="BD72" s="151"/>
      <c r="BE72" s="151"/>
      <c r="BF72" s="151"/>
      <c r="BG72" s="151"/>
      <c r="BH72" s="151"/>
      <c r="BI72" s="151"/>
      <c r="BJ72" s="151"/>
      <c r="BK72" s="151"/>
      <c r="BL72" s="151"/>
      <c r="BM72" s="151"/>
      <c r="BN72" s="151"/>
      <c r="BO72" s="151"/>
    </row>
    <row r="73" spans="1:67" ht="57" customHeight="1" thickBot="1" x14ac:dyDescent="0.4">
      <c r="A73" s="155"/>
      <c r="B73" s="1557" t="s">
        <v>1797</v>
      </c>
      <c r="C73" s="1558"/>
      <c r="D73" s="185"/>
      <c r="E73" s="166">
        <v>0.2</v>
      </c>
      <c r="F73" s="187"/>
      <c r="G73" s="163"/>
      <c r="H73" s="163"/>
      <c r="I73" s="163"/>
      <c r="J73" s="169"/>
      <c r="K73" s="169">
        <f>+AVERAGE(K74:K85)</f>
        <v>0.53803906843450033</v>
      </c>
      <c r="L73" s="169">
        <f>+AVERAGE(L74:L85)</f>
        <v>0.36383700020716803</v>
      </c>
      <c r="M73" s="169"/>
      <c r="N73" s="169">
        <f>+N74+N75+N76+N77+N78+N79+N80+N81+N82+N83+N84+N85</f>
        <v>0.44564688212140052</v>
      </c>
      <c r="O73" s="169"/>
      <c r="P73" s="168"/>
      <c r="Q73" s="168"/>
      <c r="R73" s="168"/>
      <c r="S73" s="168"/>
      <c r="T73" s="168"/>
      <c r="U73" s="984"/>
      <c r="V73" s="170"/>
      <c r="W73" s="170"/>
      <c r="X73" s="168"/>
      <c r="Y73" s="168"/>
      <c r="Z73" s="168"/>
      <c r="AA73" s="168"/>
      <c r="AB73" s="170"/>
      <c r="AC73" s="192"/>
      <c r="AD73" s="192">
        <f>+AVERAGE(AD74:AD85)</f>
        <v>0.78472222222222221</v>
      </c>
      <c r="AE73" s="192">
        <f>+AVERAGE(AE74:AE85)</f>
        <v>0.10008559550012229</v>
      </c>
      <c r="AF73" s="192"/>
      <c r="AG73" s="192">
        <f>+(AG74+AG75+AG76+AG77+AG78+AG79+AG80+AG81+AG82+AG83+AG84+AG85)*E73</f>
        <v>0.16666666666666671</v>
      </c>
      <c r="AH73" s="192">
        <f>+(AH74+AH75+AH76+AH77+AH78+AH79+AH80+AH81+AH82+AH83+AH84+AH85)*E73</f>
        <v>2.6020542920029352E-2</v>
      </c>
      <c r="AI73" s="169"/>
      <c r="AJ73" s="169">
        <v>0.46258059698915827</v>
      </c>
      <c r="AK73" s="169">
        <f>+AVERAGE(AK74:AK85)</f>
        <v>0.50897759995856651</v>
      </c>
      <c r="AL73" s="169"/>
      <c r="AM73" s="169">
        <f>+(AM74+AM75+AM76+AM77+AM78+AM79+AM80+AM81+AM82+AM83+AM84+AM85)</f>
        <v>0.4207967163869899</v>
      </c>
      <c r="AN73" s="169">
        <f>+(AN74+AN75+AN76+AN77+AN78+AN79+AN80+AN81+AN82+AN83+AN84+AN85)</f>
        <v>0.48147311995027975</v>
      </c>
      <c r="AO73" s="590"/>
      <c r="AP73" s="163"/>
      <c r="AQ73" s="163"/>
      <c r="AR73" s="163"/>
      <c r="AS73" s="163"/>
      <c r="AT73" s="609"/>
      <c r="AU73" s="163"/>
      <c r="AV73" s="163"/>
      <c r="AW73" s="157"/>
      <c r="AX73" s="151"/>
      <c r="AY73" s="151"/>
      <c r="AZ73" s="151"/>
      <c r="BA73" s="151"/>
      <c r="BB73" s="151"/>
      <c r="BC73" s="151"/>
      <c r="BD73" s="151"/>
      <c r="BE73" s="151"/>
      <c r="BF73" s="151"/>
      <c r="BG73" s="151"/>
      <c r="BH73" s="151"/>
      <c r="BI73" s="151"/>
      <c r="BJ73" s="151"/>
      <c r="BK73" s="151"/>
      <c r="BL73" s="151"/>
      <c r="BM73" s="151"/>
      <c r="BN73" s="151"/>
      <c r="BO73" s="151"/>
    </row>
    <row r="74" spans="1:67" ht="88.2" customHeight="1" thickBot="1" x14ac:dyDescent="0.4">
      <c r="A74" s="155"/>
      <c r="B74" s="790" t="s">
        <v>740</v>
      </c>
      <c r="C74" s="794" t="s">
        <v>1441</v>
      </c>
      <c r="D74" s="185" t="s">
        <v>736</v>
      </c>
      <c r="E74" s="174">
        <v>0.1</v>
      </c>
      <c r="F74" s="175">
        <v>4827</v>
      </c>
      <c r="G74" s="170">
        <v>0</v>
      </c>
      <c r="H74" s="170">
        <v>1600</v>
      </c>
      <c r="I74" s="170">
        <v>1363</v>
      </c>
      <c r="J74" s="176"/>
      <c r="K74" s="194">
        <f t="shared" si="95"/>
        <v>0.33146882121400456</v>
      </c>
      <c r="L74" s="194">
        <f t="shared" si="96"/>
        <v>0.28237000207168012</v>
      </c>
      <c r="M74" s="176"/>
      <c r="N74" s="176">
        <f t="shared" si="97"/>
        <v>3.3146882121400455E-2</v>
      </c>
      <c r="O74" s="176"/>
      <c r="P74" s="170"/>
      <c r="Q74" s="541">
        <v>0</v>
      </c>
      <c r="R74" s="541">
        <v>1131</v>
      </c>
      <c r="S74" s="541">
        <v>575</v>
      </c>
      <c r="T74" s="541">
        <v>218</v>
      </c>
      <c r="U74" s="541">
        <v>178</v>
      </c>
      <c r="V74" s="170">
        <f t="shared" si="60"/>
        <v>2102</v>
      </c>
      <c r="W74" s="170">
        <f t="shared" si="105"/>
        <v>2376</v>
      </c>
      <c r="X74" s="541">
        <v>274</v>
      </c>
      <c r="Y74" s="170"/>
      <c r="Z74" s="170"/>
      <c r="AA74" s="170"/>
      <c r="AB74" s="170">
        <f t="shared" si="75"/>
        <v>274</v>
      </c>
      <c r="AC74" s="176"/>
      <c r="AD74" s="176">
        <v>1</v>
      </c>
      <c r="AE74" s="176">
        <f t="shared" si="99"/>
        <v>0.20102714600146734</v>
      </c>
      <c r="AF74" s="176"/>
      <c r="AG74" s="176">
        <f t="shared" ref="AG74:AG99" si="106">+AD74*E74</f>
        <v>0.1</v>
      </c>
      <c r="AH74" s="176">
        <f t="shared" si="101"/>
        <v>2.0102714600146735E-2</v>
      </c>
      <c r="AI74" s="176"/>
      <c r="AJ74" s="194">
        <v>0.43546716386989848</v>
      </c>
      <c r="AK74" s="194">
        <f>+W74/F74</f>
        <v>0.49223119950279676</v>
      </c>
      <c r="AL74" s="176"/>
      <c r="AM74" s="176">
        <f t="shared" si="103"/>
        <v>4.3546716386989849E-2</v>
      </c>
      <c r="AN74" s="194">
        <f t="shared" si="104"/>
        <v>4.9223119950279677E-2</v>
      </c>
      <c r="AO74" s="590" t="s">
        <v>1576</v>
      </c>
      <c r="AP74" s="908" t="s">
        <v>1892</v>
      </c>
      <c r="AQ74" s="908" t="s">
        <v>2267</v>
      </c>
      <c r="AR74" s="908" t="s">
        <v>2288</v>
      </c>
      <c r="AS74" s="908" t="s">
        <v>2402</v>
      </c>
      <c r="AT74" s="985" t="s">
        <v>2436</v>
      </c>
      <c r="AU74" s="908" t="s">
        <v>2493</v>
      </c>
      <c r="AV74" s="644" t="s">
        <v>1865</v>
      </c>
      <c r="AW74" s="157"/>
      <c r="AX74" s="151"/>
      <c r="AY74" s="151"/>
      <c r="AZ74" s="151"/>
      <c r="BA74" s="151"/>
      <c r="BB74" s="151"/>
      <c r="BC74" s="151"/>
      <c r="BD74" s="151"/>
      <c r="BE74" s="151"/>
      <c r="BF74" s="151"/>
      <c r="BG74" s="151"/>
      <c r="BH74" s="151"/>
      <c r="BI74" s="151"/>
      <c r="BJ74" s="151"/>
      <c r="BK74" s="151"/>
      <c r="BL74" s="151"/>
      <c r="BM74" s="151"/>
      <c r="BN74" s="151"/>
      <c r="BO74" s="151"/>
    </row>
    <row r="75" spans="1:67" ht="107.4" customHeight="1" thickBot="1" x14ac:dyDescent="0.4">
      <c r="A75" s="155"/>
      <c r="B75" s="181" t="s">
        <v>741</v>
      </c>
      <c r="C75" s="1482" t="s">
        <v>1442</v>
      </c>
      <c r="D75" s="185" t="s">
        <v>736</v>
      </c>
      <c r="E75" s="174">
        <v>0.2</v>
      </c>
      <c r="F75" s="175">
        <v>400</v>
      </c>
      <c r="G75" s="170">
        <v>0</v>
      </c>
      <c r="H75" s="170">
        <v>150</v>
      </c>
      <c r="I75" s="170">
        <v>109</v>
      </c>
      <c r="J75" s="176"/>
      <c r="K75" s="194">
        <f t="shared" si="95"/>
        <v>0.375</v>
      </c>
      <c r="L75" s="194">
        <f t="shared" si="96"/>
        <v>0.27250000000000002</v>
      </c>
      <c r="M75" s="176"/>
      <c r="N75" s="176">
        <f t="shared" si="97"/>
        <v>7.5000000000000011E-2</v>
      </c>
      <c r="O75" s="176"/>
      <c r="P75" s="170"/>
      <c r="Q75" s="541">
        <v>0</v>
      </c>
      <c r="R75" s="541">
        <v>6</v>
      </c>
      <c r="S75" s="541">
        <v>25</v>
      </c>
      <c r="T75" s="541">
        <v>31</v>
      </c>
      <c r="U75" s="541">
        <v>121</v>
      </c>
      <c r="V75" s="170">
        <f t="shared" si="60"/>
        <v>183</v>
      </c>
      <c r="W75" s="170">
        <f t="shared" si="105"/>
        <v>183</v>
      </c>
      <c r="X75" s="541">
        <v>0</v>
      </c>
      <c r="Y75" s="170"/>
      <c r="Z75" s="170"/>
      <c r="AA75" s="170"/>
      <c r="AB75" s="170">
        <f t="shared" si="75"/>
        <v>0</v>
      </c>
      <c r="AC75" s="176"/>
      <c r="AD75" s="194">
        <v>1</v>
      </c>
      <c r="AE75" s="194">
        <f t="shared" si="99"/>
        <v>0</v>
      </c>
      <c r="AF75" s="194"/>
      <c r="AG75" s="194">
        <f t="shared" si="106"/>
        <v>0.2</v>
      </c>
      <c r="AH75" s="194">
        <f t="shared" si="101"/>
        <v>0</v>
      </c>
      <c r="AI75" s="194"/>
      <c r="AJ75" s="194">
        <v>0.45750000000000002</v>
      </c>
      <c r="AK75" s="194">
        <f t="shared" si="102"/>
        <v>0.45750000000000002</v>
      </c>
      <c r="AL75" s="176"/>
      <c r="AM75" s="176">
        <f t="shared" si="103"/>
        <v>9.1500000000000012E-2</v>
      </c>
      <c r="AN75" s="194">
        <f t="shared" si="104"/>
        <v>9.1500000000000012E-2</v>
      </c>
      <c r="AO75" s="590" t="s">
        <v>1576</v>
      </c>
      <c r="AP75" s="908" t="s">
        <v>1892</v>
      </c>
      <c r="AQ75" s="908" t="s">
        <v>2267</v>
      </c>
      <c r="AR75" s="908" t="s">
        <v>2288</v>
      </c>
      <c r="AS75" s="908" t="s">
        <v>2402</v>
      </c>
      <c r="AT75" s="985" t="s">
        <v>2436</v>
      </c>
      <c r="AU75" s="908" t="s">
        <v>2493</v>
      </c>
      <c r="AV75" s="908" t="s">
        <v>1893</v>
      </c>
      <c r="AW75" s="157"/>
      <c r="AX75" s="151"/>
      <c r="AY75" s="151"/>
      <c r="AZ75" s="151"/>
      <c r="BA75" s="151"/>
      <c r="BB75" s="151"/>
      <c r="BC75" s="151"/>
      <c r="BD75" s="151"/>
      <c r="BE75" s="151"/>
      <c r="BF75" s="151"/>
      <c r="BG75" s="151"/>
      <c r="BH75" s="151"/>
      <c r="BI75" s="151"/>
      <c r="BJ75" s="151"/>
      <c r="BK75" s="151"/>
      <c r="BL75" s="151"/>
      <c r="BM75" s="151"/>
      <c r="BN75" s="151"/>
      <c r="BO75" s="151"/>
    </row>
    <row r="76" spans="1:67" ht="65.400000000000006" customHeight="1" thickBot="1" x14ac:dyDescent="0.4">
      <c r="A76" s="155"/>
      <c r="B76" s="181" t="s">
        <v>742</v>
      </c>
      <c r="C76" s="1482" t="s">
        <v>1443</v>
      </c>
      <c r="D76" s="185" t="s">
        <v>736</v>
      </c>
      <c r="E76" s="174">
        <v>0.05</v>
      </c>
      <c r="F76" s="175">
        <v>8</v>
      </c>
      <c r="G76" s="170">
        <v>0</v>
      </c>
      <c r="H76" s="170">
        <v>3</v>
      </c>
      <c r="I76" s="170">
        <v>2</v>
      </c>
      <c r="J76" s="176"/>
      <c r="K76" s="194">
        <f t="shared" si="95"/>
        <v>0.375</v>
      </c>
      <c r="L76" s="194">
        <f t="shared" si="96"/>
        <v>0.25</v>
      </c>
      <c r="M76" s="176"/>
      <c r="N76" s="176">
        <f>+(H76/F76)*E76</f>
        <v>1.8750000000000003E-2</v>
      </c>
      <c r="O76" s="176"/>
      <c r="P76" s="170"/>
      <c r="Q76" s="541">
        <v>0</v>
      </c>
      <c r="R76" s="541">
        <v>0.85</v>
      </c>
      <c r="S76" s="541">
        <v>2.15</v>
      </c>
      <c r="T76" s="541">
        <v>0</v>
      </c>
      <c r="U76" s="541">
        <v>1</v>
      </c>
      <c r="V76" s="170">
        <f t="shared" si="60"/>
        <v>4</v>
      </c>
      <c r="W76" s="170">
        <f t="shared" si="105"/>
        <v>4</v>
      </c>
      <c r="X76" s="541">
        <v>0</v>
      </c>
      <c r="Y76" s="170"/>
      <c r="Z76" s="170"/>
      <c r="AA76" s="170"/>
      <c r="AB76" s="170">
        <f t="shared" si="75"/>
        <v>0</v>
      </c>
      <c r="AC76" s="176"/>
      <c r="AD76" s="194">
        <v>1</v>
      </c>
      <c r="AE76" s="194">
        <f t="shared" si="99"/>
        <v>0</v>
      </c>
      <c r="AF76" s="194"/>
      <c r="AG76" s="194">
        <f t="shared" si="106"/>
        <v>0.05</v>
      </c>
      <c r="AH76" s="194">
        <f t="shared" si="101"/>
        <v>0</v>
      </c>
      <c r="AI76" s="194"/>
      <c r="AJ76" s="194">
        <v>0.5</v>
      </c>
      <c r="AK76" s="194">
        <f t="shared" si="102"/>
        <v>0.5</v>
      </c>
      <c r="AL76" s="176"/>
      <c r="AM76" s="176">
        <f t="shared" si="103"/>
        <v>2.5000000000000001E-2</v>
      </c>
      <c r="AN76" s="194">
        <f t="shared" si="104"/>
        <v>2.5000000000000001E-2</v>
      </c>
      <c r="AO76" s="590" t="s">
        <v>1576</v>
      </c>
      <c r="AP76" s="908" t="s">
        <v>1892</v>
      </c>
      <c r="AQ76" s="908" t="s">
        <v>2267</v>
      </c>
      <c r="AR76" s="908" t="s">
        <v>2288</v>
      </c>
      <c r="AS76" s="908" t="s">
        <v>2402</v>
      </c>
      <c r="AT76" s="985" t="s">
        <v>2436</v>
      </c>
      <c r="AU76" s="908" t="s">
        <v>2493</v>
      </c>
      <c r="AV76" s="908" t="s">
        <v>1893</v>
      </c>
      <c r="AW76" s="157"/>
      <c r="AX76" s="151"/>
      <c r="AY76" s="151"/>
      <c r="AZ76" s="151"/>
      <c r="BA76" s="151"/>
      <c r="BB76" s="151"/>
      <c r="BC76" s="151"/>
      <c r="BD76" s="151"/>
      <c r="BE76" s="151"/>
      <c r="BF76" s="151"/>
      <c r="BG76" s="151"/>
      <c r="BH76" s="151"/>
      <c r="BI76" s="151"/>
      <c r="BJ76" s="151"/>
      <c r="BK76" s="151"/>
      <c r="BL76" s="151"/>
      <c r="BM76" s="151"/>
      <c r="BN76" s="151"/>
      <c r="BO76" s="151"/>
    </row>
    <row r="77" spans="1:67" ht="75" customHeight="1" thickBot="1" x14ac:dyDescent="0.4">
      <c r="A77" s="155"/>
      <c r="B77" s="181" t="s">
        <v>743</v>
      </c>
      <c r="C77" s="1482" t="s">
        <v>1444</v>
      </c>
      <c r="D77" s="185" t="s">
        <v>736</v>
      </c>
      <c r="E77" s="174">
        <v>0.05</v>
      </c>
      <c r="F77" s="175">
        <v>80</v>
      </c>
      <c r="G77" s="170">
        <v>0</v>
      </c>
      <c r="H77" s="170">
        <v>30</v>
      </c>
      <c r="I77" s="170">
        <v>25</v>
      </c>
      <c r="J77" s="176"/>
      <c r="K77" s="194">
        <f t="shared" si="95"/>
        <v>0.375</v>
      </c>
      <c r="L77" s="194">
        <f t="shared" si="96"/>
        <v>0.3125</v>
      </c>
      <c r="M77" s="176"/>
      <c r="N77" s="176">
        <f t="shared" si="97"/>
        <v>1.8750000000000003E-2</v>
      </c>
      <c r="O77" s="176"/>
      <c r="P77" s="170"/>
      <c r="Q77" s="541">
        <v>0</v>
      </c>
      <c r="R77" s="541">
        <v>0</v>
      </c>
      <c r="S77" s="541">
        <v>0</v>
      </c>
      <c r="T77" s="541">
        <v>0</v>
      </c>
      <c r="U77" s="541">
        <v>30</v>
      </c>
      <c r="V77" s="170">
        <f t="shared" si="60"/>
        <v>30</v>
      </c>
      <c r="W77" s="170">
        <f t="shared" si="105"/>
        <v>30</v>
      </c>
      <c r="X77" s="541">
        <v>0</v>
      </c>
      <c r="Y77" s="170"/>
      <c r="Z77" s="170"/>
      <c r="AA77" s="170"/>
      <c r="AB77" s="170">
        <f t="shared" si="75"/>
        <v>0</v>
      </c>
      <c r="AC77" s="176"/>
      <c r="AD77" s="194">
        <f t="shared" ref="AD77:AD98" si="107">+V77/H77</f>
        <v>1</v>
      </c>
      <c r="AE77" s="194">
        <f t="shared" si="99"/>
        <v>0</v>
      </c>
      <c r="AF77" s="194"/>
      <c r="AG77" s="194">
        <f>+AD77*E77</f>
        <v>0.05</v>
      </c>
      <c r="AH77" s="194">
        <f t="shared" si="101"/>
        <v>0</v>
      </c>
      <c r="AI77" s="194"/>
      <c r="AJ77" s="194">
        <v>0.375</v>
      </c>
      <c r="AK77" s="194">
        <f t="shared" si="102"/>
        <v>0.375</v>
      </c>
      <c r="AL77" s="176"/>
      <c r="AM77" s="176">
        <f t="shared" si="103"/>
        <v>1.8750000000000003E-2</v>
      </c>
      <c r="AN77" s="194">
        <f t="shared" si="104"/>
        <v>1.8750000000000003E-2</v>
      </c>
      <c r="AO77" s="590" t="s">
        <v>1576</v>
      </c>
      <c r="AP77" s="908" t="s">
        <v>1892</v>
      </c>
      <c r="AQ77" s="908" t="s">
        <v>2267</v>
      </c>
      <c r="AR77" s="908" t="s">
        <v>2288</v>
      </c>
      <c r="AS77" s="908" t="s">
        <v>2402</v>
      </c>
      <c r="AT77" s="985" t="s">
        <v>2436</v>
      </c>
      <c r="AU77" s="908" t="s">
        <v>2493</v>
      </c>
      <c r="AV77" s="908" t="s">
        <v>1893</v>
      </c>
      <c r="AW77" s="157"/>
      <c r="AX77" s="151"/>
      <c r="AY77" s="151"/>
      <c r="AZ77" s="151"/>
      <c r="BA77" s="151"/>
      <c r="BB77" s="151"/>
      <c r="BC77" s="151"/>
      <c r="BD77" s="151"/>
      <c r="BE77" s="151"/>
      <c r="BF77" s="151"/>
      <c r="BG77" s="151"/>
      <c r="BH77" s="151"/>
      <c r="BI77" s="151"/>
      <c r="BJ77" s="151"/>
      <c r="BK77" s="151"/>
      <c r="BL77" s="151"/>
      <c r="BM77" s="151"/>
      <c r="BN77" s="151"/>
      <c r="BO77" s="151"/>
    </row>
    <row r="78" spans="1:67" ht="63.6" customHeight="1" thickBot="1" x14ac:dyDescent="0.4">
      <c r="A78" s="155"/>
      <c r="B78" s="181" t="s">
        <v>744</v>
      </c>
      <c r="C78" s="1482" t="s">
        <v>1445</v>
      </c>
      <c r="D78" s="185" t="s">
        <v>745</v>
      </c>
      <c r="E78" s="174">
        <v>0.25</v>
      </c>
      <c r="F78" s="175">
        <v>500</v>
      </c>
      <c r="G78" s="170">
        <v>0</v>
      </c>
      <c r="H78" s="170">
        <v>200</v>
      </c>
      <c r="I78" s="170">
        <v>123</v>
      </c>
      <c r="J78" s="176"/>
      <c r="K78" s="194">
        <f t="shared" si="95"/>
        <v>0.4</v>
      </c>
      <c r="L78" s="194">
        <f t="shared" si="96"/>
        <v>0.246</v>
      </c>
      <c r="M78" s="176"/>
      <c r="N78" s="176">
        <f t="shared" si="97"/>
        <v>0.1</v>
      </c>
      <c r="O78" s="176"/>
      <c r="P78" s="170"/>
      <c r="Q78" s="541">
        <v>0</v>
      </c>
      <c r="R78" s="541">
        <v>0</v>
      </c>
      <c r="S78" s="541">
        <v>0</v>
      </c>
      <c r="T78" s="541">
        <v>0</v>
      </c>
      <c r="U78" s="541">
        <v>254</v>
      </c>
      <c r="V78" s="170">
        <f t="shared" si="60"/>
        <v>254</v>
      </c>
      <c r="W78" s="170">
        <f t="shared" si="105"/>
        <v>254</v>
      </c>
      <c r="X78" s="541">
        <v>0</v>
      </c>
      <c r="Y78" s="170"/>
      <c r="Z78" s="170"/>
      <c r="AA78" s="170"/>
      <c r="AB78" s="170">
        <f t="shared" si="75"/>
        <v>0</v>
      </c>
      <c r="AC78" s="176"/>
      <c r="AD78" s="194">
        <v>1</v>
      </c>
      <c r="AE78" s="194">
        <f t="shared" si="99"/>
        <v>0</v>
      </c>
      <c r="AF78" s="194"/>
      <c r="AG78" s="194">
        <f t="shared" si="106"/>
        <v>0.25</v>
      </c>
      <c r="AH78" s="194">
        <f t="shared" si="101"/>
        <v>0</v>
      </c>
      <c r="AI78" s="194"/>
      <c r="AJ78" s="194">
        <v>0.50800000000000001</v>
      </c>
      <c r="AK78" s="194">
        <f t="shared" si="102"/>
        <v>0.50800000000000001</v>
      </c>
      <c r="AL78" s="176"/>
      <c r="AM78" s="176">
        <f>+AJ78*E78</f>
        <v>0.127</v>
      </c>
      <c r="AN78" s="194">
        <f t="shared" si="104"/>
        <v>0.127</v>
      </c>
      <c r="AO78" s="590" t="s">
        <v>1576</v>
      </c>
      <c r="AP78" s="908" t="s">
        <v>1892</v>
      </c>
      <c r="AQ78" s="908" t="s">
        <v>2267</v>
      </c>
      <c r="AR78" s="908" t="s">
        <v>2288</v>
      </c>
      <c r="AS78" s="908" t="s">
        <v>2402</v>
      </c>
      <c r="AT78" s="985" t="s">
        <v>2436</v>
      </c>
      <c r="AU78" s="908" t="s">
        <v>2493</v>
      </c>
      <c r="AV78" s="908" t="s">
        <v>1893</v>
      </c>
      <c r="AW78" s="157"/>
      <c r="AX78" s="151"/>
      <c r="AY78" s="151"/>
      <c r="AZ78" s="151"/>
      <c r="BA78" s="151"/>
      <c r="BB78" s="151"/>
      <c r="BC78" s="151"/>
      <c r="BD78" s="151"/>
      <c r="BE78" s="151"/>
      <c r="BF78" s="151"/>
      <c r="BG78" s="151"/>
      <c r="BH78" s="151"/>
      <c r="BI78" s="151"/>
      <c r="BJ78" s="151"/>
      <c r="BK78" s="151"/>
      <c r="BL78" s="151"/>
      <c r="BM78" s="151"/>
      <c r="BN78" s="151"/>
      <c r="BO78" s="151"/>
    </row>
    <row r="79" spans="1:67" ht="61.95" customHeight="1" thickBot="1" x14ac:dyDescent="0.4">
      <c r="A79" s="155"/>
      <c r="B79" s="181" t="s">
        <v>746</v>
      </c>
      <c r="C79" s="1482" t="s">
        <v>1446</v>
      </c>
      <c r="D79" s="185" t="s">
        <v>736</v>
      </c>
      <c r="E79" s="174">
        <v>0.05</v>
      </c>
      <c r="F79" s="175">
        <v>2</v>
      </c>
      <c r="G79" s="170">
        <v>0</v>
      </c>
      <c r="H79" s="170">
        <v>1</v>
      </c>
      <c r="I79" s="170">
        <v>1</v>
      </c>
      <c r="J79" s="176"/>
      <c r="K79" s="194">
        <f t="shared" si="95"/>
        <v>0.5</v>
      </c>
      <c r="L79" s="194">
        <f t="shared" si="96"/>
        <v>0.5</v>
      </c>
      <c r="M79" s="176"/>
      <c r="N79" s="176">
        <f t="shared" si="97"/>
        <v>2.5000000000000001E-2</v>
      </c>
      <c r="O79" s="176"/>
      <c r="P79" s="170"/>
      <c r="Q79" s="541">
        <v>0</v>
      </c>
      <c r="R79" s="541">
        <v>0</v>
      </c>
      <c r="S79" s="541">
        <v>0</v>
      </c>
      <c r="T79" s="541">
        <v>0</v>
      </c>
      <c r="U79" s="541">
        <v>1</v>
      </c>
      <c r="V79" s="170">
        <f t="shared" si="60"/>
        <v>1</v>
      </c>
      <c r="W79" s="170">
        <f t="shared" si="105"/>
        <v>1</v>
      </c>
      <c r="X79" s="541">
        <v>0</v>
      </c>
      <c r="Y79" s="170"/>
      <c r="Z79" s="170"/>
      <c r="AA79" s="170"/>
      <c r="AB79" s="170">
        <f t="shared" si="75"/>
        <v>0</v>
      </c>
      <c r="AC79" s="176"/>
      <c r="AD79" s="194">
        <f t="shared" si="107"/>
        <v>1</v>
      </c>
      <c r="AE79" s="194">
        <f t="shared" si="99"/>
        <v>0</v>
      </c>
      <c r="AF79" s="194"/>
      <c r="AG79" s="194">
        <f t="shared" si="106"/>
        <v>0.05</v>
      </c>
      <c r="AH79" s="194">
        <f t="shared" si="101"/>
        <v>0</v>
      </c>
      <c r="AI79" s="194"/>
      <c r="AJ79" s="194">
        <v>0.5</v>
      </c>
      <c r="AK79" s="194">
        <f t="shared" si="102"/>
        <v>0.5</v>
      </c>
      <c r="AL79" s="176"/>
      <c r="AM79" s="176">
        <f t="shared" si="103"/>
        <v>2.5000000000000001E-2</v>
      </c>
      <c r="AN79" s="194">
        <f t="shared" si="104"/>
        <v>2.5000000000000001E-2</v>
      </c>
      <c r="AO79" s="590" t="s">
        <v>1576</v>
      </c>
      <c r="AP79" s="908" t="s">
        <v>1892</v>
      </c>
      <c r="AQ79" s="908" t="s">
        <v>2267</v>
      </c>
      <c r="AR79" s="908" t="s">
        <v>2288</v>
      </c>
      <c r="AS79" s="908" t="s">
        <v>2402</v>
      </c>
      <c r="AT79" s="985" t="s">
        <v>2436</v>
      </c>
      <c r="AU79" s="908" t="s">
        <v>2493</v>
      </c>
      <c r="AV79" s="908" t="s">
        <v>1893</v>
      </c>
      <c r="AW79" s="157"/>
      <c r="AX79" s="151"/>
      <c r="AY79" s="151"/>
      <c r="AZ79" s="151"/>
      <c r="BA79" s="151"/>
      <c r="BB79" s="151"/>
      <c r="BC79" s="151"/>
      <c r="BD79" s="151"/>
      <c r="BE79" s="151"/>
      <c r="BF79" s="151"/>
      <c r="BG79" s="151"/>
      <c r="BH79" s="151"/>
      <c r="BI79" s="151"/>
      <c r="BJ79" s="151"/>
      <c r="BK79" s="151"/>
      <c r="BL79" s="151"/>
      <c r="BM79" s="151"/>
      <c r="BN79" s="151"/>
      <c r="BO79" s="151"/>
    </row>
    <row r="80" spans="1:67" ht="42" customHeight="1" thickBot="1" x14ac:dyDescent="0.4">
      <c r="A80" s="155"/>
      <c r="B80" s="790" t="s">
        <v>747</v>
      </c>
      <c r="C80" s="794" t="s">
        <v>1447</v>
      </c>
      <c r="D80" s="185" t="s">
        <v>736</v>
      </c>
      <c r="E80" s="174">
        <v>0.11</v>
      </c>
      <c r="F80" s="175">
        <v>4</v>
      </c>
      <c r="G80" s="170">
        <v>0</v>
      </c>
      <c r="H80" s="170">
        <v>2</v>
      </c>
      <c r="I80" s="170">
        <v>2</v>
      </c>
      <c r="J80" s="176"/>
      <c r="K80" s="194">
        <f t="shared" si="95"/>
        <v>0.5</v>
      </c>
      <c r="L80" s="194">
        <f t="shared" si="96"/>
        <v>0.5</v>
      </c>
      <c r="M80" s="176"/>
      <c r="N80" s="176">
        <f t="shared" si="97"/>
        <v>5.5E-2</v>
      </c>
      <c r="O80" s="176"/>
      <c r="P80" s="170"/>
      <c r="Q80" s="541">
        <v>0</v>
      </c>
      <c r="R80" s="541">
        <v>0</v>
      </c>
      <c r="S80" s="541">
        <v>0</v>
      </c>
      <c r="T80" s="541">
        <v>0</v>
      </c>
      <c r="U80" s="541">
        <v>0</v>
      </c>
      <c r="V80" s="170">
        <f t="shared" si="60"/>
        <v>0</v>
      </c>
      <c r="W80" s="170">
        <f t="shared" si="105"/>
        <v>2</v>
      </c>
      <c r="X80" s="541">
        <v>2</v>
      </c>
      <c r="Y80" s="170"/>
      <c r="Z80" s="170"/>
      <c r="AA80" s="170"/>
      <c r="AB80" s="170">
        <f t="shared" si="75"/>
        <v>2</v>
      </c>
      <c r="AC80" s="176"/>
      <c r="AD80" s="194">
        <f t="shared" si="107"/>
        <v>0</v>
      </c>
      <c r="AE80" s="194">
        <f t="shared" si="99"/>
        <v>1</v>
      </c>
      <c r="AF80" s="194"/>
      <c r="AG80" s="194">
        <f>+AD80*E80</f>
        <v>0</v>
      </c>
      <c r="AH80" s="194">
        <f t="shared" si="101"/>
        <v>0.11</v>
      </c>
      <c r="AI80" s="194"/>
      <c r="AJ80" s="194">
        <v>0</v>
      </c>
      <c r="AK80" s="194">
        <f t="shared" si="102"/>
        <v>0.5</v>
      </c>
      <c r="AL80" s="176"/>
      <c r="AM80" s="176">
        <f t="shared" si="103"/>
        <v>0</v>
      </c>
      <c r="AN80" s="194">
        <f t="shared" si="104"/>
        <v>5.5E-2</v>
      </c>
      <c r="AO80" s="590" t="s">
        <v>1576</v>
      </c>
      <c r="AP80" s="908" t="s">
        <v>1892</v>
      </c>
      <c r="AQ80" s="908" t="s">
        <v>2267</v>
      </c>
      <c r="AR80" s="908" t="s">
        <v>2288</v>
      </c>
      <c r="AS80" s="908" t="s">
        <v>2402</v>
      </c>
      <c r="AT80" s="985" t="s">
        <v>2436</v>
      </c>
      <c r="AU80" s="908" t="s">
        <v>2493</v>
      </c>
      <c r="AV80" s="644" t="s">
        <v>1865</v>
      </c>
      <c r="AW80" s="157"/>
      <c r="AX80" s="151"/>
      <c r="AY80" s="151"/>
      <c r="AZ80" s="151"/>
      <c r="BA80" s="151"/>
      <c r="BB80" s="151"/>
      <c r="BC80" s="151"/>
      <c r="BD80" s="151"/>
      <c r="BE80" s="151"/>
      <c r="BF80" s="151"/>
      <c r="BG80" s="151"/>
      <c r="BH80" s="151"/>
      <c r="BI80" s="151"/>
      <c r="BJ80" s="151"/>
      <c r="BK80" s="151"/>
      <c r="BL80" s="151"/>
      <c r="BM80" s="151"/>
      <c r="BN80" s="151"/>
      <c r="BO80" s="151"/>
    </row>
    <row r="81" spans="1:67" ht="61.95" customHeight="1" thickBot="1" x14ac:dyDescent="0.4">
      <c r="A81" s="155"/>
      <c r="B81" s="181" t="s">
        <v>748</v>
      </c>
      <c r="C81" s="1482" t="s">
        <v>1448</v>
      </c>
      <c r="D81" s="185" t="s">
        <v>736</v>
      </c>
      <c r="E81" s="174">
        <v>0.02</v>
      </c>
      <c r="F81" s="175">
        <v>2</v>
      </c>
      <c r="G81" s="170">
        <v>0</v>
      </c>
      <c r="H81" s="170">
        <v>1</v>
      </c>
      <c r="I81" s="170">
        <v>1</v>
      </c>
      <c r="J81" s="176"/>
      <c r="K81" s="194">
        <f t="shared" si="95"/>
        <v>0.5</v>
      </c>
      <c r="L81" s="194">
        <f t="shared" si="96"/>
        <v>0.5</v>
      </c>
      <c r="M81" s="176"/>
      <c r="N81" s="176">
        <f t="shared" si="97"/>
        <v>0.01</v>
      </c>
      <c r="O81" s="176"/>
      <c r="P81" s="170"/>
      <c r="Q81" s="541">
        <v>0</v>
      </c>
      <c r="R81" s="541">
        <v>0</v>
      </c>
      <c r="S81" s="541">
        <v>0</v>
      </c>
      <c r="T81" s="541">
        <v>0</v>
      </c>
      <c r="U81" s="541">
        <v>0</v>
      </c>
      <c r="V81" s="170">
        <f t="shared" si="60"/>
        <v>0</v>
      </c>
      <c r="W81" s="170">
        <f t="shared" si="105"/>
        <v>0</v>
      </c>
      <c r="X81" s="541">
        <v>0</v>
      </c>
      <c r="Y81" s="170"/>
      <c r="Z81" s="170"/>
      <c r="AA81" s="170"/>
      <c r="AB81" s="170">
        <f t="shared" si="75"/>
        <v>0</v>
      </c>
      <c r="AC81" s="176"/>
      <c r="AD81" s="194">
        <f t="shared" si="107"/>
        <v>0</v>
      </c>
      <c r="AE81" s="194">
        <f t="shared" si="99"/>
        <v>0</v>
      </c>
      <c r="AF81" s="194"/>
      <c r="AG81" s="194">
        <f t="shared" si="106"/>
        <v>0</v>
      </c>
      <c r="AH81" s="194">
        <f t="shared" si="101"/>
        <v>0</v>
      </c>
      <c r="AI81" s="194"/>
      <c r="AJ81" s="194">
        <v>0</v>
      </c>
      <c r="AK81" s="194">
        <f t="shared" si="102"/>
        <v>0</v>
      </c>
      <c r="AL81" s="176"/>
      <c r="AM81" s="176">
        <f t="shared" si="103"/>
        <v>0</v>
      </c>
      <c r="AN81" s="194">
        <f t="shared" si="104"/>
        <v>0</v>
      </c>
      <c r="AO81" s="590" t="s">
        <v>1576</v>
      </c>
      <c r="AP81" s="908" t="s">
        <v>1892</v>
      </c>
      <c r="AQ81" s="908" t="s">
        <v>2267</v>
      </c>
      <c r="AR81" s="908" t="s">
        <v>2288</v>
      </c>
      <c r="AS81" s="908" t="s">
        <v>2402</v>
      </c>
      <c r="AT81" s="985" t="s">
        <v>2436</v>
      </c>
      <c r="AU81" s="908" t="s">
        <v>2493</v>
      </c>
      <c r="AV81" s="908" t="s">
        <v>1893</v>
      </c>
      <c r="AW81" s="157"/>
      <c r="AX81" s="151"/>
      <c r="AY81" s="151"/>
      <c r="AZ81" s="151"/>
      <c r="BA81" s="151"/>
      <c r="BB81" s="151"/>
      <c r="BC81" s="151"/>
      <c r="BD81" s="151"/>
      <c r="BE81" s="151"/>
      <c r="BF81" s="151"/>
      <c r="BG81" s="151"/>
      <c r="BH81" s="151"/>
      <c r="BI81" s="151"/>
      <c r="BJ81" s="151"/>
      <c r="BK81" s="151"/>
      <c r="BL81" s="151"/>
      <c r="BM81" s="151"/>
      <c r="BN81" s="151"/>
      <c r="BO81" s="151"/>
    </row>
    <row r="82" spans="1:67" ht="45.6" customHeight="1" thickBot="1" x14ac:dyDescent="0.4">
      <c r="A82" s="155"/>
      <c r="B82" s="181" t="s">
        <v>749</v>
      </c>
      <c r="C82" s="1482" t="s">
        <v>1449</v>
      </c>
      <c r="D82" s="185" t="s">
        <v>736</v>
      </c>
      <c r="E82" s="174">
        <v>0.02</v>
      </c>
      <c r="F82" s="175">
        <v>1</v>
      </c>
      <c r="G82" s="170">
        <v>0</v>
      </c>
      <c r="H82" s="170">
        <v>1</v>
      </c>
      <c r="I82" s="170">
        <v>1</v>
      </c>
      <c r="J82" s="176"/>
      <c r="K82" s="194">
        <f t="shared" si="95"/>
        <v>1</v>
      </c>
      <c r="L82" s="194"/>
      <c r="M82" s="176"/>
      <c r="N82" s="176">
        <f t="shared" si="97"/>
        <v>0.02</v>
      </c>
      <c r="O82" s="176"/>
      <c r="P82" s="170"/>
      <c r="Q82" s="541">
        <v>0</v>
      </c>
      <c r="R82" s="541">
        <v>0</v>
      </c>
      <c r="S82" s="541">
        <v>0</v>
      </c>
      <c r="T82" s="541">
        <v>0</v>
      </c>
      <c r="U82" s="541">
        <v>1</v>
      </c>
      <c r="V82" s="170">
        <f t="shared" si="60"/>
        <v>1</v>
      </c>
      <c r="W82" s="170">
        <f t="shared" si="105"/>
        <v>1</v>
      </c>
      <c r="X82" s="541">
        <v>0</v>
      </c>
      <c r="Y82" s="170"/>
      <c r="Z82" s="170"/>
      <c r="AA82" s="170"/>
      <c r="AB82" s="170">
        <f t="shared" si="75"/>
        <v>0</v>
      </c>
      <c r="AC82" s="176"/>
      <c r="AD82" s="194">
        <f t="shared" si="107"/>
        <v>1</v>
      </c>
      <c r="AE82" s="194">
        <f t="shared" si="99"/>
        <v>0</v>
      </c>
      <c r="AF82" s="194"/>
      <c r="AG82" s="194">
        <f t="shared" si="106"/>
        <v>0.02</v>
      </c>
      <c r="AH82" s="194">
        <f t="shared" si="101"/>
        <v>0</v>
      </c>
      <c r="AI82" s="194"/>
      <c r="AJ82" s="194">
        <v>1</v>
      </c>
      <c r="AK82" s="194">
        <f t="shared" si="102"/>
        <v>1</v>
      </c>
      <c r="AL82" s="176"/>
      <c r="AM82" s="176">
        <f t="shared" si="103"/>
        <v>0.02</v>
      </c>
      <c r="AN82" s="194">
        <f t="shared" si="104"/>
        <v>0.02</v>
      </c>
      <c r="AO82" s="590" t="s">
        <v>1576</v>
      </c>
      <c r="AP82" s="908" t="s">
        <v>1892</v>
      </c>
      <c r="AQ82" s="908" t="s">
        <v>2267</v>
      </c>
      <c r="AR82" s="908" t="s">
        <v>2288</v>
      </c>
      <c r="AS82" s="908" t="s">
        <v>2402</v>
      </c>
      <c r="AT82" s="985" t="s">
        <v>2436</v>
      </c>
      <c r="AU82" s="908" t="s">
        <v>2493</v>
      </c>
      <c r="AV82" s="908" t="s">
        <v>1893</v>
      </c>
      <c r="AW82" s="157"/>
      <c r="AX82" s="151"/>
      <c r="AY82" s="151"/>
      <c r="AZ82" s="151"/>
      <c r="BA82" s="151"/>
      <c r="BB82" s="151"/>
      <c r="BC82" s="151"/>
      <c r="BD82" s="151"/>
      <c r="BE82" s="151"/>
      <c r="BF82" s="151"/>
      <c r="BG82" s="151"/>
      <c r="BH82" s="151"/>
      <c r="BI82" s="151"/>
      <c r="BJ82" s="151"/>
      <c r="BK82" s="151"/>
      <c r="BL82" s="151"/>
      <c r="BM82" s="151"/>
      <c r="BN82" s="151"/>
      <c r="BO82" s="151"/>
    </row>
    <row r="83" spans="1:67" ht="45.6" customHeight="1" thickBot="1" x14ac:dyDescent="0.4">
      <c r="A83" s="155"/>
      <c r="B83" s="181" t="s">
        <v>750</v>
      </c>
      <c r="C83" s="1482" t="s">
        <v>1450</v>
      </c>
      <c r="D83" s="185" t="s">
        <v>736</v>
      </c>
      <c r="E83" s="174">
        <v>0.02</v>
      </c>
      <c r="F83" s="175">
        <v>1</v>
      </c>
      <c r="G83" s="170">
        <v>0</v>
      </c>
      <c r="H83" s="170">
        <v>1</v>
      </c>
      <c r="I83" s="170">
        <v>1</v>
      </c>
      <c r="J83" s="176"/>
      <c r="K83" s="194">
        <f t="shared" si="95"/>
        <v>1</v>
      </c>
      <c r="L83" s="194"/>
      <c r="M83" s="176"/>
      <c r="N83" s="176">
        <f t="shared" si="97"/>
        <v>0.02</v>
      </c>
      <c r="O83" s="176"/>
      <c r="P83" s="170"/>
      <c r="Q83" s="541">
        <v>0</v>
      </c>
      <c r="R83" s="541">
        <v>0</v>
      </c>
      <c r="S83" s="541">
        <v>0</v>
      </c>
      <c r="T83" s="541">
        <v>0</v>
      </c>
      <c r="U83" s="541">
        <v>1</v>
      </c>
      <c r="V83" s="170">
        <f t="shared" si="60"/>
        <v>1</v>
      </c>
      <c r="W83" s="170">
        <f t="shared" si="105"/>
        <v>1</v>
      </c>
      <c r="X83" s="541">
        <v>0</v>
      </c>
      <c r="Y83" s="170"/>
      <c r="Z83" s="170"/>
      <c r="AA83" s="170"/>
      <c r="AB83" s="170">
        <f t="shared" si="75"/>
        <v>0</v>
      </c>
      <c r="AC83" s="176"/>
      <c r="AD83" s="194">
        <f t="shared" si="107"/>
        <v>1</v>
      </c>
      <c r="AE83" s="194">
        <f t="shared" si="99"/>
        <v>0</v>
      </c>
      <c r="AF83" s="194"/>
      <c r="AG83" s="194">
        <f>+AD83*E83</f>
        <v>0.02</v>
      </c>
      <c r="AH83" s="194">
        <f t="shared" si="101"/>
        <v>0</v>
      </c>
      <c r="AI83" s="194"/>
      <c r="AJ83" s="194">
        <v>1</v>
      </c>
      <c r="AK83" s="194">
        <f t="shared" si="102"/>
        <v>1</v>
      </c>
      <c r="AL83" s="176"/>
      <c r="AM83" s="176">
        <f t="shared" si="103"/>
        <v>0.02</v>
      </c>
      <c r="AN83" s="194">
        <f t="shared" si="104"/>
        <v>0.02</v>
      </c>
      <c r="AO83" s="590" t="s">
        <v>1576</v>
      </c>
      <c r="AP83" s="908" t="s">
        <v>1892</v>
      </c>
      <c r="AQ83" s="908" t="s">
        <v>2267</v>
      </c>
      <c r="AR83" s="908" t="s">
        <v>2288</v>
      </c>
      <c r="AS83" s="908" t="s">
        <v>2402</v>
      </c>
      <c r="AT83" s="985" t="s">
        <v>2436</v>
      </c>
      <c r="AU83" s="908" t="s">
        <v>2493</v>
      </c>
      <c r="AV83" s="908" t="s">
        <v>1893</v>
      </c>
      <c r="AW83" s="157"/>
      <c r="AX83" s="151"/>
      <c r="AY83" s="151"/>
      <c r="AZ83" s="151"/>
      <c r="BA83" s="151"/>
      <c r="BB83" s="151"/>
      <c r="BC83" s="151"/>
      <c r="BD83" s="151"/>
      <c r="BE83" s="151"/>
      <c r="BF83" s="151"/>
      <c r="BG83" s="151"/>
      <c r="BH83" s="151"/>
      <c r="BI83" s="151"/>
      <c r="BJ83" s="151"/>
      <c r="BK83" s="151"/>
      <c r="BL83" s="151"/>
      <c r="BM83" s="151"/>
      <c r="BN83" s="151"/>
      <c r="BO83" s="151"/>
    </row>
    <row r="84" spans="1:67" ht="54.6" thickBot="1" x14ac:dyDescent="0.4">
      <c r="A84" s="155"/>
      <c r="B84" s="181" t="s">
        <v>751</v>
      </c>
      <c r="C84" s="1482" t="s">
        <v>1451</v>
      </c>
      <c r="D84" s="185" t="s">
        <v>736</v>
      </c>
      <c r="E84" s="174">
        <v>0.05</v>
      </c>
      <c r="F84" s="175">
        <v>5</v>
      </c>
      <c r="G84" s="170">
        <v>0</v>
      </c>
      <c r="H84" s="170">
        <v>3</v>
      </c>
      <c r="I84" s="170">
        <v>2</v>
      </c>
      <c r="J84" s="176"/>
      <c r="K84" s="194">
        <f t="shared" si="95"/>
        <v>0.6</v>
      </c>
      <c r="L84" s="194">
        <f t="shared" si="96"/>
        <v>0.4</v>
      </c>
      <c r="M84" s="176"/>
      <c r="N84" s="176">
        <f t="shared" si="97"/>
        <v>0.03</v>
      </c>
      <c r="O84" s="176"/>
      <c r="P84" s="170"/>
      <c r="Q84" s="541">
        <v>0</v>
      </c>
      <c r="R84" s="541">
        <v>1</v>
      </c>
      <c r="S84" s="541">
        <v>1</v>
      </c>
      <c r="T84" s="541">
        <v>0</v>
      </c>
      <c r="U84" s="541">
        <v>0</v>
      </c>
      <c r="V84" s="170">
        <f t="shared" si="60"/>
        <v>2</v>
      </c>
      <c r="W84" s="170">
        <f t="shared" si="105"/>
        <v>2</v>
      </c>
      <c r="X84" s="541">
        <v>0</v>
      </c>
      <c r="Y84" s="170"/>
      <c r="Z84" s="170"/>
      <c r="AA84" s="170"/>
      <c r="AB84" s="170">
        <f t="shared" si="75"/>
        <v>0</v>
      </c>
      <c r="AC84" s="176"/>
      <c r="AD84" s="194">
        <f>+V84/H84</f>
        <v>0.66666666666666663</v>
      </c>
      <c r="AE84" s="194">
        <f t="shared" si="99"/>
        <v>0</v>
      </c>
      <c r="AF84" s="194"/>
      <c r="AG84" s="194">
        <f>+AD84*E84</f>
        <v>3.3333333333333333E-2</v>
      </c>
      <c r="AH84" s="194">
        <f t="shared" si="101"/>
        <v>0</v>
      </c>
      <c r="AI84" s="194"/>
      <c r="AJ84" s="194">
        <v>0.4</v>
      </c>
      <c r="AK84" s="194">
        <f t="shared" si="102"/>
        <v>0.4</v>
      </c>
      <c r="AL84" s="176"/>
      <c r="AM84" s="176">
        <f t="shared" si="103"/>
        <v>2.0000000000000004E-2</v>
      </c>
      <c r="AN84" s="194">
        <f t="shared" si="104"/>
        <v>2.0000000000000004E-2</v>
      </c>
      <c r="AO84" s="590" t="s">
        <v>1576</v>
      </c>
      <c r="AP84" s="908" t="s">
        <v>1892</v>
      </c>
      <c r="AQ84" s="908" t="s">
        <v>2267</v>
      </c>
      <c r="AR84" s="908" t="s">
        <v>2288</v>
      </c>
      <c r="AS84" s="908" t="s">
        <v>2402</v>
      </c>
      <c r="AT84" s="985" t="s">
        <v>2436</v>
      </c>
      <c r="AU84" s="908" t="s">
        <v>2493</v>
      </c>
      <c r="AV84" s="908" t="s">
        <v>1893</v>
      </c>
      <c r="AW84" s="157"/>
      <c r="AX84" s="151"/>
      <c r="AY84" s="151"/>
      <c r="AZ84" s="151"/>
      <c r="BA84" s="151"/>
      <c r="BB84" s="151"/>
      <c r="BC84" s="151"/>
      <c r="BD84" s="151"/>
      <c r="BE84" s="151"/>
      <c r="BF84" s="151"/>
      <c r="BG84" s="151"/>
      <c r="BH84" s="151"/>
      <c r="BI84" s="151"/>
      <c r="BJ84" s="151"/>
      <c r="BK84" s="151"/>
      <c r="BL84" s="151"/>
      <c r="BM84" s="151"/>
      <c r="BN84" s="151"/>
      <c r="BO84" s="151"/>
    </row>
    <row r="85" spans="1:67" ht="51" customHeight="1" thickBot="1" x14ac:dyDescent="0.4">
      <c r="A85" s="155"/>
      <c r="B85" s="181" t="s">
        <v>752</v>
      </c>
      <c r="C85" s="1482" t="s">
        <v>1452</v>
      </c>
      <c r="D85" s="185" t="s">
        <v>736</v>
      </c>
      <c r="E85" s="174">
        <v>0.08</v>
      </c>
      <c r="F85" s="175">
        <v>8</v>
      </c>
      <c r="G85" s="170">
        <v>0</v>
      </c>
      <c r="H85" s="170">
        <v>4</v>
      </c>
      <c r="I85" s="170">
        <v>3</v>
      </c>
      <c r="J85" s="176"/>
      <c r="K85" s="194">
        <f t="shared" si="95"/>
        <v>0.5</v>
      </c>
      <c r="L85" s="194">
        <f t="shared" si="96"/>
        <v>0.375</v>
      </c>
      <c r="M85" s="176"/>
      <c r="N85" s="176">
        <f t="shared" si="97"/>
        <v>0.04</v>
      </c>
      <c r="O85" s="176"/>
      <c r="P85" s="170"/>
      <c r="Q85" s="541">
        <v>0</v>
      </c>
      <c r="R85" s="541">
        <v>0</v>
      </c>
      <c r="S85" s="541">
        <v>1</v>
      </c>
      <c r="T85" s="541">
        <v>2</v>
      </c>
      <c r="U85" s="541">
        <v>0</v>
      </c>
      <c r="V85" s="170">
        <f t="shared" si="60"/>
        <v>3</v>
      </c>
      <c r="W85" s="170">
        <f t="shared" si="105"/>
        <v>3</v>
      </c>
      <c r="X85" s="541">
        <v>0</v>
      </c>
      <c r="Y85" s="170"/>
      <c r="Z85" s="170"/>
      <c r="AA85" s="170"/>
      <c r="AB85" s="170">
        <f t="shared" si="75"/>
        <v>0</v>
      </c>
      <c r="AC85" s="176"/>
      <c r="AD85" s="194">
        <f t="shared" si="107"/>
        <v>0.75</v>
      </c>
      <c r="AE85" s="194">
        <f t="shared" si="99"/>
        <v>0</v>
      </c>
      <c r="AF85" s="194"/>
      <c r="AG85" s="194">
        <f t="shared" si="106"/>
        <v>0.06</v>
      </c>
      <c r="AH85" s="194">
        <f t="shared" si="101"/>
        <v>0</v>
      </c>
      <c r="AI85" s="194"/>
      <c r="AJ85" s="194">
        <v>0.375</v>
      </c>
      <c r="AK85" s="194">
        <f t="shared" si="102"/>
        <v>0.375</v>
      </c>
      <c r="AL85" s="176"/>
      <c r="AM85" s="176">
        <f t="shared" si="103"/>
        <v>0.03</v>
      </c>
      <c r="AN85" s="194">
        <f t="shared" si="104"/>
        <v>0.03</v>
      </c>
      <c r="AO85" s="590" t="s">
        <v>1576</v>
      </c>
      <c r="AP85" s="908" t="s">
        <v>1892</v>
      </c>
      <c r="AQ85" s="908" t="s">
        <v>2267</v>
      </c>
      <c r="AR85" s="908" t="s">
        <v>2288</v>
      </c>
      <c r="AS85" s="908" t="s">
        <v>2402</v>
      </c>
      <c r="AT85" s="985" t="s">
        <v>2436</v>
      </c>
      <c r="AU85" s="908" t="s">
        <v>2493</v>
      </c>
      <c r="AV85" s="908" t="s">
        <v>1893</v>
      </c>
      <c r="AW85" s="157"/>
      <c r="AX85" s="151"/>
      <c r="AY85" s="151"/>
      <c r="AZ85" s="151"/>
      <c r="BA85" s="151"/>
      <c r="BB85" s="151"/>
      <c r="BC85" s="151"/>
      <c r="BD85" s="151"/>
      <c r="BE85" s="151"/>
      <c r="BF85" s="151"/>
      <c r="BG85" s="151"/>
      <c r="BH85" s="151"/>
      <c r="BI85" s="151"/>
      <c r="BJ85" s="151"/>
      <c r="BK85" s="151"/>
      <c r="BL85" s="151"/>
      <c r="BM85" s="151"/>
      <c r="BN85" s="151"/>
      <c r="BO85" s="151"/>
    </row>
    <row r="86" spans="1:67" ht="28.5" customHeight="1" thickBot="1" x14ac:dyDescent="0.4">
      <c r="A86" s="155"/>
      <c r="B86" s="1557" t="s">
        <v>1798</v>
      </c>
      <c r="C86" s="1558"/>
      <c r="D86" s="185"/>
      <c r="E86" s="166">
        <v>0.1</v>
      </c>
      <c r="F86" s="187"/>
      <c r="G86" s="163"/>
      <c r="H86" s="163"/>
      <c r="I86" s="163"/>
      <c r="J86" s="169">
        <f>+AVERAGE(J87:J90)</f>
        <v>0.23749999999999999</v>
      </c>
      <c r="K86" s="169">
        <f>+AVERAGE(K87:K90)</f>
        <v>0.23749999999999999</v>
      </c>
      <c r="L86" s="169">
        <f>+AVERAGE(L87:L90)</f>
        <v>0.25</v>
      </c>
      <c r="M86" s="169">
        <f>+M87+M88+M89+M90</f>
        <v>0.23749999999999999</v>
      </c>
      <c r="N86" s="169">
        <f>+N87+N88+N89+N90</f>
        <v>0.23749999999999999</v>
      </c>
      <c r="O86" s="169"/>
      <c r="P86" s="168"/>
      <c r="Q86" s="168"/>
      <c r="R86" s="168"/>
      <c r="S86" s="168"/>
      <c r="T86" s="168"/>
      <c r="U86" s="984"/>
      <c r="V86" s="170"/>
      <c r="W86" s="170"/>
      <c r="X86" s="168"/>
      <c r="Y86" s="168"/>
      <c r="Z86" s="168"/>
      <c r="AA86" s="168"/>
      <c r="AB86" s="170"/>
      <c r="AC86" s="192">
        <f>+AVERAGE(AC87:AC90)</f>
        <v>1</v>
      </c>
      <c r="AD86" s="192">
        <f>+AVERAGE(AD87:AD90)</f>
        <v>1</v>
      </c>
      <c r="AE86" s="192">
        <f>+AVERAGE(AE87:AE90)</f>
        <v>0.13333333333333333</v>
      </c>
      <c r="AF86" s="192">
        <f>+(AF87+AF88+AF89+AF90)*E86</f>
        <v>0.1</v>
      </c>
      <c r="AG86" s="192">
        <f>+(AG87+AG88+AG89+AG90)*E86</f>
        <v>0.1</v>
      </c>
      <c r="AH86" s="192">
        <f>+(AH87+AH88+AH89+AH90)*E86</f>
        <v>2.4E-2</v>
      </c>
      <c r="AI86" s="169">
        <f>+AVERAGE(AI87:AI90)</f>
        <v>0.51249999999999996</v>
      </c>
      <c r="AJ86" s="169">
        <v>0.69166666666666665</v>
      </c>
      <c r="AK86" s="169">
        <f>+AVERAGE(AK87:AK90)</f>
        <v>0.78749999999999998</v>
      </c>
      <c r="AL86" s="169">
        <f>+(AL87+AL88+AL89+AL90)*E86</f>
        <v>4.3750000000000004E-2</v>
      </c>
      <c r="AM86" s="169">
        <f>+(AM87+AM88+AM89+AM90)</f>
        <v>0.63250000000000006</v>
      </c>
      <c r="AN86" s="169">
        <f>+(AN87+AN88+AN89+AN90)</f>
        <v>0.74250000000000005</v>
      </c>
      <c r="AO86" s="590"/>
      <c r="AP86" s="163"/>
      <c r="AQ86" s="163"/>
      <c r="AR86" s="163"/>
      <c r="AS86" s="163"/>
      <c r="AT86" s="609"/>
      <c r="AU86" s="163"/>
      <c r="AV86" s="163"/>
      <c r="AW86" s="157"/>
      <c r="AX86" s="151"/>
      <c r="AY86" s="151"/>
      <c r="AZ86" s="151"/>
      <c r="BA86" s="151"/>
      <c r="BB86" s="151"/>
      <c r="BC86" s="151"/>
      <c r="BD86" s="151"/>
      <c r="BE86" s="151"/>
      <c r="BF86" s="151"/>
      <c r="BG86" s="151"/>
      <c r="BH86" s="151"/>
      <c r="BI86" s="151"/>
      <c r="BJ86" s="151"/>
      <c r="BK86" s="151"/>
      <c r="BL86" s="151"/>
      <c r="BM86" s="151"/>
      <c r="BN86" s="151"/>
      <c r="BO86" s="151"/>
    </row>
    <row r="87" spans="1:67" ht="111" customHeight="1" thickBot="1" x14ac:dyDescent="0.4">
      <c r="A87" s="155"/>
      <c r="B87" s="790" t="s">
        <v>753</v>
      </c>
      <c r="C87" s="794" t="s">
        <v>1453</v>
      </c>
      <c r="D87" s="185" t="s">
        <v>754</v>
      </c>
      <c r="E87" s="174">
        <v>0.2</v>
      </c>
      <c r="F87" s="175">
        <v>4</v>
      </c>
      <c r="G87" s="170">
        <v>1</v>
      </c>
      <c r="H87" s="170">
        <v>1</v>
      </c>
      <c r="I87" s="170">
        <v>1</v>
      </c>
      <c r="J87" s="176">
        <f>+G87/F87</f>
        <v>0.25</v>
      </c>
      <c r="K87" s="176">
        <f t="shared" si="95"/>
        <v>0.25</v>
      </c>
      <c r="L87" s="176">
        <f t="shared" si="96"/>
        <v>0.25</v>
      </c>
      <c r="M87" s="176">
        <f>+(G87/F87)*E87</f>
        <v>0.05</v>
      </c>
      <c r="N87" s="176">
        <f t="shared" si="97"/>
        <v>0.05</v>
      </c>
      <c r="O87" s="176"/>
      <c r="P87" s="170">
        <v>1</v>
      </c>
      <c r="Q87" s="541">
        <v>0</v>
      </c>
      <c r="R87" s="541">
        <v>0</v>
      </c>
      <c r="S87" s="541">
        <v>0</v>
      </c>
      <c r="T87" s="541">
        <v>0</v>
      </c>
      <c r="U87" s="541">
        <v>1</v>
      </c>
      <c r="V87" s="170">
        <f t="shared" si="60"/>
        <v>1</v>
      </c>
      <c r="W87" s="170">
        <f t="shared" si="105"/>
        <v>2</v>
      </c>
      <c r="X87" s="541">
        <v>0</v>
      </c>
      <c r="Y87" s="170"/>
      <c r="Z87" s="170"/>
      <c r="AA87" s="170"/>
      <c r="AB87" s="170">
        <f t="shared" si="75"/>
        <v>0</v>
      </c>
      <c r="AC87" s="194">
        <f>+(P87/G87)</f>
        <v>1</v>
      </c>
      <c r="AD87" s="194">
        <f t="shared" si="107"/>
        <v>1</v>
      </c>
      <c r="AE87" s="194">
        <f t="shared" si="99"/>
        <v>0</v>
      </c>
      <c r="AF87" s="194">
        <f>+AC87*E87</f>
        <v>0.2</v>
      </c>
      <c r="AG87" s="194">
        <f t="shared" si="106"/>
        <v>0.2</v>
      </c>
      <c r="AH87" s="194">
        <f t="shared" si="101"/>
        <v>0</v>
      </c>
      <c r="AI87" s="194">
        <f>+P87/F87</f>
        <v>0.25</v>
      </c>
      <c r="AJ87" s="194">
        <v>0.25</v>
      </c>
      <c r="AK87" s="194">
        <f t="shared" si="102"/>
        <v>0.5</v>
      </c>
      <c r="AL87" s="194">
        <f>+AI87*E87</f>
        <v>0.05</v>
      </c>
      <c r="AM87" s="194">
        <f>+AJ87*E87</f>
        <v>0.05</v>
      </c>
      <c r="AN87" s="194">
        <f t="shared" si="104"/>
        <v>0.1</v>
      </c>
      <c r="AO87" s="590"/>
      <c r="AP87" s="551" t="s">
        <v>1941</v>
      </c>
      <c r="AQ87" s="908" t="s">
        <v>2272</v>
      </c>
      <c r="AR87" s="908" t="s">
        <v>2288</v>
      </c>
      <c r="AS87" s="908" t="s">
        <v>2402</v>
      </c>
      <c r="AT87" s="985" t="s">
        <v>2436</v>
      </c>
      <c r="AU87" s="163"/>
      <c r="AV87" s="644" t="s">
        <v>1865</v>
      </c>
      <c r="AW87" s="157"/>
      <c r="AX87" s="151"/>
      <c r="AY87" s="151"/>
      <c r="AZ87" s="151"/>
      <c r="BA87" s="151"/>
      <c r="BB87" s="151"/>
      <c r="BC87" s="151"/>
      <c r="BD87" s="151"/>
      <c r="BE87" s="151"/>
      <c r="BF87" s="151"/>
      <c r="BG87" s="151"/>
      <c r="BH87" s="151"/>
      <c r="BI87" s="151"/>
      <c r="BJ87" s="151"/>
      <c r="BK87" s="151"/>
      <c r="BL87" s="151"/>
      <c r="BM87" s="151"/>
      <c r="BN87" s="151"/>
      <c r="BO87" s="151"/>
    </row>
    <row r="88" spans="1:67" ht="117.6" customHeight="1" thickBot="1" x14ac:dyDescent="0.4">
      <c r="A88" s="155"/>
      <c r="B88" s="790" t="s">
        <v>755</v>
      </c>
      <c r="C88" s="794" t="s">
        <v>1454</v>
      </c>
      <c r="D88" s="185" t="s">
        <v>754</v>
      </c>
      <c r="E88" s="174">
        <v>0.45</v>
      </c>
      <c r="F88" s="175">
        <v>60</v>
      </c>
      <c r="G88" s="170">
        <v>15</v>
      </c>
      <c r="H88" s="170">
        <v>15</v>
      </c>
      <c r="I88" s="170">
        <v>15</v>
      </c>
      <c r="J88" s="176">
        <f>+G88/F88</f>
        <v>0.25</v>
      </c>
      <c r="K88" s="176">
        <f t="shared" si="95"/>
        <v>0.25</v>
      </c>
      <c r="L88" s="176">
        <f t="shared" si="96"/>
        <v>0.25</v>
      </c>
      <c r="M88" s="176">
        <f>+(G88/F88)*E88</f>
        <v>0.1125</v>
      </c>
      <c r="N88" s="176">
        <f t="shared" si="97"/>
        <v>0.1125</v>
      </c>
      <c r="O88" s="176"/>
      <c r="P88" s="170">
        <v>15</v>
      </c>
      <c r="Q88" s="541">
        <v>0</v>
      </c>
      <c r="R88" s="541">
        <v>15</v>
      </c>
      <c r="S88" s="541">
        <v>0</v>
      </c>
      <c r="T88" s="541">
        <v>0</v>
      </c>
      <c r="U88" s="541">
        <v>1</v>
      </c>
      <c r="V88" s="170">
        <f t="shared" si="60"/>
        <v>16</v>
      </c>
      <c r="W88" s="170">
        <f>+V88+P88+AB88</f>
        <v>39</v>
      </c>
      <c r="X88" s="541">
        <v>8</v>
      </c>
      <c r="Y88" s="170"/>
      <c r="Z88" s="170"/>
      <c r="AA88" s="170"/>
      <c r="AB88" s="170">
        <f t="shared" si="75"/>
        <v>8</v>
      </c>
      <c r="AC88" s="194">
        <f>+(P88/G88)</f>
        <v>1</v>
      </c>
      <c r="AD88" s="194">
        <v>1</v>
      </c>
      <c r="AE88" s="194">
        <f t="shared" si="99"/>
        <v>0.53333333333333333</v>
      </c>
      <c r="AF88" s="194">
        <f>+AC88*E88</f>
        <v>0.45</v>
      </c>
      <c r="AG88" s="194">
        <f t="shared" si="106"/>
        <v>0.45</v>
      </c>
      <c r="AH88" s="194">
        <f t="shared" si="101"/>
        <v>0.24</v>
      </c>
      <c r="AI88" s="194">
        <f>+P88/F88</f>
        <v>0.25</v>
      </c>
      <c r="AJ88" s="194">
        <v>0.51666666666666672</v>
      </c>
      <c r="AK88" s="194">
        <f t="shared" si="102"/>
        <v>0.65</v>
      </c>
      <c r="AL88" s="194">
        <f>+AI88*E88</f>
        <v>0.1125</v>
      </c>
      <c r="AM88" s="194">
        <f>+AJ88*E88</f>
        <v>0.23250000000000004</v>
      </c>
      <c r="AN88" s="194">
        <f t="shared" si="104"/>
        <v>0.29250000000000004</v>
      </c>
      <c r="AO88" s="590"/>
      <c r="AP88" s="551" t="s">
        <v>1941</v>
      </c>
      <c r="AQ88" s="908" t="s">
        <v>2273</v>
      </c>
      <c r="AR88" s="908" t="s">
        <v>2288</v>
      </c>
      <c r="AS88" s="908" t="s">
        <v>2402</v>
      </c>
      <c r="AT88" s="985" t="s">
        <v>2436</v>
      </c>
      <c r="AU88" s="163"/>
      <c r="AV88" s="908" t="s">
        <v>1893</v>
      </c>
      <c r="AW88" s="157"/>
      <c r="AX88" s="151"/>
      <c r="AY88" s="151"/>
      <c r="AZ88" s="151"/>
      <c r="BA88" s="151"/>
      <c r="BB88" s="151"/>
      <c r="BC88" s="151"/>
      <c r="BD88" s="151"/>
      <c r="BE88" s="151"/>
      <c r="BF88" s="151"/>
      <c r="BG88" s="151"/>
      <c r="BH88" s="151"/>
      <c r="BI88" s="151"/>
      <c r="BJ88" s="151"/>
      <c r="BK88" s="151"/>
      <c r="BL88" s="151"/>
      <c r="BM88" s="151"/>
      <c r="BN88" s="151"/>
      <c r="BO88" s="151"/>
    </row>
    <row r="89" spans="1:67" ht="108.6" customHeight="1" thickBot="1" x14ac:dyDescent="0.4">
      <c r="A89" s="155"/>
      <c r="B89" s="181" t="s">
        <v>756</v>
      </c>
      <c r="C89" s="1482" t="s">
        <v>1455</v>
      </c>
      <c r="D89" s="185" t="s">
        <v>754</v>
      </c>
      <c r="E89" s="174">
        <v>0.1</v>
      </c>
      <c r="F89" s="175">
        <v>4</v>
      </c>
      <c r="G89" s="170">
        <v>1</v>
      </c>
      <c r="H89" s="170">
        <v>1</v>
      </c>
      <c r="I89" s="170">
        <v>1</v>
      </c>
      <c r="J89" s="176">
        <f>+G89/F89</f>
        <v>0.25</v>
      </c>
      <c r="K89" s="176">
        <f t="shared" si="95"/>
        <v>0.25</v>
      </c>
      <c r="L89" s="176"/>
      <c r="M89" s="176">
        <f>+(G89/F89)*E89</f>
        <v>2.5000000000000001E-2</v>
      </c>
      <c r="N89" s="176">
        <f>+(H89/F89)*E89</f>
        <v>2.5000000000000001E-2</v>
      </c>
      <c r="O89" s="176"/>
      <c r="P89" s="170">
        <v>3</v>
      </c>
      <c r="Q89" s="541">
        <v>0</v>
      </c>
      <c r="R89" s="541">
        <v>1</v>
      </c>
      <c r="S89" s="541">
        <v>0</v>
      </c>
      <c r="T89" s="541">
        <v>0</v>
      </c>
      <c r="U89" s="541">
        <v>0</v>
      </c>
      <c r="V89" s="170">
        <f t="shared" si="60"/>
        <v>1</v>
      </c>
      <c r="W89" s="170">
        <f t="shared" si="105"/>
        <v>4</v>
      </c>
      <c r="X89" s="541">
        <v>0</v>
      </c>
      <c r="Y89" s="170"/>
      <c r="Z89" s="170"/>
      <c r="AA89" s="170"/>
      <c r="AB89" s="170">
        <f t="shared" si="75"/>
        <v>0</v>
      </c>
      <c r="AC89" s="194">
        <v>1</v>
      </c>
      <c r="AD89" s="194">
        <f t="shared" si="107"/>
        <v>1</v>
      </c>
      <c r="AE89" s="194">
        <f t="shared" si="99"/>
        <v>0</v>
      </c>
      <c r="AF89" s="194">
        <f>+AC89*E89</f>
        <v>0.1</v>
      </c>
      <c r="AG89" s="194">
        <f t="shared" si="106"/>
        <v>0.1</v>
      </c>
      <c r="AH89" s="194">
        <f t="shared" si="101"/>
        <v>0</v>
      </c>
      <c r="AI89" s="194">
        <f>+P89/F89</f>
        <v>0.75</v>
      </c>
      <c r="AJ89" s="194">
        <v>1</v>
      </c>
      <c r="AK89" s="194">
        <f t="shared" si="102"/>
        <v>1</v>
      </c>
      <c r="AL89" s="194">
        <f>+AI89*E89</f>
        <v>7.5000000000000011E-2</v>
      </c>
      <c r="AM89" s="194">
        <f>+AJ89*E89</f>
        <v>0.1</v>
      </c>
      <c r="AN89" s="194">
        <f t="shared" si="104"/>
        <v>0.1</v>
      </c>
      <c r="AO89" s="590"/>
      <c r="AP89" s="908" t="s">
        <v>1892</v>
      </c>
      <c r="AQ89" s="908" t="s">
        <v>1591</v>
      </c>
      <c r="AR89" s="551" t="s">
        <v>2303</v>
      </c>
      <c r="AS89" s="908" t="s">
        <v>2402</v>
      </c>
      <c r="AT89" s="985" t="s">
        <v>2436</v>
      </c>
      <c r="AU89" s="163"/>
      <c r="AV89" s="908" t="s">
        <v>1893</v>
      </c>
      <c r="AW89" s="157"/>
      <c r="AX89" s="151"/>
      <c r="AY89" s="151"/>
      <c r="AZ89" s="151"/>
      <c r="BA89" s="151"/>
      <c r="BB89" s="151"/>
      <c r="BC89" s="151"/>
      <c r="BD89" s="151"/>
      <c r="BE89" s="151"/>
      <c r="BF89" s="151"/>
      <c r="BG89" s="151"/>
      <c r="BH89" s="151"/>
      <c r="BI89" s="151"/>
      <c r="BJ89" s="151"/>
      <c r="BK89" s="151"/>
      <c r="BL89" s="151"/>
      <c r="BM89" s="151"/>
      <c r="BN89" s="151"/>
      <c r="BO89" s="151"/>
    </row>
    <row r="90" spans="1:67" ht="66.599999999999994" customHeight="1" thickBot="1" x14ac:dyDescent="0.4">
      <c r="A90" s="155"/>
      <c r="B90" s="790" t="s">
        <v>757</v>
      </c>
      <c r="C90" s="794" t="s">
        <v>1456</v>
      </c>
      <c r="D90" s="185" t="s">
        <v>754</v>
      </c>
      <c r="E90" s="174">
        <v>0.25</v>
      </c>
      <c r="F90" s="175">
        <v>5</v>
      </c>
      <c r="G90" s="170">
        <v>1</v>
      </c>
      <c r="H90" s="170">
        <v>1</v>
      </c>
      <c r="I90" s="170">
        <v>1</v>
      </c>
      <c r="J90" s="176">
        <f>+G90/F90</f>
        <v>0.2</v>
      </c>
      <c r="K90" s="176">
        <f t="shared" si="95"/>
        <v>0.2</v>
      </c>
      <c r="L90" s="176"/>
      <c r="M90" s="176">
        <f>+(G90/F90)*E90</f>
        <v>0.05</v>
      </c>
      <c r="N90" s="176">
        <f t="shared" si="97"/>
        <v>0.05</v>
      </c>
      <c r="O90" s="176"/>
      <c r="P90" s="170">
        <v>4</v>
      </c>
      <c r="Q90" s="541">
        <v>0</v>
      </c>
      <c r="R90" s="541">
        <v>1</v>
      </c>
      <c r="S90" s="541">
        <v>0</v>
      </c>
      <c r="T90" s="541">
        <v>0</v>
      </c>
      <c r="U90" s="541">
        <v>0</v>
      </c>
      <c r="V90" s="170">
        <f t="shared" si="60"/>
        <v>1</v>
      </c>
      <c r="W90" s="170">
        <f t="shared" si="105"/>
        <v>5</v>
      </c>
      <c r="X90" s="541">
        <v>0</v>
      </c>
      <c r="Y90" s="170"/>
      <c r="Z90" s="170"/>
      <c r="AA90" s="170"/>
      <c r="AB90" s="170">
        <f t="shared" si="75"/>
        <v>0</v>
      </c>
      <c r="AC90" s="194">
        <v>1</v>
      </c>
      <c r="AD90" s="194">
        <f t="shared" si="107"/>
        <v>1</v>
      </c>
      <c r="AE90" s="194">
        <f t="shared" si="99"/>
        <v>0</v>
      </c>
      <c r="AF90" s="194">
        <f>+AC90*E90</f>
        <v>0.25</v>
      </c>
      <c r="AG90" s="194">
        <f t="shared" si="106"/>
        <v>0.25</v>
      </c>
      <c r="AH90" s="194">
        <f t="shared" si="101"/>
        <v>0</v>
      </c>
      <c r="AI90" s="194">
        <f>+P90/F90</f>
        <v>0.8</v>
      </c>
      <c r="AJ90" s="194">
        <v>1</v>
      </c>
      <c r="AK90" s="194">
        <f t="shared" si="102"/>
        <v>1</v>
      </c>
      <c r="AL90" s="194">
        <f>+AI90*E90</f>
        <v>0.2</v>
      </c>
      <c r="AM90" s="194">
        <f>+AJ90*E90</f>
        <v>0.25</v>
      </c>
      <c r="AN90" s="194">
        <f t="shared" si="104"/>
        <v>0.25</v>
      </c>
      <c r="AO90" s="590"/>
      <c r="AP90" s="908" t="s">
        <v>1892</v>
      </c>
      <c r="AQ90" s="908" t="s">
        <v>1591</v>
      </c>
      <c r="AR90" s="551" t="s">
        <v>2303</v>
      </c>
      <c r="AS90" s="551" t="s">
        <v>2303</v>
      </c>
      <c r="AT90" s="985" t="s">
        <v>2436</v>
      </c>
      <c r="AU90" s="163"/>
      <c r="AV90" s="551" t="s">
        <v>2303</v>
      </c>
      <c r="AW90" s="157"/>
      <c r="AX90" s="151"/>
      <c r="AY90" s="151"/>
      <c r="AZ90" s="151"/>
      <c r="BA90" s="151"/>
      <c r="BB90" s="151"/>
      <c r="BC90" s="151"/>
      <c r="BD90" s="151"/>
      <c r="BE90" s="151"/>
      <c r="BF90" s="151"/>
      <c r="BG90" s="151"/>
      <c r="BH90" s="151"/>
      <c r="BI90" s="151"/>
      <c r="BJ90" s="151"/>
      <c r="BK90" s="151"/>
      <c r="BL90" s="151"/>
      <c r="BM90" s="151"/>
      <c r="BN90" s="151"/>
      <c r="BO90" s="151"/>
    </row>
    <row r="91" spans="1:67" ht="57" customHeight="1" thickBot="1" x14ac:dyDescent="0.4">
      <c r="A91" s="155"/>
      <c r="B91" s="1557" t="s">
        <v>1716</v>
      </c>
      <c r="C91" s="1558"/>
      <c r="D91" s="185"/>
      <c r="E91" s="166">
        <v>0.3</v>
      </c>
      <c r="F91" s="187"/>
      <c r="G91" s="163"/>
      <c r="H91" s="163"/>
      <c r="I91" s="163"/>
      <c r="J91" s="169"/>
      <c r="K91" s="169">
        <f>+AVERAGE(K92:K95)</f>
        <v>0.36958333333333332</v>
      </c>
      <c r="L91" s="169">
        <f>+AVERAGE(L92:L95)</f>
        <v>0.37270833333333336</v>
      </c>
      <c r="M91" s="169"/>
      <c r="N91" s="169">
        <f>+N92+N93+N94+N95</f>
        <v>0.33691666666666664</v>
      </c>
      <c r="O91" s="169"/>
      <c r="P91" s="168"/>
      <c r="Q91" s="168"/>
      <c r="R91" s="168"/>
      <c r="S91" s="168"/>
      <c r="T91" s="168"/>
      <c r="U91" s="984"/>
      <c r="V91" s="170"/>
      <c r="W91" s="170"/>
      <c r="X91" s="168"/>
      <c r="Y91" s="168"/>
      <c r="Z91" s="168"/>
      <c r="AA91" s="168"/>
      <c r="AB91" s="170"/>
      <c r="AC91" s="192"/>
      <c r="AD91" s="192">
        <f>+AVERAGE(AD92:AD95)</f>
        <v>0.9458333333333333</v>
      </c>
      <c r="AE91" s="192">
        <f>+AVERAGE(AE92:AE95)</f>
        <v>0</v>
      </c>
      <c r="AF91" s="192"/>
      <c r="AG91" s="192">
        <f>+(AG92+AG93+AG94+AG95)*E91</f>
        <v>0.26749999999999996</v>
      </c>
      <c r="AH91" s="192">
        <f>+(AH92+AH93+AH94+AH95)*E91</f>
        <v>0</v>
      </c>
      <c r="AI91" s="169"/>
      <c r="AJ91" s="169">
        <v>0.35152777777777777</v>
      </c>
      <c r="AK91" s="169">
        <f>+AVERAGE(AK92:AK95)</f>
        <v>0.35152777777777777</v>
      </c>
      <c r="AL91" s="169"/>
      <c r="AM91" s="169">
        <f>+(AM92+AM93+AM94+AM95)</f>
        <v>0.30080555555555555</v>
      </c>
      <c r="AN91" s="169">
        <f>+(AN92+AN93+AN94+AN95)</f>
        <v>0.30080555555555555</v>
      </c>
      <c r="AO91" s="590"/>
      <c r="AP91" s="163"/>
      <c r="AQ91" s="163"/>
      <c r="AR91" s="163"/>
      <c r="AS91" s="163"/>
      <c r="AT91" s="609"/>
      <c r="AU91" s="163"/>
      <c r="AV91" s="163"/>
      <c r="AW91" s="157"/>
      <c r="AX91" s="151"/>
      <c r="AY91" s="151"/>
      <c r="AZ91" s="151"/>
      <c r="BA91" s="151"/>
      <c r="BB91" s="151"/>
      <c r="BC91" s="151"/>
      <c r="BD91" s="151"/>
      <c r="BE91" s="151"/>
      <c r="BF91" s="151"/>
      <c r="BG91" s="151"/>
      <c r="BH91" s="151"/>
      <c r="BI91" s="151"/>
      <c r="BJ91" s="151"/>
      <c r="BK91" s="151"/>
      <c r="BL91" s="151"/>
      <c r="BM91" s="151"/>
      <c r="BN91" s="151"/>
      <c r="BO91" s="151"/>
    </row>
    <row r="92" spans="1:67" ht="106.8" customHeight="1" thickBot="1" x14ac:dyDescent="0.4">
      <c r="A92" s="155"/>
      <c r="B92" s="181" t="s">
        <v>758</v>
      </c>
      <c r="C92" s="1482" t="s">
        <v>1457</v>
      </c>
      <c r="D92" s="205" t="s">
        <v>759</v>
      </c>
      <c r="E92" s="174">
        <v>0.5</v>
      </c>
      <c r="F92" s="175">
        <v>9</v>
      </c>
      <c r="G92" s="170">
        <v>0</v>
      </c>
      <c r="H92" s="170">
        <v>3</v>
      </c>
      <c r="I92" s="170">
        <v>3</v>
      </c>
      <c r="J92" s="176"/>
      <c r="K92" s="176">
        <f t="shared" si="95"/>
        <v>0.33333333333333331</v>
      </c>
      <c r="L92" s="176">
        <f>+I92/F92</f>
        <v>0.33333333333333331</v>
      </c>
      <c r="M92" s="176"/>
      <c r="N92" s="176">
        <f t="shared" si="97"/>
        <v>0.16666666666666666</v>
      </c>
      <c r="O92" s="176"/>
      <c r="P92" s="170"/>
      <c r="Q92" s="541">
        <v>0</v>
      </c>
      <c r="R92" s="541">
        <v>0.35</v>
      </c>
      <c r="S92" s="541">
        <v>0</v>
      </c>
      <c r="T92" s="541">
        <v>0</v>
      </c>
      <c r="U92" s="541">
        <v>2</v>
      </c>
      <c r="V92" s="170">
        <f t="shared" si="60"/>
        <v>2.35</v>
      </c>
      <c r="W92" s="170">
        <f t="shared" si="105"/>
        <v>2.35</v>
      </c>
      <c r="X92" s="541">
        <v>0</v>
      </c>
      <c r="Y92" s="170"/>
      <c r="Z92" s="170"/>
      <c r="AA92" s="170"/>
      <c r="AB92" s="170">
        <f t="shared" si="75"/>
        <v>0</v>
      </c>
      <c r="AC92" s="194"/>
      <c r="AD92" s="194">
        <f t="shared" si="107"/>
        <v>0.78333333333333333</v>
      </c>
      <c r="AE92" s="194">
        <f t="shared" si="99"/>
        <v>0</v>
      </c>
      <c r="AF92" s="194"/>
      <c r="AG92" s="194">
        <f t="shared" si="106"/>
        <v>0.39166666666666666</v>
      </c>
      <c r="AH92" s="194">
        <f t="shared" si="101"/>
        <v>0</v>
      </c>
      <c r="AI92" s="194"/>
      <c r="AJ92" s="194">
        <v>0.26111111111111113</v>
      </c>
      <c r="AK92" s="194">
        <f t="shared" si="102"/>
        <v>0.26111111111111113</v>
      </c>
      <c r="AL92" s="194"/>
      <c r="AM92" s="194">
        <f>+AJ92*E92</f>
        <v>0.13055555555555556</v>
      </c>
      <c r="AN92" s="194">
        <f t="shared" si="104"/>
        <v>0.13055555555555556</v>
      </c>
      <c r="AO92" s="590" t="s">
        <v>1577</v>
      </c>
      <c r="AP92" s="163"/>
      <c r="AQ92" s="908" t="s">
        <v>2267</v>
      </c>
      <c r="AR92" s="908" t="s">
        <v>2288</v>
      </c>
      <c r="AS92" s="908" t="s">
        <v>2402</v>
      </c>
      <c r="AT92" s="985" t="s">
        <v>2454</v>
      </c>
      <c r="AU92" s="908" t="s">
        <v>2493</v>
      </c>
      <c r="AV92" s="908" t="s">
        <v>1893</v>
      </c>
      <c r="AW92" s="157"/>
      <c r="AX92" s="151"/>
      <c r="AY92" s="151"/>
      <c r="AZ92" s="151"/>
      <c r="BA92" s="151"/>
      <c r="BB92" s="151"/>
      <c r="BC92" s="151"/>
      <c r="BD92" s="151"/>
      <c r="BE92" s="151"/>
      <c r="BF92" s="151"/>
      <c r="BG92" s="151"/>
      <c r="BH92" s="151"/>
      <c r="BI92" s="151"/>
      <c r="BJ92" s="151"/>
      <c r="BK92" s="151"/>
      <c r="BL92" s="151"/>
      <c r="BM92" s="151"/>
      <c r="BN92" s="151"/>
      <c r="BO92" s="151"/>
    </row>
    <row r="93" spans="1:67" ht="85.2" customHeight="1" thickBot="1" x14ac:dyDescent="0.4">
      <c r="A93" s="155"/>
      <c r="B93" s="181" t="s">
        <v>760</v>
      </c>
      <c r="C93" s="1482" t="s">
        <v>1458</v>
      </c>
      <c r="D93" s="184" t="s">
        <v>736</v>
      </c>
      <c r="E93" s="174">
        <v>0.05</v>
      </c>
      <c r="F93" s="175">
        <v>2</v>
      </c>
      <c r="G93" s="170">
        <v>0</v>
      </c>
      <c r="H93" s="170">
        <v>1</v>
      </c>
      <c r="I93" s="170">
        <v>1</v>
      </c>
      <c r="J93" s="176"/>
      <c r="K93" s="176">
        <f t="shared" si="95"/>
        <v>0.5</v>
      </c>
      <c r="L93" s="176">
        <f t="shared" si="96"/>
        <v>0.5</v>
      </c>
      <c r="M93" s="176"/>
      <c r="N93" s="176">
        <f>+(H93/F93)*E93</f>
        <v>2.5000000000000001E-2</v>
      </c>
      <c r="O93" s="176"/>
      <c r="P93" s="170"/>
      <c r="Q93" s="541">
        <v>0</v>
      </c>
      <c r="R93" s="541">
        <v>0.27</v>
      </c>
      <c r="S93" s="541">
        <v>0.73</v>
      </c>
      <c r="T93" s="541">
        <v>0</v>
      </c>
      <c r="U93" s="541">
        <v>0</v>
      </c>
      <c r="V93" s="170">
        <f t="shared" si="60"/>
        <v>1</v>
      </c>
      <c r="W93" s="170">
        <f t="shared" si="105"/>
        <v>1</v>
      </c>
      <c r="X93" s="541">
        <v>0</v>
      </c>
      <c r="Y93" s="170"/>
      <c r="Z93" s="170"/>
      <c r="AA93" s="170"/>
      <c r="AB93" s="170">
        <f t="shared" si="75"/>
        <v>0</v>
      </c>
      <c r="AC93" s="194"/>
      <c r="AD93" s="194">
        <f t="shared" si="107"/>
        <v>1</v>
      </c>
      <c r="AE93" s="194">
        <f t="shared" si="99"/>
        <v>0</v>
      </c>
      <c r="AF93" s="194"/>
      <c r="AG93" s="194">
        <f t="shared" si="106"/>
        <v>0.05</v>
      </c>
      <c r="AH93" s="194">
        <f t="shared" si="101"/>
        <v>0</v>
      </c>
      <c r="AI93" s="194"/>
      <c r="AJ93" s="194">
        <v>0.5</v>
      </c>
      <c r="AK93" s="194">
        <f t="shared" si="102"/>
        <v>0.5</v>
      </c>
      <c r="AL93" s="194"/>
      <c r="AM93" s="194">
        <f>+AJ93*E93</f>
        <v>2.5000000000000001E-2</v>
      </c>
      <c r="AN93" s="194">
        <f t="shared" si="104"/>
        <v>2.5000000000000001E-2</v>
      </c>
      <c r="AO93" s="590" t="s">
        <v>1576</v>
      </c>
      <c r="AP93" s="909" t="s">
        <v>1892</v>
      </c>
      <c r="AQ93" s="908" t="s">
        <v>2267</v>
      </c>
      <c r="AR93" s="908" t="s">
        <v>2288</v>
      </c>
      <c r="AS93" s="908" t="s">
        <v>2402</v>
      </c>
      <c r="AT93" s="985" t="s">
        <v>2436</v>
      </c>
      <c r="AU93" s="908" t="s">
        <v>2493</v>
      </c>
      <c r="AV93" s="908" t="s">
        <v>1893</v>
      </c>
      <c r="AW93" s="157"/>
      <c r="AX93" s="151"/>
      <c r="AY93" s="151"/>
      <c r="AZ93" s="151"/>
      <c r="BA93" s="151"/>
      <c r="BB93" s="151"/>
      <c r="BC93" s="151"/>
      <c r="BD93" s="151"/>
      <c r="BE93" s="151"/>
      <c r="BF93" s="151"/>
      <c r="BG93" s="151"/>
      <c r="BH93" s="151"/>
      <c r="BI93" s="151"/>
      <c r="BJ93" s="151"/>
      <c r="BK93" s="151"/>
      <c r="BL93" s="151"/>
      <c r="BM93" s="151"/>
      <c r="BN93" s="151"/>
      <c r="BO93" s="151"/>
    </row>
    <row r="94" spans="1:67" ht="76.95" customHeight="1" thickBot="1" x14ac:dyDescent="0.4">
      <c r="A94" s="155"/>
      <c r="B94" s="181" t="s">
        <v>761</v>
      </c>
      <c r="C94" s="1482" t="s">
        <v>1459</v>
      </c>
      <c r="D94" s="185" t="s">
        <v>736</v>
      </c>
      <c r="E94" s="174">
        <v>0.25</v>
      </c>
      <c r="F94" s="175">
        <v>80</v>
      </c>
      <c r="G94" s="170">
        <v>0</v>
      </c>
      <c r="H94" s="170">
        <v>26</v>
      </c>
      <c r="I94" s="170">
        <v>27</v>
      </c>
      <c r="J94" s="176"/>
      <c r="K94" s="176">
        <f t="shared" si="95"/>
        <v>0.32500000000000001</v>
      </c>
      <c r="L94" s="176">
        <f t="shared" si="96"/>
        <v>0.33750000000000002</v>
      </c>
      <c r="M94" s="176"/>
      <c r="N94" s="176">
        <f>+(H94/F94)*E94</f>
        <v>8.1250000000000003E-2</v>
      </c>
      <c r="O94" s="176"/>
      <c r="P94" s="170"/>
      <c r="Q94" s="541">
        <v>0</v>
      </c>
      <c r="R94" s="541">
        <v>0</v>
      </c>
      <c r="S94" s="541">
        <v>0</v>
      </c>
      <c r="T94" s="541">
        <v>0</v>
      </c>
      <c r="U94" s="541">
        <v>26</v>
      </c>
      <c r="V94" s="170">
        <f t="shared" si="60"/>
        <v>26</v>
      </c>
      <c r="W94" s="170">
        <f t="shared" si="105"/>
        <v>26</v>
      </c>
      <c r="X94" s="541">
        <v>0</v>
      </c>
      <c r="Y94" s="170"/>
      <c r="Z94" s="170"/>
      <c r="AA94" s="170"/>
      <c r="AB94" s="170">
        <f t="shared" si="75"/>
        <v>0</v>
      </c>
      <c r="AC94" s="194"/>
      <c r="AD94" s="194">
        <f t="shared" si="107"/>
        <v>1</v>
      </c>
      <c r="AE94" s="194">
        <f t="shared" si="99"/>
        <v>0</v>
      </c>
      <c r="AF94" s="194"/>
      <c r="AG94" s="194">
        <f t="shared" si="106"/>
        <v>0.25</v>
      </c>
      <c r="AH94" s="194">
        <f t="shared" si="101"/>
        <v>0</v>
      </c>
      <c r="AI94" s="194"/>
      <c r="AJ94" s="194">
        <v>0.32500000000000001</v>
      </c>
      <c r="AK94" s="194">
        <f t="shared" si="102"/>
        <v>0.32500000000000001</v>
      </c>
      <c r="AL94" s="194"/>
      <c r="AM94" s="194">
        <f>+AJ94*E94</f>
        <v>8.1250000000000003E-2</v>
      </c>
      <c r="AN94" s="194">
        <f t="shared" si="104"/>
        <v>8.1250000000000003E-2</v>
      </c>
      <c r="AO94" s="590" t="s">
        <v>1576</v>
      </c>
      <c r="AP94" s="909" t="s">
        <v>1892</v>
      </c>
      <c r="AQ94" s="908" t="s">
        <v>2267</v>
      </c>
      <c r="AR94" s="908" t="s">
        <v>2288</v>
      </c>
      <c r="AS94" s="908" t="s">
        <v>2402</v>
      </c>
      <c r="AT94" s="985" t="s">
        <v>2436</v>
      </c>
      <c r="AU94" s="908" t="s">
        <v>2493</v>
      </c>
      <c r="AV94" s="908" t="s">
        <v>1893</v>
      </c>
      <c r="AW94" s="157"/>
      <c r="AX94" s="151"/>
      <c r="AY94" s="151"/>
      <c r="AZ94" s="151"/>
      <c r="BA94" s="151"/>
      <c r="BB94" s="151"/>
      <c r="BC94" s="151"/>
      <c r="BD94" s="151"/>
      <c r="BE94" s="151"/>
      <c r="BF94" s="151"/>
      <c r="BG94" s="151"/>
      <c r="BH94" s="151"/>
      <c r="BI94" s="151"/>
      <c r="BJ94" s="151"/>
      <c r="BK94" s="151"/>
      <c r="BL94" s="151"/>
      <c r="BM94" s="151"/>
      <c r="BN94" s="151"/>
      <c r="BO94" s="151"/>
    </row>
    <row r="95" spans="1:67" ht="87.6" customHeight="1" thickBot="1" x14ac:dyDescent="0.4">
      <c r="A95" s="155"/>
      <c r="B95" s="181" t="s">
        <v>762</v>
      </c>
      <c r="C95" s="1482" t="s">
        <v>1460</v>
      </c>
      <c r="D95" s="195" t="s">
        <v>736</v>
      </c>
      <c r="E95" s="174">
        <v>0.2</v>
      </c>
      <c r="F95" s="175">
        <v>25</v>
      </c>
      <c r="G95" s="170">
        <v>0</v>
      </c>
      <c r="H95" s="170">
        <v>8</v>
      </c>
      <c r="I95" s="170">
        <v>8</v>
      </c>
      <c r="J95" s="176"/>
      <c r="K95" s="176">
        <f t="shared" si="95"/>
        <v>0.32</v>
      </c>
      <c r="L95" s="176">
        <f t="shared" si="96"/>
        <v>0.32</v>
      </c>
      <c r="M95" s="176"/>
      <c r="N95" s="176">
        <f t="shared" si="97"/>
        <v>6.4000000000000001E-2</v>
      </c>
      <c r="O95" s="176"/>
      <c r="P95" s="170"/>
      <c r="Q95" s="541">
        <v>0</v>
      </c>
      <c r="R95" s="541">
        <v>0</v>
      </c>
      <c r="S95" s="541">
        <v>0</v>
      </c>
      <c r="T95" s="541">
        <v>0</v>
      </c>
      <c r="U95" s="541">
        <v>8</v>
      </c>
      <c r="V95" s="170">
        <f t="shared" si="60"/>
        <v>8</v>
      </c>
      <c r="W95" s="170">
        <f t="shared" si="105"/>
        <v>8</v>
      </c>
      <c r="X95" s="541">
        <v>0</v>
      </c>
      <c r="Y95" s="170"/>
      <c r="Z95" s="170"/>
      <c r="AA95" s="170"/>
      <c r="AB95" s="170">
        <f t="shared" si="75"/>
        <v>0</v>
      </c>
      <c r="AC95" s="194"/>
      <c r="AD95" s="194">
        <f>+V95/H95</f>
        <v>1</v>
      </c>
      <c r="AE95" s="194">
        <f t="shared" si="99"/>
        <v>0</v>
      </c>
      <c r="AF95" s="194"/>
      <c r="AG95" s="194">
        <f t="shared" si="106"/>
        <v>0.2</v>
      </c>
      <c r="AH95" s="194">
        <f t="shared" si="101"/>
        <v>0</v>
      </c>
      <c r="AI95" s="194"/>
      <c r="AJ95" s="194">
        <v>0.32</v>
      </c>
      <c r="AK95" s="194">
        <f t="shared" si="102"/>
        <v>0.32</v>
      </c>
      <c r="AL95" s="194"/>
      <c r="AM95" s="194">
        <f>+AJ95*E95</f>
        <v>6.4000000000000001E-2</v>
      </c>
      <c r="AN95" s="194">
        <f t="shared" si="104"/>
        <v>6.4000000000000001E-2</v>
      </c>
      <c r="AO95" s="590" t="s">
        <v>1576</v>
      </c>
      <c r="AP95" s="909" t="s">
        <v>1892</v>
      </c>
      <c r="AQ95" s="908" t="s">
        <v>2267</v>
      </c>
      <c r="AR95" s="908" t="s">
        <v>2288</v>
      </c>
      <c r="AS95" s="908" t="s">
        <v>2402</v>
      </c>
      <c r="AT95" s="985" t="s">
        <v>2436</v>
      </c>
      <c r="AU95" s="908" t="s">
        <v>2493</v>
      </c>
      <c r="AV95" s="908" t="s">
        <v>1893</v>
      </c>
      <c r="AW95" s="157"/>
      <c r="AX95" s="151"/>
      <c r="AY95" s="151"/>
      <c r="AZ95" s="151"/>
      <c r="BA95" s="151"/>
      <c r="BB95" s="151"/>
      <c r="BC95" s="151"/>
      <c r="BD95" s="151"/>
      <c r="BE95" s="151"/>
      <c r="BF95" s="151"/>
      <c r="BG95" s="151"/>
      <c r="BH95" s="151"/>
      <c r="BI95" s="151"/>
      <c r="BJ95" s="151"/>
      <c r="BK95" s="151"/>
      <c r="BL95" s="151"/>
      <c r="BM95" s="151"/>
      <c r="BN95" s="151"/>
      <c r="BO95" s="151"/>
    </row>
    <row r="96" spans="1:67" ht="100.5" customHeight="1" thickBot="1" x14ac:dyDescent="0.4">
      <c r="A96" s="155"/>
      <c r="B96" s="1570" t="s">
        <v>1717</v>
      </c>
      <c r="C96" s="1566"/>
      <c r="D96" s="196"/>
      <c r="E96" s="166">
        <v>0.15</v>
      </c>
      <c r="F96" s="187"/>
      <c r="G96" s="163"/>
      <c r="H96" s="163"/>
      <c r="I96" s="163"/>
      <c r="J96" s="169">
        <f>+AVERAGE(J97:J99)*0.33</f>
        <v>0.33</v>
      </c>
      <c r="K96" s="169">
        <f>+AVERAGE(K97:K99)</f>
        <v>1</v>
      </c>
      <c r="L96" s="169">
        <f>+AVERAGE(L97:L99)/3</f>
        <v>0.33333333333333331</v>
      </c>
      <c r="M96" s="169">
        <f>+M97+M98+M99</f>
        <v>0.8</v>
      </c>
      <c r="N96" s="169">
        <f>+N97+N98+N99</f>
        <v>1</v>
      </c>
      <c r="O96" s="169"/>
      <c r="P96" s="168"/>
      <c r="Q96" s="168"/>
      <c r="R96" s="168"/>
      <c r="S96" s="168"/>
      <c r="T96" s="168"/>
      <c r="U96" s="984"/>
      <c r="V96" s="170"/>
      <c r="W96" s="170"/>
      <c r="X96" s="168"/>
      <c r="Y96" s="168"/>
      <c r="Z96" s="168"/>
      <c r="AA96" s="168"/>
      <c r="AB96" s="170"/>
      <c r="AC96" s="192">
        <f>+AVERAGE(AC97:AC99)</f>
        <v>1</v>
      </c>
      <c r="AD96" s="192">
        <f>+AVERAGE(AD97:AD99)</f>
        <v>0.60666666666666669</v>
      </c>
      <c r="AE96" s="192">
        <f>+AVERAGE(AE97:AE99)</f>
        <v>8.3333333333333329E-2</v>
      </c>
      <c r="AF96" s="192">
        <f>+(AF97+AF98+AF99)*E96</f>
        <v>0.12</v>
      </c>
      <c r="AG96" s="192">
        <f>+(AG97+AG98+AG99)*E96</f>
        <v>0.10590000000000002</v>
      </c>
      <c r="AH96" s="192">
        <f>+(AH97+AH98+AH99)*E96</f>
        <v>0.03</v>
      </c>
      <c r="AI96" s="169">
        <f>+AVERAGE(AI97:AI99)</f>
        <v>0.33</v>
      </c>
      <c r="AJ96" s="169">
        <v>0.66666666666666663</v>
      </c>
      <c r="AK96" s="169">
        <f>+AVERAGE(AK97:AK99)</f>
        <v>0.66666666666666663</v>
      </c>
      <c r="AL96" s="169">
        <f>+(AL97+AL98+AL99)*E96</f>
        <v>3.9600000000000003E-2</v>
      </c>
      <c r="AM96" s="169">
        <f>+(AM97+AM98+AM99)</f>
        <v>0.85000000000000009</v>
      </c>
      <c r="AN96" s="169">
        <f>+(AN97+AN98+AN99)</f>
        <v>0.85000000000000009</v>
      </c>
      <c r="AO96" s="590"/>
      <c r="AP96" s="163"/>
      <c r="AQ96" s="163"/>
      <c r="AR96" s="163"/>
      <c r="AS96" s="163"/>
      <c r="AT96" s="609"/>
      <c r="AU96" s="163"/>
      <c r="AV96" s="163"/>
      <c r="AW96" s="157"/>
      <c r="AX96" s="151"/>
      <c r="AY96" s="151"/>
      <c r="AZ96" s="151"/>
      <c r="BA96" s="151"/>
      <c r="BB96" s="151"/>
      <c r="BC96" s="151"/>
      <c r="BD96" s="151"/>
      <c r="BE96" s="151"/>
      <c r="BF96" s="151"/>
      <c r="BG96" s="151"/>
      <c r="BH96" s="151"/>
      <c r="BI96" s="151"/>
      <c r="BJ96" s="151"/>
      <c r="BK96" s="151"/>
      <c r="BL96" s="151"/>
      <c r="BM96" s="151"/>
      <c r="BN96" s="151"/>
      <c r="BO96" s="151"/>
    </row>
    <row r="97" spans="1:67" ht="91.2" customHeight="1" thickBot="1" x14ac:dyDescent="0.4">
      <c r="A97" s="155"/>
      <c r="B97" s="1493" t="s">
        <v>763</v>
      </c>
      <c r="C97" s="1494" t="s">
        <v>1461</v>
      </c>
      <c r="D97" s="202" t="s">
        <v>736</v>
      </c>
      <c r="E97" s="174">
        <v>0.8</v>
      </c>
      <c r="F97" s="175">
        <v>1</v>
      </c>
      <c r="G97" s="170">
        <v>1</v>
      </c>
      <c r="H97" s="170">
        <v>1</v>
      </c>
      <c r="I97" s="170">
        <v>1</v>
      </c>
      <c r="J97" s="176">
        <f>+G97/F97</f>
        <v>1</v>
      </c>
      <c r="K97" s="176">
        <f t="shared" ref="K97:K99" si="108">+H97/F97</f>
        <v>1</v>
      </c>
      <c r="L97" s="176"/>
      <c r="M97" s="176">
        <f>+(G97/F97)*E97</f>
        <v>0.8</v>
      </c>
      <c r="N97" s="176">
        <f t="shared" si="97"/>
        <v>0.8</v>
      </c>
      <c r="O97" s="176"/>
      <c r="P97" s="206">
        <v>1</v>
      </c>
      <c r="Q97" s="542">
        <v>0</v>
      </c>
      <c r="R97" s="542">
        <v>0.47</v>
      </c>
      <c r="S97" s="542">
        <v>0.33</v>
      </c>
      <c r="T97" s="542">
        <v>0.02</v>
      </c>
      <c r="U97" s="542"/>
      <c r="V97" s="206">
        <f t="shared" si="60"/>
        <v>0.82000000000000006</v>
      </c>
      <c r="W97" s="206">
        <f>+V97+P97+AB97</f>
        <v>2.0700000000000003</v>
      </c>
      <c r="X97" s="541">
        <v>0.25</v>
      </c>
      <c r="Y97" s="206"/>
      <c r="Z97" s="206"/>
      <c r="AA97" s="206"/>
      <c r="AB97" s="206">
        <f t="shared" si="75"/>
        <v>0.25</v>
      </c>
      <c r="AC97" s="176">
        <f>+(P97/G97)</f>
        <v>1</v>
      </c>
      <c r="AD97" s="176">
        <f t="shared" si="107"/>
        <v>0.82000000000000006</v>
      </c>
      <c r="AE97" s="176">
        <f t="shared" si="99"/>
        <v>0.25</v>
      </c>
      <c r="AF97" s="178">
        <f>+AC97*E97</f>
        <v>0.8</v>
      </c>
      <c r="AG97" s="178">
        <f t="shared" si="106"/>
        <v>0.65600000000000014</v>
      </c>
      <c r="AH97" s="178">
        <f t="shared" si="101"/>
        <v>0.2</v>
      </c>
      <c r="AI97" s="176">
        <f>+(P97/F97)*0.33</f>
        <v>0.33</v>
      </c>
      <c r="AJ97" s="176">
        <v>1</v>
      </c>
      <c r="AK97" s="176">
        <v>1</v>
      </c>
      <c r="AL97" s="176">
        <f>+AI97*E97</f>
        <v>0.26400000000000001</v>
      </c>
      <c r="AM97" s="176">
        <f>+AJ97*E97</f>
        <v>0.8</v>
      </c>
      <c r="AN97" s="194">
        <f t="shared" si="104"/>
        <v>0.8</v>
      </c>
      <c r="AO97" s="566" t="s">
        <v>1850</v>
      </c>
      <c r="AP97" s="551" t="s">
        <v>1940</v>
      </c>
      <c r="AQ97" s="908" t="s">
        <v>2267</v>
      </c>
      <c r="AR97" s="551" t="s">
        <v>2302</v>
      </c>
      <c r="AS97" s="551" t="s">
        <v>2422</v>
      </c>
      <c r="AT97" s="985" t="s">
        <v>2436</v>
      </c>
      <c r="AU97" s="908" t="s">
        <v>2493</v>
      </c>
      <c r="AV97" s="908" t="s">
        <v>1893</v>
      </c>
      <c r="AW97" s="157"/>
      <c r="AX97" s="151"/>
      <c r="AY97" s="151"/>
      <c r="AZ97" s="151"/>
      <c r="BA97" s="151"/>
      <c r="BB97" s="151"/>
      <c r="BC97" s="151"/>
      <c r="BD97" s="151"/>
      <c r="BE97" s="151"/>
      <c r="BF97" s="151"/>
      <c r="BG97" s="151"/>
      <c r="BH97" s="151"/>
      <c r="BI97" s="151"/>
      <c r="BJ97" s="151"/>
      <c r="BK97" s="151"/>
      <c r="BL97" s="151"/>
      <c r="BM97" s="151"/>
      <c r="BN97" s="151"/>
      <c r="BO97" s="151"/>
    </row>
    <row r="98" spans="1:67" ht="60.6" customHeight="1" thickBot="1" x14ac:dyDescent="0.4">
      <c r="A98" s="155"/>
      <c r="B98" s="1491" t="s">
        <v>764</v>
      </c>
      <c r="C98" s="1492" t="s">
        <v>1462</v>
      </c>
      <c r="D98" s="196" t="s">
        <v>736</v>
      </c>
      <c r="E98" s="174">
        <v>0.15</v>
      </c>
      <c r="F98" s="175">
        <v>1</v>
      </c>
      <c r="G98" s="170">
        <v>0</v>
      </c>
      <c r="H98" s="170">
        <v>1</v>
      </c>
      <c r="I98" s="170">
        <v>1</v>
      </c>
      <c r="J98" s="176"/>
      <c r="K98" s="176">
        <f t="shared" si="108"/>
        <v>1</v>
      </c>
      <c r="L98" s="176">
        <f t="shared" si="96"/>
        <v>1</v>
      </c>
      <c r="M98" s="176"/>
      <c r="N98" s="176">
        <f>+(H98/F98)*E98</f>
        <v>0.15</v>
      </c>
      <c r="O98" s="176"/>
      <c r="P98" s="170"/>
      <c r="Q98" s="541">
        <v>0</v>
      </c>
      <c r="R98" s="541">
        <v>0</v>
      </c>
      <c r="S98" s="541">
        <v>0</v>
      </c>
      <c r="T98" s="541">
        <v>0</v>
      </c>
      <c r="U98" s="541">
        <v>0</v>
      </c>
      <c r="V98" s="170">
        <f t="shared" si="60"/>
        <v>0</v>
      </c>
      <c r="W98" s="170">
        <f t="shared" si="105"/>
        <v>0</v>
      </c>
      <c r="X98" s="541">
        <v>0</v>
      </c>
      <c r="Y98" s="170"/>
      <c r="Z98" s="170"/>
      <c r="AA98" s="170"/>
      <c r="AB98" s="170">
        <f t="shared" si="75"/>
        <v>0</v>
      </c>
      <c r="AC98" s="176"/>
      <c r="AD98" s="176">
        <f t="shared" si="107"/>
        <v>0</v>
      </c>
      <c r="AE98" s="176">
        <f t="shared" si="99"/>
        <v>0</v>
      </c>
      <c r="AF98" s="178"/>
      <c r="AG98" s="178">
        <f>+AD98*E98</f>
        <v>0</v>
      </c>
      <c r="AH98" s="178">
        <f t="shared" si="101"/>
        <v>0</v>
      </c>
      <c r="AI98" s="176"/>
      <c r="AJ98" s="176">
        <v>0</v>
      </c>
      <c r="AK98" s="176">
        <f t="shared" si="102"/>
        <v>0</v>
      </c>
      <c r="AL98" s="176"/>
      <c r="AM98" s="176">
        <f t="shared" ref="AM98:AM99" si="109">+AJ98*E98</f>
        <v>0</v>
      </c>
      <c r="AN98" s="194">
        <f t="shared" si="104"/>
        <v>0</v>
      </c>
      <c r="AO98" s="566" t="s">
        <v>1850</v>
      </c>
      <c r="AP98" s="909" t="s">
        <v>1892</v>
      </c>
      <c r="AQ98" s="908" t="s">
        <v>2267</v>
      </c>
      <c r="AR98" s="908" t="s">
        <v>2288</v>
      </c>
      <c r="AS98" s="908" t="s">
        <v>2402</v>
      </c>
      <c r="AT98" s="985" t="s">
        <v>2436</v>
      </c>
      <c r="AU98" s="908" t="s">
        <v>2493</v>
      </c>
      <c r="AV98" s="908" t="s">
        <v>1893</v>
      </c>
      <c r="AW98" s="157"/>
      <c r="AX98" s="151"/>
      <c r="AY98" s="151"/>
      <c r="AZ98" s="151"/>
      <c r="BA98" s="151"/>
      <c r="BB98" s="151"/>
      <c r="BC98" s="151"/>
      <c r="BD98" s="151"/>
      <c r="BE98" s="151"/>
      <c r="BF98" s="151"/>
      <c r="BG98" s="151"/>
      <c r="BH98" s="151"/>
      <c r="BI98" s="151"/>
      <c r="BJ98" s="151"/>
      <c r="BK98" s="151"/>
      <c r="BL98" s="151"/>
      <c r="BM98" s="151"/>
      <c r="BN98" s="151"/>
      <c r="BO98" s="151"/>
    </row>
    <row r="99" spans="1:67" ht="53.4" customHeight="1" thickBot="1" x14ac:dyDescent="0.4">
      <c r="A99" s="155"/>
      <c r="B99" s="1495" t="s">
        <v>765</v>
      </c>
      <c r="C99" s="1496" t="s">
        <v>1463</v>
      </c>
      <c r="D99" s="202" t="s">
        <v>736</v>
      </c>
      <c r="E99" s="174">
        <v>0.05</v>
      </c>
      <c r="F99" s="175">
        <v>1</v>
      </c>
      <c r="G99" s="170">
        <v>0</v>
      </c>
      <c r="H99" s="170">
        <v>1</v>
      </c>
      <c r="I99" s="170">
        <v>1</v>
      </c>
      <c r="J99" s="176"/>
      <c r="K99" s="176">
        <f t="shared" si="108"/>
        <v>1</v>
      </c>
      <c r="L99" s="176">
        <f>+I99/F99</f>
        <v>1</v>
      </c>
      <c r="M99" s="176"/>
      <c r="N99" s="176">
        <f t="shared" si="97"/>
        <v>0.05</v>
      </c>
      <c r="O99" s="176"/>
      <c r="P99" s="170"/>
      <c r="Q99" s="541">
        <v>0</v>
      </c>
      <c r="R99" s="541">
        <v>0.4</v>
      </c>
      <c r="S99" s="541">
        <v>0.5</v>
      </c>
      <c r="T99" s="541">
        <v>0.1</v>
      </c>
      <c r="U99" s="541">
        <v>0</v>
      </c>
      <c r="V99" s="170">
        <f t="shared" ref="V99:V132" si="110">+Q99+R99+S99+T99+U99</f>
        <v>1</v>
      </c>
      <c r="W99" s="170">
        <f t="shared" si="105"/>
        <v>1</v>
      </c>
      <c r="X99" s="541">
        <v>0</v>
      </c>
      <c r="Y99" s="170"/>
      <c r="Z99" s="170"/>
      <c r="AA99" s="170"/>
      <c r="AB99" s="170">
        <f t="shared" si="75"/>
        <v>0</v>
      </c>
      <c r="AC99" s="176"/>
      <c r="AD99" s="176">
        <v>1</v>
      </c>
      <c r="AE99" s="176">
        <f t="shared" si="99"/>
        <v>0</v>
      </c>
      <c r="AF99" s="178"/>
      <c r="AG99" s="178">
        <f t="shared" si="106"/>
        <v>0.05</v>
      </c>
      <c r="AH99" s="178">
        <f t="shared" si="101"/>
        <v>0</v>
      </c>
      <c r="AI99" s="176"/>
      <c r="AJ99" s="176">
        <v>1</v>
      </c>
      <c r="AK99" s="176">
        <f t="shared" si="102"/>
        <v>1</v>
      </c>
      <c r="AL99" s="176"/>
      <c r="AM99" s="176">
        <f t="shared" si="109"/>
        <v>0.05</v>
      </c>
      <c r="AN99" s="194">
        <f t="shared" si="104"/>
        <v>0.05</v>
      </c>
      <c r="AO99" s="566" t="s">
        <v>1850</v>
      </c>
      <c r="AP99" s="909" t="s">
        <v>1892</v>
      </c>
      <c r="AQ99" s="908" t="s">
        <v>2267</v>
      </c>
      <c r="AR99" s="908" t="s">
        <v>2288</v>
      </c>
      <c r="AS99" s="163"/>
      <c r="AT99" s="985" t="s">
        <v>2455</v>
      </c>
      <c r="AU99" s="908" t="s">
        <v>2493</v>
      </c>
      <c r="AV99" s="908" t="s">
        <v>1893</v>
      </c>
      <c r="AW99" s="157"/>
      <c r="AX99" s="151"/>
      <c r="AY99" s="151"/>
      <c r="AZ99" s="151"/>
      <c r="BA99" s="151"/>
      <c r="BB99" s="151"/>
      <c r="BC99" s="151"/>
      <c r="BD99" s="151"/>
      <c r="BE99" s="151"/>
      <c r="BF99" s="151"/>
      <c r="BG99" s="151"/>
      <c r="BH99" s="151"/>
      <c r="BI99" s="151"/>
      <c r="BJ99" s="151"/>
      <c r="BK99" s="151"/>
      <c r="BL99" s="151"/>
      <c r="BM99" s="151"/>
      <c r="BN99" s="151"/>
      <c r="BO99" s="151"/>
    </row>
    <row r="100" spans="1:67" ht="78" customHeight="1" thickBot="1" x14ac:dyDescent="0.4">
      <c r="A100" s="155"/>
      <c r="B100" s="1565" t="s">
        <v>1799</v>
      </c>
      <c r="C100" s="1566"/>
      <c r="D100" s="196"/>
      <c r="E100" s="158">
        <v>0.1</v>
      </c>
      <c r="F100" s="159">
        <f>+E100*AF100</f>
        <v>5.6500000000000009E-2</v>
      </c>
      <c r="G100" s="163"/>
      <c r="H100" s="159">
        <f>+E100*AG100</f>
        <v>7.1039293361884373E-2</v>
      </c>
      <c r="I100" s="159">
        <f>+E100*AH100</f>
        <v>8.9116571428571444E-3</v>
      </c>
      <c r="J100" s="161">
        <f>+(J101+J107+J117)/3</f>
        <v>0.17360979649420338</v>
      </c>
      <c r="K100" s="161">
        <f>+(K101+K107+K117)/3</f>
        <v>0.38970610582327403</v>
      </c>
      <c r="L100" s="161">
        <f>+(L101+L107+L117)/3</f>
        <v>0.36374436780925207</v>
      </c>
      <c r="M100" s="162">
        <f>+(M101+M107+M117)/3</f>
        <v>9.382477763087127E-2</v>
      </c>
      <c r="N100" s="162">
        <f>+(N101+N107+N117)/3</f>
        <v>0.32245386743248144</v>
      </c>
      <c r="O100" s="162"/>
      <c r="P100" s="163"/>
      <c r="Q100" s="163"/>
      <c r="R100" s="163"/>
      <c r="S100" s="163"/>
      <c r="T100" s="163"/>
      <c r="U100" s="983"/>
      <c r="V100" s="967"/>
      <c r="W100" s="163"/>
      <c r="X100" s="163"/>
      <c r="Y100" s="163"/>
      <c r="Z100" s="163"/>
      <c r="AA100" s="163"/>
      <c r="AB100" s="163"/>
      <c r="AC100" s="161">
        <f>+(AC101+AC107+AC117)/3</f>
        <v>1</v>
      </c>
      <c r="AD100" s="161">
        <f>+(AD101+AD107+AD117)/3</f>
        <v>0.78319057815845816</v>
      </c>
      <c r="AE100" s="161">
        <f>+(AE101+AE107+AE117)/3</f>
        <v>9.2984126984126989E-2</v>
      </c>
      <c r="AF100" s="162">
        <f>AF101+AF107+AF117</f>
        <v>0.56500000000000006</v>
      </c>
      <c r="AG100" s="162">
        <f>AG101+AG107+AG117</f>
        <v>0.7103929336188437</v>
      </c>
      <c r="AH100" s="162">
        <f>AH101+AH107+AH117</f>
        <v>8.9116571428571434E-2</v>
      </c>
      <c r="AI100" s="161">
        <f>(AI101+AI107+AI117)/3</f>
        <v>0.19428158691255218</v>
      </c>
      <c r="AJ100" s="161">
        <v>0.40940952229628164</v>
      </c>
      <c r="AK100" s="161">
        <f>(AK101+AK107+AK117)/3</f>
        <v>0.43724206458665521</v>
      </c>
      <c r="AL100" s="162">
        <f>AL101+AL107+AL117</f>
        <v>0.10879627598215055</v>
      </c>
      <c r="AM100" s="162">
        <f>AM101*E101+AM107*E107+AM117*AJ117</f>
        <v>0.45634263977502848</v>
      </c>
      <c r="AN100" s="162">
        <f>AN101*E101+AN107*E107+AN117*E117</f>
        <v>0.46112478198021289</v>
      </c>
      <c r="AO100" s="590"/>
      <c r="AP100" s="163"/>
      <c r="AQ100" s="163"/>
      <c r="AR100" s="163"/>
      <c r="AS100" s="163"/>
      <c r="AT100" s="609"/>
      <c r="AU100" s="163"/>
      <c r="AV100" s="163"/>
      <c r="AW100" s="157"/>
      <c r="AX100" s="151"/>
      <c r="AY100" s="151"/>
      <c r="AZ100" s="151"/>
      <c r="BA100" s="151"/>
      <c r="BB100" s="151"/>
      <c r="BC100" s="151"/>
      <c r="BD100" s="151"/>
      <c r="BE100" s="151"/>
      <c r="BF100" s="151"/>
      <c r="BG100" s="151"/>
      <c r="BH100" s="151"/>
      <c r="BI100" s="151"/>
      <c r="BJ100" s="151"/>
      <c r="BK100" s="151"/>
      <c r="BL100" s="151"/>
      <c r="BM100" s="151"/>
      <c r="BN100" s="151"/>
      <c r="BO100" s="151"/>
    </row>
    <row r="101" spans="1:67" ht="72" customHeight="1" thickBot="1" x14ac:dyDescent="0.4">
      <c r="A101" s="155"/>
      <c r="B101" s="1567" t="s">
        <v>1718</v>
      </c>
      <c r="C101" s="1568"/>
      <c r="D101" s="197"/>
      <c r="E101" s="166">
        <v>0.25</v>
      </c>
      <c r="F101" s="187"/>
      <c r="G101" s="170"/>
      <c r="H101" s="170"/>
      <c r="I101" s="170"/>
      <c r="J101" s="169">
        <f>+AVERAGE(J102:J106)</f>
        <v>0.17798528579513301</v>
      </c>
      <c r="K101" s="169">
        <f>+AVERAGE(K102:K106)</f>
        <v>0.28952461799660439</v>
      </c>
      <c r="L101" s="169">
        <f>+AVERAGE(L102:L106)</f>
        <v>0.25646859083191847</v>
      </c>
      <c r="M101" s="169">
        <f>+M102+M103+M104+M105+M106</f>
        <v>0.17798528579513301</v>
      </c>
      <c r="N101" s="169">
        <f>+N102+N103+N104+N105+N106</f>
        <v>0.28952461799660439</v>
      </c>
      <c r="O101" s="169"/>
      <c r="P101" s="170"/>
      <c r="Q101" s="170"/>
      <c r="R101" s="170"/>
      <c r="S101" s="170"/>
      <c r="T101" s="170"/>
      <c r="U101" s="795"/>
      <c r="V101" s="170"/>
      <c r="W101" s="170"/>
      <c r="X101" s="170"/>
      <c r="Y101" s="170"/>
      <c r="Z101" s="170"/>
      <c r="AA101" s="170"/>
      <c r="AB101" s="170"/>
      <c r="AC101" s="192">
        <f>+AVERAGE(AC102:AC106)</f>
        <v>1</v>
      </c>
      <c r="AD101" s="192">
        <f>+AVERAGE(AD102:AD106)</f>
        <v>0.99957173447537462</v>
      </c>
      <c r="AE101" s="192">
        <f>+AVERAGE(AE102:AE106)</f>
        <v>0.2</v>
      </c>
      <c r="AF101" s="192">
        <f>+(AF102+AF103+AF104+AF105+AF106)*E101</f>
        <v>0.25</v>
      </c>
      <c r="AG101" s="192">
        <f>+(AG102+AG103+AG104+AG105+AG106)*E101</f>
        <v>0.24989293361884368</v>
      </c>
      <c r="AH101" s="192">
        <f>+(AH102+AH103+AH104+AH105+AH106)*E101</f>
        <v>0.05</v>
      </c>
      <c r="AI101" s="169">
        <f>+AVERAGE(AI102:AI106)</f>
        <v>0.17866440294284094</v>
      </c>
      <c r="AJ101" s="169">
        <v>0.46807583474816078</v>
      </c>
      <c r="AK101" s="169">
        <f>+AVERAGE(AK102:AK106)</f>
        <v>0.53474250141482749</v>
      </c>
      <c r="AL101" s="169">
        <f>+(AL102+AL103+AL104+AL105+AL106)*E101</f>
        <v>4.4666100735710243E-2</v>
      </c>
      <c r="AM101" s="169">
        <f>+(AM102+AM103+AM104+AM105+AM106)</f>
        <v>0.46807583474816072</v>
      </c>
      <c r="AN101" s="169">
        <f>+(AN102+AN103+AN104+AN105+AN106)</f>
        <v>0.53474250141482749</v>
      </c>
      <c r="AO101" s="590"/>
      <c r="AP101" s="163"/>
      <c r="AQ101" s="163"/>
      <c r="AR101" s="163"/>
      <c r="AS101" s="163"/>
      <c r="AT101" s="609"/>
      <c r="AU101" s="163"/>
      <c r="AV101" s="163"/>
      <c r="AW101" s="157"/>
      <c r="AX101" s="151"/>
      <c r="AY101" s="151"/>
      <c r="AZ101" s="151"/>
      <c r="BA101" s="151"/>
      <c r="BB101" s="151"/>
      <c r="BC101" s="151"/>
      <c r="BD101" s="151"/>
      <c r="BE101" s="151"/>
      <c r="BF101" s="151"/>
      <c r="BG101" s="151"/>
      <c r="BH101" s="151"/>
      <c r="BI101" s="151"/>
      <c r="BJ101" s="151"/>
      <c r="BK101" s="151"/>
      <c r="BL101" s="151"/>
      <c r="BM101" s="151"/>
      <c r="BN101" s="151"/>
      <c r="BO101" s="151"/>
    </row>
    <row r="102" spans="1:67" ht="58.8" customHeight="1" thickBot="1" x14ac:dyDescent="0.4">
      <c r="A102" s="155"/>
      <c r="B102" s="1484" t="s">
        <v>766</v>
      </c>
      <c r="C102" s="1485" t="s">
        <v>1464</v>
      </c>
      <c r="D102" s="199" t="s">
        <v>767</v>
      </c>
      <c r="E102" s="174">
        <v>0.2</v>
      </c>
      <c r="F102" s="175">
        <v>10</v>
      </c>
      <c r="G102" s="170">
        <v>1</v>
      </c>
      <c r="H102" s="170">
        <v>3</v>
      </c>
      <c r="I102" s="170">
        <v>2</v>
      </c>
      <c r="J102" s="176">
        <f>+G102/F102</f>
        <v>0.1</v>
      </c>
      <c r="K102" s="176">
        <f t="shared" ref="K102:K106" si="111">+H102/F102</f>
        <v>0.3</v>
      </c>
      <c r="L102" s="176">
        <f t="shared" ref="L102:L123" si="112">+I102/F102</f>
        <v>0.2</v>
      </c>
      <c r="M102" s="176">
        <f>+(G102/F102)*E102</f>
        <v>2.0000000000000004E-2</v>
      </c>
      <c r="N102" s="176">
        <f t="shared" ref="N102:N106" si="113">+(H102/F102)*E102</f>
        <v>0.06</v>
      </c>
      <c r="O102" s="176"/>
      <c r="P102" s="170">
        <v>1</v>
      </c>
      <c r="Q102" s="541">
        <v>0</v>
      </c>
      <c r="R102" s="541">
        <v>1</v>
      </c>
      <c r="S102" s="541">
        <v>0</v>
      </c>
      <c r="T102" s="541">
        <v>2</v>
      </c>
      <c r="U102" s="541">
        <v>0</v>
      </c>
      <c r="V102" s="170">
        <f t="shared" si="110"/>
        <v>3</v>
      </c>
      <c r="W102" s="170">
        <f>+V102+P102+AB102</f>
        <v>4</v>
      </c>
      <c r="X102" s="541">
        <v>0</v>
      </c>
      <c r="Y102" s="170"/>
      <c r="Z102" s="170"/>
      <c r="AA102" s="170"/>
      <c r="AB102" s="170">
        <f t="shared" ref="AB102:AB123" si="114">+X102+Y102+Z102+AA102</f>
        <v>0</v>
      </c>
      <c r="AC102" s="194">
        <f>+(P102/G102)</f>
        <v>1</v>
      </c>
      <c r="AD102" s="194">
        <f t="shared" ref="AD102:AD104" si="115">+V102/H102</f>
        <v>1</v>
      </c>
      <c r="AE102" s="194">
        <f t="shared" ref="AE102:AE123" si="116">+AB102/I102</f>
        <v>0</v>
      </c>
      <c r="AF102" s="194">
        <f>+AC102*E102</f>
        <v>0.2</v>
      </c>
      <c r="AG102" s="194">
        <f t="shared" ref="AG102:AG106" si="117">+AD102*E102</f>
        <v>0.2</v>
      </c>
      <c r="AH102" s="194">
        <f t="shared" ref="AH102:AH123" si="118">+AE102*E102</f>
        <v>0</v>
      </c>
      <c r="AI102" s="194">
        <f>+P102/F102</f>
        <v>0.1</v>
      </c>
      <c r="AJ102" s="194">
        <v>0.4</v>
      </c>
      <c r="AK102" s="194">
        <f t="shared" ref="AK102:AK123" si="119">+W102/F102</f>
        <v>0.4</v>
      </c>
      <c r="AL102" s="194">
        <f>+AI102*E102</f>
        <v>2.0000000000000004E-2</v>
      </c>
      <c r="AM102" s="194">
        <f>+AJ102*E102</f>
        <v>8.0000000000000016E-2</v>
      </c>
      <c r="AN102" s="194">
        <f t="shared" ref="AN102:AN123" si="120">+AK102*E102</f>
        <v>8.0000000000000016E-2</v>
      </c>
      <c r="AO102" s="566" t="s">
        <v>1850</v>
      </c>
      <c r="AP102" s="909" t="s">
        <v>1892</v>
      </c>
      <c r="AQ102" s="908" t="s">
        <v>2267</v>
      </c>
      <c r="AR102" s="908" t="s">
        <v>2288</v>
      </c>
      <c r="AS102" s="908" t="s">
        <v>2402</v>
      </c>
      <c r="AT102" s="985" t="s">
        <v>2436</v>
      </c>
      <c r="AU102" s="908" t="s">
        <v>2493</v>
      </c>
      <c r="AV102" s="908" t="s">
        <v>1893</v>
      </c>
      <c r="AW102" s="157"/>
      <c r="AX102" s="151"/>
      <c r="AY102" s="151"/>
      <c r="AZ102" s="151"/>
      <c r="BA102" s="151"/>
      <c r="BB102" s="151"/>
      <c r="BC102" s="151"/>
      <c r="BD102" s="151"/>
      <c r="BE102" s="151"/>
      <c r="BF102" s="151"/>
      <c r="BG102" s="151"/>
      <c r="BH102" s="151"/>
      <c r="BI102" s="151"/>
      <c r="BJ102" s="151"/>
      <c r="BK102" s="151"/>
      <c r="BL102" s="151"/>
      <c r="BM102" s="151"/>
      <c r="BN102" s="151"/>
      <c r="BO102" s="151"/>
    </row>
    <row r="103" spans="1:67" ht="66.599999999999994" customHeight="1" thickBot="1" x14ac:dyDescent="0.4">
      <c r="A103" s="155"/>
      <c r="B103" s="1486" t="s">
        <v>768</v>
      </c>
      <c r="C103" s="1490" t="s">
        <v>1465</v>
      </c>
      <c r="D103" s="196" t="s">
        <v>767</v>
      </c>
      <c r="E103" s="174">
        <v>0.2</v>
      </c>
      <c r="F103" s="175">
        <v>1767</v>
      </c>
      <c r="G103" s="170">
        <v>100</v>
      </c>
      <c r="H103" s="170">
        <v>467</v>
      </c>
      <c r="I103" s="170">
        <v>440</v>
      </c>
      <c r="J103" s="176">
        <f>+G103/F103</f>
        <v>5.6593095642331635E-2</v>
      </c>
      <c r="K103" s="176">
        <f t="shared" si="111"/>
        <v>0.26428975664968873</v>
      </c>
      <c r="L103" s="176">
        <f t="shared" si="112"/>
        <v>0.24900962082625919</v>
      </c>
      <c r="M103" s="176">
        <f>+(G103/F103)*E103</f>
        <v>1.1318619128466328E-2</v>
      </c>
      <c r="N103" s="176">
        <f t="shared" si="113"/>
        <v>5.2857951329937751E-2</v>
      </c>
      <c r="O103" s="176"/>
      <c r="P103" s="170">
        <v>106</v>
      </c>
      <c r="Q103" s="541">
        <v>78</v>
      </c>
      <c r="R103" s="541">
        <v>140</v>
      </c>
      <c r="S103" s="541">
        <v>0</v>
      </c>
      <c r="T103" s="541">
        <v>184</v>
      </c>
      <c r="U103" s="541">
        <v>64</v>
      </c>
      <c r="V103" s="170">
        <f t="shared" si="110"/>
        <v>466</v>
      </c>
      <c r="W103" s="170">
        <f t="shared" ref="W103:W123" si="121">+V103+P103+AB103</f>
        <v>572</v>
      </c>
      <c r="X103" s="541">
        <v>0</v>
      </c>
      <c r="Y103" s="170"/>
      <c r="Z103" s="170"/>
      <c r="AA103" s="170"/>
      <c r="AB103" s="170">
        <f t="shared" si="114"/>
        <v>0</v>
      </c>
      <c r="AC103" s="194">
        <v>1</v>
      </c>
      <c r="AD103" s="194">
        <f t="shared" si="115"/>
        <v>0.99785867237687365</v>
      </c>
      <c r="AE103" s="194">
        <f t="shared" si="116"/>
        <v>0</v>
      </c>
      <c r="AF103" s="194">
        <f>+AC103*E103</f>
        <v>0.2</v>
      </c>
      <c r="AG103" s="194">
        <f t="shared" si="117"/>
        <v>0.19957173447537474</v>
      </c>
      <c r="AH103" s="194">
        <f t="shared" si="118"/>
        <v>0</v>
      </c>
      <c r="AI103" s="194">
        <f>+P103/F103</f>
        <v>5.9988681380871531E-2</v>
      </c>
      <c r="AJ103" s="194">
        <v>0.32371250707413696</v>
      </c>
      <c r="AK103" s="194">
        <f t="shared" si="119"/>
        <v>0.32371250707413696</v>
      </c>
      <c r="AL103" s="194">
        <f>+AI103*E103</f>
        <v>1.1997736276174308E-2</v>
      </c>
      <c r="AM103" s="194">
        <f>+AJ103*E103</f>
        <v>6.4742501414827389E-2</v>
      </c>
      <c r="AN103" s="194">
        <f t="shared" si="120"/>
        <v>6.4742501414827389E-2</v>
      </c>
      <c r="AO103" s="566" t="s">
        <v>1850</v>
      </c>
      <c r="AP103" s="909" t="s">
        <v>1892</v>
      </c>
      <c r="AQ103" s="908" t="s">
        <v>2267</v>
      </c>
      <c r="AR103" s="908" t="s">
        <v>2288</v>
      </c>
      <c r="AS103" s="908" t="s">
        <v>2402</v>
      </c>
      <c r="AT103" s="985" t="s">
        <v>2436</v>
      </c>
      <c r="AU103" s="908" t="s">
        <v>2493</v>
      </c>
      <c r="AV103" s="908" t="s">
        <v>1893</v>
      </c>
      <c r="AW103" s="157"/>
      <c r="AX103" s="151"/>
      <c r="AY103" s="151"/>
      <c r="AZ103" s="151"/>
      <c r="BA103" s="151"/>
      <c r="BB103" s="151"/>
      <c r="BC103" s="151"/>
      <c r="BD103" s="151"/>
      <c r="BE103" s="151"/>
      <c r="BF103" s="151"/>
      <c r="BG103" s="151"/>
      <c r="BH103" s="151"/>
      <c r="BI103" s="151"/>
      <c r="BJ103" s="151"/>
      <c r="BK103" s="151"/>
      <c r="BL103" s="151"/>
      <c r="BM103" s="151"/>
      <c r="BN103" s="151"/>
      <c r="BO103" s="151"/>
    </row>
    <row r="104" spans="1:67" ht="65.400000000000006" customHeight="1" thickBot="1" x14ac:dyDescent="0.4">
      <c r="A104" s="155"/>
      <c r="B104" s="1486" t="s">
        <v>769</v>
      </c>
      <c r="C104" s="1490" t="s">
        <v>1466</v>
      </c>
      <c r="D104" s="196" t="s">
        <v>767</v>
      </c>
      <c r="E104" s="174">
        <v>0.2</v>
      </c>
      <c r="F104" s="175">
        <v>200</v>
      </c>
      <c r="G104" s="170">
        <v>20</v>
      </c>
      <c r="H104" s="170">
        <v>60</v>
      </c>
      <c r="I104" s="170">
        <v>60</v>
      </c>
      <c r="J104" s="176">
        <f>+G104/F104</f>
        <v>0.1</v>
      </c>
      <c r="K104" s="176">
        <f t="shared" si="111"/>
        <v>0.3</v>
      </c>
      <c r="L104" s="176">
        <f t="shared" si="112"/>
        <v>0.3</v>
      </c>
      <c r="M104" s="176">
        <f>+(G104/F104)*E104</f>
        <v>2.0000000000000004E-2</v>
      </c>
      <c r="N104" s="176">
        <f t="shared" si="113"/>
        <v>0.06</v>
      </c>
      <c r="O104" s="176"/>
      <c r="P104" s="170">
        <v>20</v>
      </c>
      <c r="Q104" s="541">
        <v>33</v>
      </c>
      <c r="R104" s="541">
        <v>27</v>
      </c>
      <c r="S104" s="541">
        <v>0</v>
      </c>
      <c r="T104" s="541">
        <v>0</v>
      </c>
      <c r="U104" s="541">
        <v>0</v>
      </c>
      <c r="V104" s="170">
        <f t="shared" si="110"/>
        <v>60</v>
      </c>
      <c r="W104" s="170">
        <f t="shared" si="121"/>
        <v>80</v>
      </c>
      <c r="X104" s="541">
        <v>0</v>
      </c>
      <c r="Y104" s="170"/>
      <c r="Z104" s="170"/>
      <c r="AA104" s="170"/>
      <c r="AB104" s="170">
        <f t="shared" si="114"/>
        <v>0</v>
      </c>
      <c r="AC104" s="194">
        <f>+(P104/G104)</f>
        <v>1</v>
      </c>
      <c r="AD104" s="194">
        <f t="shared" si="115"/>
        <v>1</v>
      </c>
      <c r="AE104" s="194">
        <f t="shared" si="116"/>
        <v>0</v>
      </c>
      <c r="AF104" s="194">
        <f>+AC104*E104</f>
        <v>0.2</v>
      </c>
      <c r="AG104" s="194">
        <f t="shared" si="117"/>
        <v>0.2</v>
      </c>
      <c r="AH104" s="194">
        <f t="shared" si="118"/>
        <v>0</v>
      </c>
      <c r="AI104" s="194">
        <f>+P104/F104</f>
        <v>0.1</v>
      </c>
      <c r="AJ104" s="194">
        <v>0.4</v>
      </c>
      <c r="AK104" s="194">
        <f t="shared" si="119"/>
        <v>0.4</v>
      </c>
      <c r="AL104" s="194">
        <f>+AI104*E104</f>
        <v>2.0000000000000004E-2</v>
      </c>
      <c r="AM104" s="194">
        <f>+AJ104*E104</f>
        <v>8.0000000000000016E-2</v>
      </c>
      <c r="AN104" s="194">
        <f t="shared" si="120"/>
        <v>8.0000000000000016E-2</v>
      </c>
      <c r="AO104" s="566" t="s">
        <v>1850</v>
      </c>
      <c r="AP104" s="909" t="s">
        <v>1892</v>
      </c>
      <c r="AQ104" s="908" t="s">
        <v>2267</v>
      </c>
      <c r="AR104" s="908" t="s">
        <v>2288</v>
      </c>
      <c r="AS104" s="908" t="s">
        <v>2402</v>
      </c>
      <c r="AT104" s="985" t="s">
        <v>2436</v>
      </c>
      <c r="AU104" s="908" t="s">
        <v>2493</v>
      </c>
      <c r="AV104" s="908" t="s">
        <v>1893</v>
      </c>
      <c r="AW104" s="157"/>
      <c r="AX104" s="151"/>
      <c r="AY104" s="151"/>
      <c r="AZ104" s="151"/>
      <c r="BA104" s="151"/>
      <c r="BB104" s="151"/>
      <c r="BC104" s="151"/>
      <c r="BD104" s="151"/>
      <c r="BE104" s="151"/>
      <c r="BF104" s="151"/>
      <c r="BG104" s="151"/>
      <c r="BH104" s="151"/>
      <c r="BI104" s="151"/>
      <c r="BJ104" s="151"/>
      <c r="BK104" s="151"/>
      <c r="BL104" s="151"/>
      <c r="BM104" s="151"/>
      <c r="BN104" s="151"/>
      <c r="BO104" s="151"/>
    </row>
    <row r="105" spans="1:67" ht="51" customHeight="1" thickBot="1" x14ac:dyDescent="0.4">
      <c r="A105" s="155"/>
      <c r="B105" s="1497" t="s">
        <v>770</v>
      </c>
      <c r="C105" s="1498" t="s">
        <v>1467</v>
      </c>
      <c r="D105" s="197" t="s">
        <v>767</v>
      </c>
      <c r="E105" s="174">
        <v>0.2</v>
      </c>
      <c r="F105" s="175">
        <v>100</v>
      </c>
      <c r="G105" s="170">
        <v>30</v>
      </c>
      <c r="H105" s="170">
        <v>25</v>
      </c>
      <c r="I105" s="170">
        <v>20</v>
      </c>
      <c r="J105" s="176">
        <f>+G105/F105</f>
        <v>0.3</v>
      </c>
      <c r="K105" s="176">
        <f t="shared" si="111"/>
        <v>0.25</v>
      </c>
      <c r="L105" s="176">
        <f t="shared" si="112"/>
        <v>0.2</v>
      </c>
      <c r="M105" s="176">
        <f>+(G105/F105)*E105</f>
        <v>0.06</v>
      </c>
      <c r="N105" s="176">
        <f t="shared" si="113"/>
        <v>0.05</v>
      </c>
      <c r="O105" s="176"/>
      <c r="P105" s="170">
        <v>30</v>
      </c>
      <c r="Q105" s="541">
        <v>10</v>
      </c>
      <c r="R105" s="541">
        <v>15</v>
      </c>
      <c r="S105" s="541">
        <v>0</v>
      </c>
      <c r="T105" s="541">
        <v>0</v>
      </c>
      <c r="U105" s="541">
        <v>0</v>
      </c>
      <c r="V105" s="170">
        <f t="shared" si="110"/>
        <v>25</v>
      </c>
      <c r="W105" s="170">
        <f t="shared" si="121"/>
        <v>55</v>
      </c>
      <c r="X105" s="541">
        <v>0</v>
      </c>
      <c r="Y105" s="170"/>
      <c r="Z105" s="170"/>
      <c r="AA105" s="170"/>
      <c r="AB105" s="170">
        <f t="shared" si="114"/>
        <v>0</v>
      </c>
      <c r="AC105" s="194">
        <f>+(P105/G105)</f>
        <v>1</v>
      </c>
      <c r="AD105" s="194">
        <v>1</v>
      </c>
      <c r="AE105" s="194">
        <f>+AB105/I105</f>
        <v>0</v>
      </c>
      <c r="AF105" s="194">
        <f>+AC105*E105</f>
        <v>0.2</v>
      </c>
      <c r="AG105" s="194">
        <f>+AD105*E105</f>
        <v>0.2</v>
      </c>
      <c r="AH105" s="194">
        <f>+AE105*E105</f>
        <v>0</v>
      </c>
      <c r="AI105" s="194">
        <f>+P105/F105</f>
        <v>0.3</v>
      </c>
      <c r="AJ105" s="194">
        <v>0.55000000000000004</v>
      </c>
      <c r="AK105" s="194">
        <f t="shared" si="119"/>
        <v>0.55000000000000004</v>
      </c>
      <c r="AL105" s="194">
        <f>+AI105*E105</f>
        <v>0.06</v>
      </c>
      <c r="AM105" s="194">
        <f>+AJ105*E105</f>
        <v>0.11000000000000001</v>
      </c>
      <c r="AN105" s="194">
        <f t="shared" si="120"/>
        <v>0.11000000000000001</v>
      </c>
      <c r="AO105" s="566" t="s">
        <v>1850</v>
      </c>
      <c r="AP105" s="909" t="s">
        <v>1892</v>
      </c>
      <c r="AQ105" s="908" t="s">
        <v>2267</v>
      </c>
      <c r="AR105" s="908" t="s">
        <v>2288</v>
      </c>
      <c r="AS105" s="908" t="s">
        <v>2402</v>
      </c>
      <c r="AT105" s="985" t="s">
        <v>2436</v>
      </c>
      <c r="AU105" s="908" t="s">
        <v>2493</v>
      </c>
      <c r="AV105" s="908" t="s">
        <v>1893</v>
      </c>
      <c r="AW105" s="157"/>
      <c r="AX105" s="151"/>
      <c r="AY105" s="151"/>
      <c r="AZ105" s="151"/>
      <c r="BA105" s="151"/>
      <c r="BB105" s="151"/>
      <c r="BC105" s="151"/>
      <c r="BD105" s="151"/>
      <c r="BE105" s="151"/>
      <c r="BF105" s="151"/>
      <c r="BG105" s="151"/>
      <c r="BH105" s="151"/>
      <c r="BI105" s="151"/>
      <c r="BJ105" s="151"/>
      <c r="BK105" s="151"/>
      <c r="BL105" s="151"/>
      <c r="BM105" s="151"/>
      <c r="BN105" s="151"/>
      <c r="BO105" s="151"/>
    </row>
    <row r="106" spans="1:67" ht="78" customHeight="1" thickBot="1" x14ac:dyDescent="0.4">
      <c r="A106" s="155"/>
      <c r="B106" s="1484" t="s">
        <v>771</v>
      </c>
      <c r="C106" s="1485" t="s">
        <v>1468</v>
      </c>
      <c r="D106" s="199" t="s">
        <v>767</v>
      </c>
      <c r="E106" s="174">
        <v>0.2</v>
      </c>
      <c r="F106" s="175">
        <v>3</v>
      </c>
      <c r="G106" s="170">
        <v>1</v>
      </c>
      <c r="H106" s="170">
        <v>1</v>
      </c>
      <c r="I106" s="170">
        <v>1</v>
      </c>
      <c r="J106" s="176">
        <f>+G106/F106</f>
        <v>0.33333333333333331</v>
      </c>
      <c r="K106" s="176">
        <f t="shared" si="111"/>
        <v>0.33333333333333331</v>
      </c>
      <c r="L106" s="176">
        <f t="shared" si="112"/>
        <v>0.33333333333333331</v>
      </c>
      <c r="M106" s="176">
        <f>+(G106/F106)*E106</f>
        <v>6.6666666666666666E-2</v>
      </c>
      <c r="N106" s="176">
        <f t="shared" si="113"/>
        <v>6.6666666666666666E-2</v>
      </c>
      <c r="O106" s="176"/>
      <c r="P106" s="170">
        <v>1</v>
      </c>
      <c r="Q106" s="541">
        <v>1</v>
      </c>
      <c r="R106" s="541">
        <v>0</v>
      </c>
      <c r="S106" s="541">
        <v>0</v>
      </c>
      <c r="T106" s="541">
        <v>0</v>
      </c>
      <c r="U106" s="541">
        <v>0</v>
      </c>
      <c r="V106" s="170">
        <f t="shared" si="110"/>
        <v>1</v>
      </c>
      <c r="W106" s="170">
        <f t="shared" si="121"/>
        <v>3</v>
      </c>
      <c r="X106" s="541">
        <v>1</v>
      </c>
      <c r="Y106" s="170"/>
      <c r="Z106" s="170"/>
      <c r="AA106" s="170"/>
      <c r="AB106" s="170">
        <f t="shared" si="114"/>
        <v>1</v>
      </c>
      <c r="AC106" s="194">
        <f>+(P106/G106)</f>
        <v>1</v>
      </c>
      <c r="AD106" s="194">
        <v>1</v>
      </c>
      <c r="AE106" s="194">
        <f t="shared" si="116"/>
        <v>1</v>
      </c>
      <c r="AF106" s="194">
        <f>+AC106*E106</f>
        <v>0.2</v>
      </c>
      <c r="AG106" s="194">
        <f t="shared" si="117"/>
        <v>0.2</v>
      </c>
      <c r="AH106" s="194">
        <f t="shared" si="118"/>
        <v>0.2</v>
      </c>
      <c r="AI106" s="194">
        <f>+P106/F106</f>
        <v>0.33333333333333331</v>
      </c>
      <c r="AJ106" s="194">
        <v>0.66666666666666663</v>
      </c>
      <c r="AK106" s="194">
        <f t="shared" si="119"/>
        <v>1</v>
      </c>
      <c r="AL106" s="194">
        <f>+AI106*E106</f>
        <v>6.6666666666666666E-2</v>
      </c>
      <c r="AM106" s="194">
        <f>+AJ106*E106</f>
        <v>0.13333333333333333</v>
      </c>
      <c r="AN106" s="194">
        <f t="shared" si="120"/>
        <v>0.2</v>
      </c>
      <c r="AO106" s="566" t="s">
        <v>1850</v>
      </c>
      <c r="AP106" s="909" t="s">
        <v>1892</v>
      </c>
      <c r="AQ106" s="908" t="s">
        <v>2267</v>
      </c>
      <c r="AR106" s="908" t="s">
        <v>2288</v>
      </c>
      <c r="AS106" s="908" t="s">
        <v>2402</v>
      </c>
      <c r="AT106" s="985" t="s">
        <v>2436</v>
      </c>
      <c r="AU106" s="908" t="s">
        <v>2493</v>
      </c>
      <c r="AV106" s="908" t="s">
        <v>1893</v>
      </c>
      <c r="AW106" s="157"/>
      <c r="AX106" s="151"/>
      <c r="AY106" s="151"/>
      <c r="AZ106" s="151"/>
      <c r="BA106" s="151"/>
      <c r="BB106" s="151"/>
      <c r="BC106" s="151"/>
      <c r="BD106" s="151"/>
      <c r="BE106" s="151"/>
      <c r="BF106" s="151"/>
      <c r="BG106" s="151"/>
      <c r="BH106" s="151"/>
      <c r="BI106" s="151"/>
      <c r="BJ106" s="151"/>
      <c r="BK106" s="151"/>
      <c r="BL106" s="151"/>
      <c r="BM106" s="151"/>
      <c r="BN106" s="151"/>
      <c r="BO106" s="151"/>
    </row>
    <row r="107" spans="1:67" ht="129" customHeight="1" thickBot="1" x14ac:dyDescent="0.4">
      <c r="A107" s="155"/>
      <c r="B107" s="1570" t="s">
        <v>1719</v>
      </c>
      <c r="C107" s="1566"/>
      <c r="D107" s="196"/>
      <c r="E107" s="166">
        <v>0.45</v>
      </c>
      <c r="F107" s="187"/>
      <c r="G107" s="170"/>
      <c r="H107" s="170"/>
      <c r="I107" s="170"/>
      <c r="J107" s="169">
        <f>+AVERAGE(J108:J116)</f>
        <v>9.2844103687477184E-2</v>
      </c>
      <c r="K107" s="169">
        <f>+AVERAGE(K108:K116)</f>
        <v>0.32959369947321754</v>
      </c>
      <c r="L107" s="169">
        <f>+AVERAGE(L108:L116)</f>
        <v>0.42476451259583792</v>
      </c>
      <c r="M107" s="169">
        <f>+M108+M109+M110+M111+M112+M113+M114+M115+M116</f>
        <v>6.5989047097480838E-2</v>
      </c>
      <c r="N107" s="169">
        <f>+N108+N109+N110+N111+N112+N113+N114+N115+N116</f>
        <v>0.26533698430083974</v>
      </c>
      <c r="O107" s="169"/>
      <c r="P107" s="170"/>
      <c r="Q107" s="170"/>
      <c r="R107" s="170"/>
      <c r="S107" s="170"/>
      <c r="T107" s="170"/>
      <c r="U107" s="795"/>
      <c r="V107" s="170"/>
      <c r="W107" s="170"/>
      <c r="X107" s="170"/>
      <c r="Y107" s="170"/>
      <c r="Z107" s="170"/>
      <c r="AA107" s="170"/>
      <c r="AB107" s="170"/>
      <c r="AC107" s="192">
        <f>+AVERAGE(AC108:AC116)</f>
        <v>1</v>
      </c>
      <c r="AD107" s="192">
        <f>+AVERAGE(AD108:AD116)</f>
        <v>0.8</v>
      </c>
      <c r="AE107" s="192">
        <f>+AVERAGE(AE108:AE116)</f>
        <v>7.8952380952380954E-2</v>
      </c>
      <c r="AF107" s="192">
        <f>+(AF108+AF109+AF110+AF111+AF112+AF113+AF114+AF115+AF116)*E107</f>
        <v>0.27000000000000007</v>
      </c>
      <c r="AG107" s="192">
        <f>+(AG108+AG109+AG110+AG111+AG112+AG113+AG114+AG115+AG116)*E107</f>
        <v>0.30600000000000005</v>
      </c>
      <c r="AH107" s="192">
        <f>+(AH108+AH109+AH110+AH111+AH112+AH113+AH114+AH115+AH116)*E107</f>
        <v>3.9116571428571431E-2</v>
      </c>
      <c r="AI107" s="169">
        <f>+AVERAGE(AI108:AI116)</f>
        <v>0.15418035779481562</v>
      </c>
      <c r="AJ107" s="169">
        <v>0.40181939880735063</v>
      </c>
      <c r="AK107" s="169">
        <f>+AJ107+((AK109-AJ109)/9)+((AK111-AJ111)/9)+((AK114-AJ114)/9)+((AK112-AJ112)/9)+((AK108-AJ108/9))+((AK110-AJ110/9))+((AK113-AJ113/9))+((AK115-AJ115/9))+((AK116-AJ116/9))</f>
        <v>0.41865035901180481</v>
      </c>
      <c r="AL107" s="169">
        <f>+(AL108+AL109+AL110+AL111+AL112+AL113+AL114+AL115+AL116)*E107</f>
        <v>5.2880175246440314E-2</v>
      </c>
      <c r="AM107" s="169">
        <f>+(AM108+AM109+AM110+AM111+AM112+AM113+AM114+AM115+AM116)</f>
        <v>0.42956188389923333</v>
      </c>
      <c r="AN107" s="169">
        <f>+(AN108+AN109+AN110+AN111+AN112+AN113+AN114+AN115+AN116)</f>
        <v>0.45597590361445789</v>
      </c>
      <c r="AO107" s="590"/>
      <c r="AP107" s="163"/>
      <c r="AQ107" s="163"/>
      <c r="AR107" s="163"/>
      <c r="AS107" s="163"/>
      <c r="AT107" s="609"/>
      <c r="AU107" s="163"/>
      <c r="AV107" s="163"/>
      <c r="AW107" s="157"/>
      <c r="AX107" s="151"/>
      <c r="AY107" s="151"/>
      <c r="AZ107" s="151"/>
      <c r="BA107" s="151"/>
      <c r="BB107" s="151"/>
      <c r="BC107" s="151"/>
      <c r="BD107" s="151"/>
      <c r="BE107" s="151"/>
      <c r="BF107" s="151"/>
      <c r="BG107" s="151"/>
      <c r="BH107" s="151"/>
      <c r="BI107" s="151"/>
      <c r="BJ107" s="151"/>
      <c r="BK107" s="151"/>
      <c r="BL107" s="151"/>
      <c r="BM107" s="151"/>
      <c r="BN107" s="151"/>
      <c r="BO107" s="151"/>
    </row>
    <row r="108" spans="1:67" ht="92.4" customHeight="1" thickBot="1" x14ac:dyDescent="0.4">
      <c r="A108" s="155"/>
      <c r="B108" s="1497" t="s">
        <v>772</v>
      </c>
      <c r="C108" s="1498" t="s">
        <v>1469</v>
      </c>
      <c r="D108" s="204" t="s">
        <v>767</v>
      </c>
      <c r="E108" s="174">
        <v>0.05</v>
      </c>
      <c r="F108" s="175">
        <v>1</v>
      </c>
      <c r="G108" s="170">
        <v>0</v>
      </c>
      <c r="H108" s="170">
        <v>1</v>
      </c>
      <c r="I108" s="170">
        <v>0</v>
      </c>
      <c r="J108" s="176"/>
      <c r="K108" s="176">
        <f t="shared" ref="K108:K116" si="122">+H108/F108</f>
        <v>1</v>
      </c>
      <c r="L108" s="176"/>
      <c r="M108" s="176"/>
      <c r="N108" s="176">
        <f t="shared" ref="N108:N116" si="123">+(H108/F108)*E108</f>
        <v>0.05</v>
      </c>
      <c r="O108" s="176"/>
      <c r="P108" s="170"/>
      <c r="Q108" s="541">
        <v>0</v>
      </c>
      <c r="R108" s="541">
        <v>0</v>
      </c>
      <c r="S108" s="541">
        <v>0</v>
      </c>
      <c r="T108" s="541">
        <v>0</v>
      </c>
      <c r="U108" s="541">
        <v>0</v>
      </c>
      <c r="V108" s="236">
        <f t="shared" si="110"/>
        <v>0</v>
      </c>
      <c r="W108" s="170">
        <f t="shared" si="121"/>
        <v>0</v>
      </c>
      <c r="X108" s="541">
        <v>0</v>
      </c>
      <c r="Y108" s="170"/>
      <c r="Z108" s="170"/>
      <c r="AA108" s="170"/>
      <c r="AB108" s="170">
        <f t="shared" si="114"/>
        <v>0</v>
      </c>
      <c r="AC108" s="194"/>
      <c r="AD108" s="194">
        <f t="shared" ref="AD108" si="124">+V108/H108</f>
        <v>0</v>
      </c>
      <c r="AE108" s="194"/>
      <c r="AF108" s="194"/>
      <c r="AG108" s="194">
        <f t="shared" ref="AG108:AG116" si="125">+AD108*E108</f>
        <v>0</v>
      </c>
      <c r="AH108" s="194">
        <f>+AE108*E108</f>
        <v>0</v>
      </c>
      <c r="AI108" s="194"/>
      <c r="AJ108" s="194">
        <v>0</v>
      </c>
      <c r="AK108" s="802">
        <f t="shared" si="119"/>
        <v>0</v>
      </c>
      <c r="AL108" s="176"/>
      <c r="AM108" s="176">
        <f t="shared" ref="AM108:AM123" si="126">+AJ108*E108</f>
        <v>0</v>
      </c>
      <c r="AN108" s="176">
        <f t="shared" si="120"/>
        <v>0</v>
      </c>
      <c r="AO108" s="566" t="s">
        <v>1850</v>
      </c>
      <c r="AP108" s="644" t="s">
        <v>1919</v>
      </c>
      <c r="AQ108" s="908" t="s">
        <v>2267</v>
      </c>
      <c r="AR108" s="908" t="s">
        <v>2288</v>
      </c>
      <c r="AS108" s="908" t="s">
        <v>2402</v>
      </c>
      <c r="AT108" s="985" t="s">
        <v>2436</v>
      </c>
      <c r="AU108" s="908" t="s">
        <v>2493</v>
      </c>
      <c r="AV108" s="908" t="s">
        <v>1893</v>
      </c>
      <c r="AW108" s="157"/>
      <c r="AX108" s="151"/>
      <c r="AY108" s="151"/>
      <c r="AZ108" s="151"/>
      <c r="BA108" s="151"/>
      <c r="BB108" s="151"/>
      <c r="BC108" s="151"/>
      <c r="BD108" s="151"/>
      <c r="BE108" s="151"/>
      <c r="BF108" s="151"/>
      <c r="BG108" s="151"/>
      <c r="BH108" s="151"/>
      <c r="BI108" s="151"/>
      <c r="BJ108" s="151"/>
      <c r="BK108" s="151"/>
      <c r="BL108" s="151"/>
      <c r="BM108" s="151"/>
      <c r="BN108" s="151"/>
      <c r="BO108" s="151"/>
    </row>
    <row r="109" spans="1:67" ht="57.6" customHeight="1" thickBot="1" x14ac:dyDescent="0.4">
      <c r="A109" s="155"/>
      <c r="B109" s="173" t="s">
        <v>773</v>
      </c>
      <c r="C109" s="183" t="s">
        <v>1470</v>
      </c>
      <c r="D109" s="204" t="s">
        <v>767</v>
      </c>
      <c r="E109" s="174">
        <v>0.28000000000000003</v>
      </c>
      <c r="F109" s="175">
        <v>3652</v>
      </c>
      <c r="G109" s="170">
        <v>652</v>
      </c>
      <c r="H109" s="170">
        <v>1000</v>
      </c>
      <c r="I109" s="170">
        <v>1000</v>
      </c>
      <c r="J109" s="176">
        <f t="shared" ref="J109:J114" si="127">+G109/F109</f>
        <v>0.17853231106243153</v>
      </c>
      <c r="K109" s="176">
        <f t="shared" si="122"/>
        <v>0.2738225629791895</v>
      </c>
      <c r="L109" s="176">
        <f t="shared" si="112"/>
        <v>0.2738225629791895</v>
      </c>
      <c r="M109" s="176">
        <f t="shared" ref="M109:M114" si="128">+(G109/F109)*E109</f>
        <v>4.9989047097480831E-2</v>
      </c>
      <c r="N109" s="176">
        <f t="shared" si="123"/>
        <v>7.6670317634173063E-2</v>
      </c>
      <c r="O109" s="176"/>
      <c r="P109" s="170">
        <v>1324</v>
      </c>
      <c r="Q109" s="541">
        <v>35</v>
      </c>
      <c r="R109" s="541">
        <v>434</v>
      </c>
      <c r="S109" s="541">
        <v>130</v>
      </c>
      <c r="T109" s="541">
        <v>375</v>
      </c>
      <c r="U109" s="541">
        <v>44</v>
      </c>
      <c r="V109" s="236">
        <f t="shared" si="110"/>
        <v>1018</v>
      </c>
      <c r="W109" s="170">
        <f>+V109+P109+AB109</f>
        <v>2530</v>
      </c>
      <c r="X109" s="541">
        <v>188</v>
      </c>
      <c r="Y109" s="170"/>
      <c r="Z109" s="170"/>
      <c r="AA109" s="170"/>
      <c r="AB109" s="170">
        <f t="shared" si="114"/>
        <v>188</v>
      </c>
      <c r="AC109" s="194">
        <v>1</v>
      </c>
      <c r="AD109" s="194">
        <v>1</v>
      </c>
      <c r="AE109" s="194">
        <f t="shared" si="116"/>
        <v>0.188</v>
      </c>
      <c r="AF109" s="194">
        <f t="shared" ref="AF109:AF114" si="129">+AC109*E109</f>
        <v>0.28000000000000003</v>
      </c>
      <c r="AG109" s="194">
        <f t="shared" si="125"/>
        <v>0.28000000000000003</v>
      </c>
      <c r="AH109" s="194">
        <f t="shared" si="118"/>
        <v>5.2640000000000006E-2</v>
      </c>
      <c r="AI109" s="194">
        <f t="shared" ref="AI109:AI114" si="130">+P109/F109</f>
        <v>0.36254107338444685</v>
      </c>
      <c r="AJ109" s="194">
        <v>0.64129244249726181</v>
      </c>
      <c r="AK109" s="802">
        <f t="shared" si="119"/>
        <v>0.69277108433734935</v>
      </c>
      <c r="AL109" s="176">
        <f t="shared" ref="AL109:AL114" si="131">+AI109*E109</f>
        <v>0.10151150054764513</v>
      </c>
      <c r="AM109" s="176">
        <f t="shared" si="126"/>
        <v>0.17956188389923333</v>
      </c>
      <c r="AN109" s="176">
        <f t="shared" si="120"/>
        <v>0.19397590361445785</v>
      </c>
      <c r="AO109" s="566" t="s">
        <v>1850</v>
      </c>
      <c r="AP109" s="909" t="s">
        <v>1892</v>
      </c>
      <c r="AQ109" s="908" t="s">
        <v>2267</v>
      </c>
      <c r="AR109" s="908" t="s">
        <v>2288</v>
      </c>
      <c r="AS109" s="908" t="s">
        <v>2402</v>
      </c>
      <c r="AT109" s="985" t="s">
        <v>2436</v>
      </c>
      <c r="AU109" s="908" t="s">
        <v>2493</v>
      </c>
      <c r="AV109" s="908" t="s">
        <v>1893</v>
      </c>
      <c r="AW109" s="157"/>
      <c r="AX109" s="151"/>
      <c r="AY109" s="151"/>
      <c r="AZ109" s="151"/>
      <c r="BA109" s="151"/>
      <c r="BB109" s="151"/>
      <c r="BC109" s="151"/>
      <c r="BD109" s="151"/>
      <c r="BE109" s="151"/>
      <c r="BF109" s="151"/>
      <c r="BG109" s="151"/>
      <c r="BH109" s="151"/>
      <c r="BI109" s="151"/>
      <c r="BJ109" s="151"/>
      <c r="BK109" s="151"/>
      <c r="BL109" s="151"/>
      <c r="BM109" s="151"/>
      <c r="BN109" s="151"/>
      <c r="BO109" s="151"/>
    </row>
    <row r="110" spans="1:67" ht="90" customHeight="1" thickBot="1" x14ac:dyDescent="0.4">
      <c r="A110" s="155"/>
      <c r="B110" s="173" t="s">
        <v>774</v>
      </c>
      <c r="C110" s="183" t="s">
        <v>1471</v>
      </c>
      <c r="D110" s="203" t="s">
        <v>767</v>
      </c>
      <c r="E110" s="174">
        <v>0.05</v>
      </c>
      <c r="F110" s="175">
        <v>2</v>
      </c>
      <c r="G110" s="170">
        <v>0</v>
      </c>
      <c r="H110" s="170">
        <v>0</v>
      </c>
      <c r="I110" s="170">
        <v>2</v>
      </c>
      <c r="J110" s="176"/>
      <c r="K110" s="176"/>
      <c r="L110" s="176">
        <f t="shared" si="112"/>
        <v>1</v>
      </c>
      <c r="M110" s="176"/>
      <c r="N110" s="176"/>
      <c r="O110" s="176"/>
      <c r="P110" s="170"/>
      <c r="Q110" s="541"/>
      <c r="R110" s="541"/>
      <c r="S110" s="541">
        <v>0</v>
      </c>
      <c r="T110" s="541">
        <v>0</v>
      </c>
      <c r="U110" s="541">
        <v>0</v>
      </c>
      <c r="V110" s="236">
        <f t="shared" si="110"/>
        <v>0</v>
      </c>
      <c r="W110" s="170">
        <f t="shared" si="121"/>
        <v>0</v>
      </c>
      <c r="X110" s="541">
        <v>0</v>
      </c>
      <c r="Y110" s="170"/>
      <c r="Z110" s="170"/>
      <c r="AA110" s="170"/>
      <c r="AB110" s="170">
        <f t="shared" si="114"/>
        <v>0</v>
      </c>
      <c r="AC110" s="194"/>
      <c r="AD110" s="194"/>
      <c r="AE110" s="194">
        <f>+AB110/I110</f>
        <v>0</v>
      </c>
      <c r="AF110" s="194"/>
      <c r="AG110" s="194"/>
      <c r="AH110" s="194">
        <f t="shared" si="118"/>
        <v>0</v>
      </c>
      <c r="AI110" s="194"/>
      <c r="AJ110" s="194">
        <v>0</v>
      </c>
      <c r="AK110" s="802">
        <f t="shared" si="119"/>
        <v>0</v>
      </c>
      <c r="AL110" s="176"/>
      <c r="AM110" s="176">
        <f t="shared" si="126"/>
        <v>0</v>
      </c>
      <c r="AN110" s="176">
        <f t="shared" si="120"/>
        <v>0</v>
      </c>
      <c r="AO110" s="566" t="s">
        <v>1850</v>
      </c>
      <c r="AP110" s="909" t="s">
        <v>1892</v>
      </c>
      <c r="AQ110" s="908" t="s">
        <v>2267</v>
      </c>
      <c r="AR110" s="908" t="s">
        <v>2288</v>
      </c>
      <c r="AS110" s="908" t="s">
        <v>2402</v>
      </c>
      <c r="AT110" s="985" t="s">
        <v>2436</v>
      </c>
      <c r="AU110" s="908" t="s">
        <v>2493</v>
      </c>
      <c r="AV110" s="908" t="s">
        <v>1893</v>
      </c>
      <c r="AW110" s="157"/>
      <c r="AX110" s="151"/>
      <c r="AY110" s="151"/>
      <c r="AZ110" s="151"/>
      <c r="BA110" s="151"/>
      <c r="BB110" s="151"/>
      <c r="BC110" s="151"/>
      <c r="BD110" s="151"/>
      <c r="BE110" s="151"/>
      <c r="BF110" s="151"/>
      <c r="BG110" s="151"/>
      <c r="BH110" s="151"/>
      <c r="BI110" s="151"/>
      <c r="BJ110" s="151"/>
      <c r="BK110" s="151"/>
      <c r="BL110" s="151"/>
      <c r="BM110" s="151"/>
      <c r="BN110" s="151"/>
      <c r="BO110" s="151"/>
    </row>
    <row r="111" spans="1:67" ht="85.2" customHeight="1" thickBot="1" x14ac:dyDescent="0.4">
      <c r="A111" s="155"/>
      <c r="B111" s="173" t="s">
        <v>775</v>
      </c>
      <c r="C111" s="183" t="s">
        <v>2555</v>
      </c>
      <c r="D111" s="185" t="s">
        <v>767</v>
      </c>
      <c r="E111" s="174">
        <v>0.2</v>
      </c>
      <c r="F111" s="175">
        <v>20</v>
      </c>
      <c r="G111" s="170">
        <v>1</v>
      </c>
      <c r="H111" s="170">
        <v>7</v>
      </c>
      <c r="I111" s="170">
        <v>5</v>
      </c>
      <c r="J111" s="176">
        <f t="shared" si="127"/>
        <v>0.05</v>
      </c>
      <c r="K111" s="176">
        <f t="shared" si="122"/>
        <v>0.35</v>
      </c>
      <c r="L111" s="176">
        <f t="shared" si="112"/>
        <v>0.25</v>
      </c>
      <c r="M111" s="176">
        <f t="shared" si="128"/>
        <v>1.0000000000000002E-2</v>
      </c>
      <c r="N111" s="176">
        <f t="shared" si="123"/>
        <v>6.9999999999999993E-2</v>
      </c>
      <c r="O111" s="176"/>
      <c r="P111" s="170">
        <v>1</v>
      </c>
      <c r="Q111" s="541">
        <v>0</v>
      </c>
      <c r="R111" s="541">
        <v>0</v>
      </c>
      <c r="S111" s="541">
        <v>0</v>
      </c>
      <c r="T111" s="541">
        <v>0</v>
      </c>
      <c r="U111" s="541">
        <v>10</v>
      </c>
      <c r="V111" s="236">
        <f t="shared" si="110"/>
        <v>10</v>
      </c>
      <c r="W111" s="170">
        <f t="shared" si="121"/>
        <v>11</v>
      </c>
      <c r="X111" s="541">
        <v>0</v>
      </c>
      <c r="Y111" s="170"/>
      <c r="Z111" s="170"/>
      <c r="AA111" s="170"/>
      <c r="AB111" s="170">
        <f t="shared" si="114"/>
        <v>0</v>
      </c>
      <c r="AC111" s="194">
        <f t="shared" ref="AC111:AC114" si="132">+(P111/G111)</f>
        <v>1</v>
      </c>
      <c r="AD111" s="194">
        <v>1</v>
      </c>
      <c r="AE111" s="194">
        <f t="shared" si="116"/>
        <v>0</v>
      </c>
      <c r="AF111" s="194">
        <f t="shared" si="129"/>
        <v>0.2</v>
      </c>
      <c r="AG111" s="194">
        <f t="shared" si="125"/>
        <v>0.2</v>
      </c>
      <c r="AH111" s="194">
        <f t="shared" si="118"/>
        <v>0</v>
      </c>
      <c r="AI111" s="194">
        <f t="shared" si="130"/>
        <v>0.05</v>
      </c>
      <c r="AJ111" s="194">
        <v>0.55000000000000004</v>
      </c>
      <c r="AK111" s="802">
        <f t="shared" si="119"/>
        <v>0.55000000000000004</v>
      </c>
      <c r="AL111" s="176">
        <f t="shared" si="131"/>
        <v>1.0000000000000002E-2</v>
      </c>
      <c r="AM111" s="176">
        <f t="shared" si="126"/>
        <v>0.11000000000000001</v>
      </c>
      <c r="AN111" s="176">
        <f t="shared" si="120"/>
        <v>0.11000000000000001</v>
      </c>
      <c r="AO111" s="566" t="s">
        <v>1850</v>
      </c>
      <c r="AP111" s="909" t="s">
        <v>1892</v>
      </c>
      <c r="AQ111" s="908" t="s">
        <v>2267</v>
      </c>
      <c r="AR111" s="908" t="s">
        <v>2288</v>
      </c>
      <c r="AS111" s="908" t="s">
        <v>2402</v>
      </c>
      <c r="AT111" s="985" t="s">
        <v>2436</v>
      </c>
      <c r="AU111" s="908" t="s">
        <v>2493</v>
      </c>
      <c r="AV111" s="908" t="s">
        <v>1893</v>
      </c>
      <c r="AW111" s="157"/>
      <c r="AX111" s="151"/>
      <c r="AY111" s="151"/>
      <c r="AZ111" s="151"/>
      <c r="BA111" s="151"/>
      <c r="BB111" s="151"/>
      <c r="BC111" s="151"/>
      <c r="BD111" s="151"/>
      <c r="BE111" s="151"/>
      <c r="BF111" s="151"/>
      <c r="BG111" s="151"/>
      <c r="BH111" s="151"/>
      <c r="BI111" s="151"/>
      <c r="BJ111" s="151"/>
      <c r="BK111" s="151"/>
      <c r="BL111" s="151"/>
      <c r="BM111" s="151"/>
      <c r="BN111" s="151"/>
      <c r="BO111" s="151"/>
    </row>
    <row r="112" spans="1:67" ht="90.6" customHeight="1" thickBot="1" x14ac:dyDescent="0.4">
      <c r="A112" s="155"/>
      <c r="B112" s="173" t="s">
        <v>776</v>
      </c>
      <c r="C112" s="183" t="s">
        <v>1473</v>
      </c>
      <c r="D112" s="185" t="s">
        <v>767</v>
      </c>
      <c r="E112" s="174">
        <v>0.08</v>
      </c>
      <c r="F112" s="175">
        <v>3</v>
      </c>
      <c r="G112" s="170">
        <v>0</v>
      </c>
      <c r="H112" s="170">
        <v>1</v>
      </c>
      <c r="I112" s="170">
        <v>1</v>
      </c>
      <c r="J112" s="176"/>
      <c r="K112" s="176">
        <f t="shared" si="122"/>
        <v>0.33333333333333331</v>
      </c>
      <c r="L112" s="176"/>
      <c r="M112" s="176"/>
      <c r="N112" s="176">
        <f t="shared" si="123"/>
        <v>2.6666666666666665E-2</v>
      </c>
      <c r="O112" s="176"/>
      <c r="P112" s="170"/>
      <c r="Q112" s="541">
        <v>0</v>
      </c>
      <c r="R112" s="541">
        <v>1</v>
      </c>
      <c r="S112" s="541">
        <v>0</v>
      </c>
      <c r="T112" s="541">
        <v>0</v>
      </c>
      <c r="U112" s="541">
        <v>2</v>
      </c>
      <c r="V112" s="236">
        <f t="shared" si="110"/>
        <v>3</v>
      </c>
      <c r="W112" s="170">
        <f t="shared" si="121"/>
        <v>3</v>
      </c>
      <c r="X112" s="541">
        <v>0</v>
      </c>
      <c r="Y112" s="170"/>
      <c r="Z112" s="170"/>
      <c r="AA112" s="170"/>
      <c r="AB112" s="170">
        <f t="shared" si="114"/>
        <v>0</v>
      </c>
      <c r="AC112" s="194"/>
      <c r="AD112" s="194">
        <v>1</v>
      </c>
      <c r="AE112" s="194">
        <f t="shared" si="116"/>
        <v>0</v>
      </c>
      <c r="AF112" s="194"/>
      <c r="AG112" s="194">
        <f t="shared" si="125"/>
        <v>0.08</v>
      </c>
      <c r="AH112" s="194">
        <f t="shared" si="118"/>
        <v>0</v>
      </c>
      <c r="AI112" s="194"/>
      <c r="AJ112" s="194">
        <v>1</v>
      </c>
      <c r="AK112" s="802">
        <f t="shared" si="119"/>
        <v>1</v>
      </c>
      <c r="AL112" s="176"/>
      <c r="AM112" s="176">
        <f t="shared" si="126"/>
        <v>0.08</v>
      </c>
      <c r="AN112" s="176">
        <f t="shared" si="120"/>
        <v>0.08</v>
      </c>
      <c r="AO112" s="566" t="s">
        <v>1850</v>
      </c>
      <c r="AP112" s="644" t="s">
        <v>1919</v>
      </c>
      <c r="AQ112" s="908" t="s">
        <v>2267</v>
      </c>
      <c r="AR112" s="908" t="s">
        <v>2288</v>
      </c>
      <c r="AS112" s="908" t="s">
        <v>2402</v>
      </c>
      <c r="AT112" s="985" t="s">
        <v>2436</v>
      </c>
      <c r="AU112" s="908" t="s">
        <v>2495</v>
      </c>
      <c r="AV112" s="908" t="s">
        <v>1893</v>
      </c>
      <c r="AW112" s="157"/>
      <c r="AX112" s="151"/>
      <c r="AY112" s="151"/>
      <c r="AZ112" s="151"/>
      <c r="BA112" s="151"/>
      <c r="BB112" s="151"/>
      <c r="BC112" s="151"/>
      <c r="BD112" s="151"/>
      <c r="BE112" s="151"/>
      <c r="BF112" s="151"/>
      <c r="BG112" s="151"/>
      <c r="BH112" s="151"/>
      <c r="BI112" s="151"/>
      <c r="BJ112" s="151"/>
      <c r="BK112" s="151"/>
      <c r="BL112" s="151"/>
      <c r="BM112" s="151"/>
      <c r="BN112" s="151"/>
      <c r="BO112" s="151"/>
    </row>
    <row r="113" spans="1:67" ht="87" customHeight="1" thickBot="1" x14ac:dyDescent="0.4">
      <c r="A113" s="155"/>
      <c r="B113" s="173" t="s">
        <v>777</v>
      </c>
      <c r="C113" s="183" t="s">
        <v>1474</v>
      </c>
      <c r="D113" s="185" t="s">
        <v>767</v>
      </c>
      <c r="E113" s="174">
        <v>0.05</v>
      </c>
      <c r="F113" s="175">
        <v>4</v>
      </c>
      <c r="G113" s="170">
        <v>0</v>
      </c>
      <c r="H113" s="170">
        <v>0</v>
      </c>
      <c r="I113" s="170">
        <v>1</v>
      </c>
      <c r="J113" s="176"/>
      <c r="K113" s="176"/>
      <c r="L113" s="176">
        <f t="shared" si="112"/>
        <v>0.25</v>
      </c>
      <c r="M113" s="176"/>
      <c r="N113" s="176"/>
      <c r="O113" s="176"/>
      <c r="P113" s="170"/>
      <c r="Q113" s="541"/>
      <c r="R113" s="541"/>
      <c r="S113" s="541">
        <v>0</v>
      </c>
      <c r="T113" s="541">
        <v>0</v>
      </c>
      <c r="U113" s="541">
        <v>0</v>
      </c>
      <c r="V113" s="236">
        <f t="shared" si="110"/>
        <v>0</v>
      </c>
      <c r="W113" s="170">
        <f t="shared" si="121"/>
        <v>0</v>
      </c>
      <c r="X113" s="541">
        <v>0</v>
      </c>
      <c r="Y113" s="170"/>
      <c r="Z113" s="170"/>
      <c r="AA113" s="170"/>
      <c r="AB113" s="170">
        <f t="shared" si="114"/>
        <v>0</v>
      </c>
      <c r="AC113" s="194"/>
      <c r="AD113" s="194"/>
      <c r="AE113" s="194">
        <f t="shared" si="116"/>
        <v>0</v>
      </c>
      <c r="AF113" s="194"/>
      <c r="AG113" s="194"/>
      <c r="AH113" s="194">
        <f t="shared" si="118"/>
        <v>0</v>
      </c>
      <c r="AI113" s="194"/>
      <c r="AJ113" s="194">
        <v>0</v>
      </c>
      <c r="AK113" s="802">
        <f t="shared" si="119"/>
        <v>0</v>
      </c>
      <c r="AL113" s="176"/>
      <c r="AM113" s="176">
        <f t="shared" si="126"/>
        <v>0</v>
      </c>
      <c r="AN113" s="176">
        <f t="shared" si="120"/>
        <v>0</v>
      </c>
      <c r="AO113" s="566" t="s">
        <v>1850</v>
      </c>
      <c r="AP113" s="909" t="s">
        <v>1892</v>
      </c>
      <c r="AQ113" s="908" t="s">
        <v>2267</v>
      </c>
      <c r="AR113" s="908" t="s">
        <v>2288</v>
      </c>
      <c r="AS113" s="908" t="s">
        <v>2402</v>
      </c>
      <c r="AT113" s="985" t="s">
        <v>2436</v>
      </c>
      <c r="AU113" s="908" t="s">
        <v>2493</v>
      </c>
      <c r="AV113" s="908" t="s">
        <v>1893</v>
      </c>
      <c r="AW113" s="157"/>
      <c r="AX113" s="151"/>
      <c r="AY113" s="151"/>
      <c r="AZ113" s="151"/>
      <c r="BA113" s="151"/>
      <c r="BB113" s="151"/>
      <c r="BC113" s="151"/>
      <c r="BD113" s="151"/>
      <c r="BE113" s="151"/>
      <c r="BF113" s="151"/>
      <c r="BG113" s="151"/>
      <c r="BH113" s="151"/>
      <c r="BI113" s="151"/>
      <c r="BJ113" s="151"/>
      <c r="BK113" s="151"/>
      <c r="BL113" s="151"/>
      <c r="BM113" s="151"/>
      <c r="BN113" s="151"/>
      <c r="BO113" s="151"/>
    </row>
    <row r="114" spans="1:67" ht="54" customHeight="1" thickBot="1" x14ac:dyDescent="0.4">
      <c r="A114" s="155"/>
      <c r="B114" s="173" t="s">
        <v>778</v>
      </c>
      <c r="C114" s="183" t="s">
        <v>1475</v>
      </c>
      <c r="D114" s="185" t="s">
        <v>767</v>
      </c>
      <c r="E114" s="174">
        <v>0.12</v>
      </c>
      <c r="F114" s="175">
        <v>20</v>
      </c>
      <c r="G114" s="170">
        <v>1</v>
      </c>
      <c r="H114" s="170">
        <v>7</v>
      </c>
      <c r="I114" s="170">
        <v>7</v>
      </c>
      <c r="J114" s="176">
        <f t="shared" si="127"/>
        <v>0.05</v>
      </c>
      <c r="K114" s="176">
        <f t="shared" si="122"/>
        <v>0.35</v>
      </c>
      <c r="L114" s="176">
        <f t="shared" si="112"/>
        <v>0.35</v>
      </c>
      <c r="M114" s="176">
        <f t="shared" si="128"/>
        <v>6.0000000000000001E-3</v>
      </c>
      <c r="N114" s="176">
        <f t="shared" si="123"/>
        <v>4.1999999999999996E-2</v>
      </c>
      <c r="O114" s="176"/>
      <c r="P114" s="170">
        <v>1</v>
      </c>
      <c r="Q114" s="541">
        <v>0</v>
      </c>
      <c r="R114" s="541">
        <v>2</v>
      </c>
      <c r="S114" s="541">
        <v>0</v>
      </c>
      <c r="T114" s="541">
        <v>5</v>
      </c>
      <c r="U114" s="541">
        <v>2</v>
      </c>
      <c r="V114" s="236">
        <f t="shared" si="110"/>
        <v>9</v>
      </c>
      <c r="W114" s="170">
        <f t="shared" si="121"/>
        <v>12</v>
      </c>
      <c r="X114" s="541">
        <v>2</v>
      </c>
      <c r="Y114" s="170"/>
      <c r="Z114" s="170"/>
      <c r="AA114" s="170"/>
      <c r="AB114" s="170">
        <f t="shared" si="114"/>
        <v>2</v>
      </c>
      <c r="AC114" s="194">
        <f t="shared" si="132"/>
        <v>1</v>
      </c>
      <c r="AD114" s="194">
        <v>1</v>
      </c>
      <c r="AE114" s="194">
        <f t="shared" si="116"/>
        <v>0.2857142857142857</v>
      </c>
      <c r="AF114" s="194">
        <f t="shared" si="129"/>
        <v>0.12</v>
      </c>
      <c r="AG114" s="194">
        <f t="shared" si="125"/>
        <v>0.12</v>
      </c>
      <c r="AH114" s="194">
        <f t="shared" si="118"/>
        <v>3.428571428571428E-2</v>
      </c>
      <c r="AI114" s="194">
        <f t="shared" si="130"/>
        <v>0.05</v>
      </c>
      <c r="AJ114" s="194">
        <v>0.5</v>
      </c>
      <c r="AK114" s="802">
        <f t="shared" si="119"/>
        <v>0.6</v>
      </c>
      <c r="AL114" s="176">
        <f t="shared" si="131"/>
        <v>6.0000000000000001E-3</v>
      </c>
      <c r="AM114" s="176">
        <f t="shared" si="126"/>
        <v>0.06</v>
      </c>
      <c r="AN114" s="176">
        <f t="shared" si="120"/>
        <v>7.1999999999999995E-2</v>
      </c>
      <c r="AO114" s="566" t="s">
        <v>1850</v>
      </c>
      <c r="AP114" s="909" t="s">
        <v>1892</v>
      </c>
      <c r="AQ114" s="908" t="s">
        <v>2267</v>
      </c>
      <c r="AR114" s="908" t="s">
        <v>2288</v>
      </c>
      <c r="AS114" s="908" t="s">
        <v>2402</v>
      </c>
      <c r="AT114" s="985" t="s">
        <v>2436</v>
      </c>
      <c r="AU114" s="908" t="s">
        <v>2493</v>
      </c>
      <c r="AV114" s="908" t="s">
        <v>1893</v>
      </c>
      <c r="AW114" s="157"/>
      <c r="AX114" s="151"/>
      <c r="AY114" s="151"/>
      <c r="AZ114" s="151"/>
      <c r="BA114" s="151"/>
      <c r="BB114" s="151"/>
      <c r="BC114" s="151"/>
      <c r="BD114" s="151"/>
      <c r="BE114" s="151"/>
      <c r="BF114" s="151"/>
      <c r="BG114" s="151"/>
      <c r="BH114" s="151"/>
      <c r="BI114" s="151"/>
      <c r="BJ114" s="151"/>
      <c r="BK114" s="151"/>
      <c r="BL114" s="151"/>
      <c r="BM114" s="151"/>
      <c r="BN114" s="151"/>
      <c r="BO114" s="151"/>
    </row>
    <row r="115" spans="1:67" ht="104.4" customHeight="1" thickBot="1" x14ac:dyDescent="0.4">
      <c r="A115" s="155"/>
      <c r="B115" s="790" t="s">
        <v>779</v>
      </c>
      <c r="C115" s="794" t="s">
        <v>1476</v>
      </c>
      <c r="D115" s="193" t="s">
        <v>780</v>
      </c>
      <c r="E115" s="174">
        <v>0.02</v>
      </c>
      <c r="F115" s="175">
        <v>4</v>
      </c>
      <c r="G115" s="170">
        <v>0</v>
      </c>
      <c r="H115" s="170">
        <v>0</v>
      </c>
      <c r="I115" s="170"/>
      <c r="J115" s="176"/>
      <c r="K115" s="176">
        <f t="shared" si="122"/>
        <v>0</v>
      </c>
      <c r="L115" s="176"/>
      <c r="M115" s="176"/>
      <c r="N115" s="176">
        <f t="shared" si="123"/>
        <v>0</v>
      </c>
      <c r="O115" s="176"/>
      <c r="P115" s="170"/>
      <c r="Q115" s="236"/>
      <c r="R115" s="236"/>
      <c r="S115" s="236"/>
      <c r="T115" s="170"/>
      <c r="U115" s="795"/>
      <c r="V115" s="170">
        <f>+Q115+R115+S115+T115+U115</f>
        <v>0</v>
      </c>
      <c r="W115" s="170">
        <f t="shared" si="121"/>
        <v>0</v>
      </c>
      <c r="X115" s="170"/>
      <c r="Y115" s="170"/>
      <c r="Z115" s="170"/>
      <c r="AA115" s="170"/>
      <c r="AB115" s="170">
        <f t="shared" si="114"/>
        <v>0</v>
      </c>
      <c r="AC115" s="194"/>
      <c r="AD115" s="194"/>
      <c r="AE115" s="194"/>
      <c r="AF115" s="194"/>
      <c r="AG115" s="194">
        <f t="shared" si="125"/>
        <v>0</v>
      </c>
      <c r="AH115" s="194">
        <f t="shared" si="118"/>
        <v>0</v>
      </c>
      <c r="AI115" s="194"/>
      <c r="AJ115" s="194"/>
      <c r="AK115" s="802">
        <f t="shared" si="119"/>
        <v>0</v>
      </c>
      <c r="AL115" s="176"/>
      <c r="AM115" s="176">
        <f t="shared" si="126"/>
        <v>0</v>
      </c>
      <c r="AN115" s="176">
        <f t="shared" si="120"/>
        <v>0</v>
      </c>
      <c r="AO115" s="907" t="s">
        <v>1569</v>
      </c>
      <c r="AP115" s="644" t="s">
        <v>1865</v>
      </c>
      <c r="AQ115" s="908" t="s">
        <v>2267</v>
      </c>
      <c r="AR115" s="908" t="s">
        <v>2288</v>
      </c>
      <c r="AS115" s="163"/>
      <c r="AT115" s="609"/>
      <c r="AU115" s="551" t="s">
        <v>2519</v>
      </c>
      <c r="AV115" s="551" t="s">
        <v>2519</v>
      </c>
      <c r="AW115" s="157"/>
      <c r="AX115" s="151"/>
      <c r="AY115" s="151"/>
      <c r="AZ115" s="151"/>
      <c r="BA115" s="151"/>
      <c r="BB115" s="151"/>
      <c r="BC115" s="151"/>
      <c r="BD115" s="151"/>
      <c r="BE115" s="151"/>
      <c r="BF115" s="151"/>
      <c r="BG115" s="151"/>
      <c r="BH115" s="151"/>
      <c r="BI115" s="151"/>
      <c r="BJ115" s="151"/>
      <c r="BK115" s="151"/>
      <c r="BL115" s="151"/>
      <c r="BM115" s="151"/>
      <c r="BN115" s="151"/>
      <c r="BO115" s="151"/>
    </row>
    <row r="116" spans="1:67" ht="64.95" customHeight="1" thickBot="1" x14ac:dyDescent="0.4">
      <c r="A116" s="155"/>
      <c r="B116" s="790" t="s">
        <v>781</v>
      </c>
      <c r="C116" s="794" t="s">
        <v>1477</v>
      </c>
      <c r="D116" s="195" t="s">
        <v>782</v>
      </c>
      <c r="E116" s="174">
        <v>0.15</v>
      </c>
      <c r="F116" s="175">
        <v>1</v>
      </c>
      <c r="G116" s="170">
        <v>0</v>
      </c>
      <c r="H116" s="170">
        <v>0</v>
      </c>
      <c r="I116" s="170"/>
      <c r="J116" s="176"/>
      <c r="K116" s="176">
        <f t="shared" si="122"/>
        <v>0</v>
      </c>
      <c r="L116" s="176"/>
      <c r="M116" s="176"/>
      <c r="N116" s="176">
        <f t="shared" si="123"/>
        <v>0</v>
      </c>
      <c r="O116" s="176"/>
      <c r="P116" s="170"/>
      <c r="Q116" s="236"/>
      <c r="R116" s="236"/>
      <c r="S116" s="236"/>
      <c r="T116" s="170"/>
      <c r="U116" s="795"/>
      <c r="V116" s="170">
        <f>+Q116+R116+S116+T116+U116</f>
        <v>0</v>
      </c>
      <c r="W116" s="170">
        <f t="shared" si="121"/>
        <v>0</v>
      </c>
      <c r="X116" s="170"/>
      <c r="Y116" s="170"/>
      <c r="Z116" s="170"/>
      <c r="AA116" s="170"/>
      <c r="AB116" s="170">
        <f t="shared" si="114"/>
        <v>0</v>
      </c>
      <c r="AC116" s="194"/>
      <c r="AD116" s="194"/>
      <c r="AE116" s="194"/>
      <c r="AF116" s="194"/>
      <c r="AG116" s="194">
        <f t="shared" si="125"/>
        <v>0</v>
      </c>
      <c r="AH116" s="194">
        <f t="shared" si="118"/>
        <v>0</v>
      </c>
      <c r="AI116" s="194"/>
      <c r="AJ116" s="194"/>
      <c r="AK116" s="802">
        <f t="shared" si="119"/>
        <v>0</v>
      </c>
      <c r="AL116" s="176"/>
      <c r="AM116" s="176">
        <f t="shared" si="126"/>
        <v>0</v>
      </c>
      <c r="AN116" s="176">
        <f t="shared" si="120"/>
        <v>0</v>
      </c>
      <c r="AO116" s="907" t="s">
        <v>1569</v>
      </c>
      <c r="AP116" s="644" t="s">
        <v>1865</v>
      </c>
      <c r="AQ116" s="908" t="s">
        <v>2267</v>
      </c>
      <c r="AR116" s="908" t="s">
        <v>2288</v>
      </c>
      <c r="AS116" s="163"/>
      <c r="AT116" s="609"/>
      <c r="AU116" s="551" t="s">
        <v>2519</v>
      </c>
      <c r="AV116" s="551" t="s">
        <v>2519</v>
      </c>
      <c r="AW116" s="157"/>
      <c r="AX116" s="151"/>
      <c r="AY116" s="151"/>
      <c r="AZ116" s="151"/>
      <c r="BA116" s="151"/>
      <c r="BB116" s="151"/>
      <c r="BC116" s="151"/>
      <c r="BD116" s="151"/>
      <c r="BE116" s="151"/>
      <c r="BF116" s="151"/>
      <c r="BG116" s="151"/>
      <c r="BH116" s="151"/>
      <c r="BI116" s="151"/>
      <c r="BJ116" s="151"/>
      <c r="BK116" s="151"/>
      <c r="BL116" s="151"/>
      <c r="BM116" s="151"/>
      <c r="BN116" s="151"/>
      <c r="BO116" s="151"/>
    </row>
    <row r="117" spans="1:67" ht="28.5" customHeight="1" thickBot="1" x14ac:dyDescent="0.4">
      <c r="A117" s="155"/>
      <c r="B117" s="1557" t="s">
        <v>783</v>
      </c>
      <c r="C117" s="1558"/>
      <c r="D117" s="184"/>
      <c r="E117" s="166">
        <v>0.3</v>
      </c>
      <c r="F117" s="187"/>
      <c r="G117" s="170"/>
      <c r="H117" s="170"/>
      <c r="I117" s="170"/>
      <c r="J117" s="169">
        <f>+AVERAGE(J118:J123)</f>
        <v>0.25</v>
      </c>
      <c r="K117" s="169">
        <f>+AVERAGE(K118:K123)</f>
        <v>0.55000000000000004</v>
      </c>
      <c r="L117" s="169">
        <f>+AVERAGE(L118:L123)</f>
        <v>0.41</v>
      </c>
      <c r="M117" s="169">
        <f>+M118+M119+M120+M121+M122+M123</f>
        <v>3.7499999999999999E-2</v>
      </c>
      <c r="N117" s="169">
        <f>+N118+N119+N120+N121+N122+N123</f>
        <v>0.41250000000000003</v>
      </c>
      <c r="O117" s="169"/>
      <c r="P117" s="168"/>
      <c r="Q117" s="168"/>
      <c r="R117" s="168"/>
      <c r="S117" s="168"/>
      <c r="T117" s="168"/>
      <c r="U117" s="984"/>
      <c r="V117" s="170"/>
      <c r="W117" s="170"/>
      <c r="X117" s="168"/>
      <c r="Y117" s="168"/>
      <c r="Z117" s="168"/>
      <c r="AA117" s="168"/>
      <c r="AB117" s="168"/>
      <c r="AC117" s="192">
        <f>+AVERAGE(AC118:AC123)</f>
        <v>1</v>
      </c>
      <c r="AD117" s="192">
        <f>+AVERAGE(AD118:AD123)</f>
        <v>0.54999999999999993</v>
      </c>
      <c r="AE117" s="192">
        <f>+AVERAGE(AE118:AE123)</f>
        <v>0</v>
      </c>
      <c r="AF117" s="192">
        <f>+(AF118+AF119+AF120+AF121+AF122+AF123)*E117</f>
        <v>4.4999999999999998E-2</v>
      </c>
      <c r="AG117" s="192">
        <f>+(AG118+AG119+AG120+AG121+AG122+AG123)*E117</f>
        <v>0.1545</v>
      </c>
      <c r="AH117" s="192">
        <f>+(AH118+AH119+AH120+AH121+AH122+AH123)*E117</f>
        <v>0</v>
      </c>
      <c r="AI117" s="169">
        <f>+AVERAGE(AI118:AI123)</f>
        <v>0.25</v>
      </c>
      <c r="AJ117" s="169">
        <v>0.35833333333333334</v>
      </c>
      <c r="AK117" s="169">
        <f>+AVERAGE(AK118:AK123)</f>
        <v>0.35833333333333334</v>
      </c>
      <c r="AL117" s="169">
        <f>+(AL118+AL119+AL120+AL121+AL122+AL123)*E117</f>
        <v>1.125E-2</v>
      </c>
      <c r="AM117" s="169">
        <f>+(AM118+AM119+AM120+AM121+AM122+AM123)</f>
        <v>0.40749999999999997</v>
      </c>
      <c r="AN117" s="169">
        <f>+(AN118+AN119+AN120+AN121+AN122+AN123)</f>
        <v>0.40749999999999997</v>
      </c>
      <c r="AO117" s="590"/>
      <c r="AP117" s="163"/>
      <c r="AQ117" s="163"/>
      <c r="AR117" s="163"/>
      <c r="AS117" s="163"/>
      <c r="AT117" s="609"/>
      <c r="AU117" s="163"/>
      <c r="AV117" s="163"/>
      <c r="AW117" s="157"/>
      <c r="AX117" s="151"/>
      <c r="AY117" s="151"/>
      <c r="AZ117" s="151"/>
      <c r="BA117" s="151"/>
      <c r="BB117" s="151"/>
      <c r="BC117" s="151"/>
      <c r="BD117" s="151"/>
      <c r="BE117" s="151"/>
      <c r="BF117" s="151"/>
      <c r="BG117" s="151"/>
      <c r="BH117" s="151"/>
      <c r="BI117" s="151"/>
      <c r="BJ117" s="151"/>
      <c r="BK117" s="151"/>
      <c r="BL117" s="151"/>
      <c r="BM117" s="151"/>
      <c r="BN117" s="151"/>
      <c r="BO117" s="151"/>
    </row>
    <row r="118" spans="1:67" ht="93.6" customHeight="1" thickBot="1" x14ac:dyDescent="0.4">
      <c r="A118" s="155"/>
      <c r="B118" s="173" t="s">
        <v>784</v>
      </c>
      <c r="C118" s="183" t="s">
        <v>1478</v>
      </c>
      <c r="D118" s="185" t="s">
        <v>767</v>
      </c>
      <c r="E118" s="174">
        <v>0.05</v>
      </c>
      <c r="F118" s="175">
        <v>2</v>
      </c>
      <c r="G118" s="170">
        <v>0</v>
      </c>
      <c r="H118" s="170">
        <v>1</v>
      </c>
      <c r="I118" s="170">
        <v>1</v>
      </c>
      <c r="J118" s="176"/>
      <c r="K118" s="176">
        <f t="shared" ref="K118:K123" si="133">+H118/F118</f>
        <v>0.5</v>
      </c>
      <c r="L118" s="176">
        <f t="shared" si="112"/>
        <v>0.5</v>
      </c>
      <c r="M118" s="176"/>
      <c r="N118" s="176">
        <f t="shared" ref="N118:N123" si="134">+(H118/F118)*E118</f>
        <v>2.5000000000000001E-2</v>
      </c>
      <c r="O118" s="176"/>
      <c r="P118" s="170"/>
      <c r="Q118" s="541">
        <v>0</v>
      </c>
      <c r="R118" s="541">
        <v>0</v>
      </c>
      <c r="S118" s="541">
        <v>0</v>
      </c>
      <c r="T118" s="541">
        <v>0</v>
      </c>
      <c r="U118" s="541">
        <v>0.5</v>
      </c>
      <c r="V118" s="170">
        <f t="shared" si="110"/>
        <v>0.5</v>
      </c>
      <c r="W118" s="170">
        <f t="shared" si="121"/>
        <v>0.5</v>
      </c>
      <c r="X118" s="541">
        <v>0</v>
      </c>
      <c r="Y118" s="170"/>
      <c r="Z118" s="170"/>
      <c r="AA118" s="170"/>
      <c r="AB118" s="170">
        <f t="shared" si="114"/>
        <v>0</v>
      </c>
      <c r="AC118" s="194"/>
      <c r="AD118" s="194">
        <f t="shared" ref="AD118:AD123" si="135">+V118/H118</f>
        <v>0.5</v>
      </c>
      <c r="AE118" s="194">
        <f>+AB118/I118</f>
        <v>0</v>
      </c>
      <c r="AF118" s="194"/>
      <c r="AG118" s="194">
        <f t="shared" ref="AG118:AG123" si="136">+AD118*E118</f>
        <v>2.5000000000000001E-2</v>
      </c>
      <c r="AH118" s="194">
        <f t="shared" si="118"/>
        <v>0</v>
      </c>
      <c r="AI118" s="194"/>
      <c r="AJ118" s="194">
        <v>0.25</v>
      </c>
      <c r="AK118" s="194">
        <f t="shared" si="119"/>
        <v>0.25</v>
      </c>
      <c r="AL118" s="194"/>
      <c r="AM118" s="194">
        <f t="shared" si="126"/>
        <v>1.2500000000000001E-2</v>
      </c>
      <c r="AN118" s="194">
        <f t="shared" si="120"/>
        <v>1.2500000000000001E-2</v>
      </c>
      <c r="AO118" s="566" t="s">
        <v>1850</v>
      </c>
      <c r="AP118" s="1306" t="s">
        <v>1920</v>
      </c>
      <c r="AQ118" s="908" t="s">
        <v>2267</v>
      </c>
      <c r="AR118" s="908" t="s">
        <v>2288</v>
      </c>
      <c r="AS118" s="908" t="s">
        <v>2402</v>
      </c>
      <c r="AT118" s="985" t="s">
        <v>2436</v>
      </c>
      <c r="AU118" s="908" t="s">
        <v>2493</v>
      </c>
      <c r="AV118" s="908" t="s">
        <v>1893</v>
      </c>
      <c r="AW118" s="157"/>
      <c r="AX118" s="151"/>
      <c r="AY118" s="151"/>
      <c r="AZ118" s="151"/>
      <c r="BA118" s="151"/>
      <c r="BB118" s="151"/>
      <c r="BC118" s="151"/>
      <c r="BD118" s="151"/>
      <c r="BE118" s="151"/>
      <c r="BF118" s="151"/>
      <c r="BG118" s="151"/>
      <c r="BH118" s="151"/>
      <c r="BI118" s="151"/>
      <c r="BJ118" s="151"/>
      <c r="BK118" s="151"/>
      <c r="BL118" s="151"/>
      <c r="BM118" s="151"/>
      <c r="BN118" s="151"/>
      <c r="BO118" s="151"/>
    </row>
    <row r="119" spans="1:67" ht="93" customHeight="1" thickBot="1" x14ac:dyDescent="0.4">
      <c r="A119" s="155"/>
      <c r="B119" s="173" t="s">
        <v>785</v>
      </c>
      <c r="C119" s="183" t="s">
        <v>1479</v>
      </c>
      <c r="D119" s="185" t="s">
        <v>767</v>
      </c>
      <c r="E119" s="174">
        <v>0.15</v>
      </c>
      <c r="F119" s="175">
        <v>4</v>
      </c>
      <c r="G119" s="170">
        <v>1</v>
      </c>
      <c r="H119" s="170">
        <v>1</v>
      </c>
      <c r="I119" s="170">
        <v>1</v>
      </c>
      <c r="J119" s="176">
        <f>+G119/F119</f>
        <v>0.25</v>
      </c>
      <c r="K119" s="176">
        <f t="shared" si="133"/>
        <v>0.25</v>
      </c>
      <c r="L119" s="176">
        <f t="shared" si="112"/>
        <v>0.25</v>
      </c>
      <c r="M119" s="176">
        <f>+(G119/F119)*E119</f>
        <v>3.7499999999999999E-2</v>
      </c>
      <c r="N119" s="176">
        <f>+(H119/F119)*E119</f>
        <v>3.7499999999999999E-2</v>
      </c>
      <c r="O119" s="176"/>
      <c r="P119" s="170">
        <v>1</v>
      </c>
      <c r="Q119" s="541">
        <v>0</v>
      </c>
      <c r="R119" s="541">
        <v>0</v>
      </c>
      <c r="S119" s="541">
        <v>0</v>
      </c>
      <c r="T119" s="541">
        <v>0</v>
      </c>
      <c r="U119" s="541">
        <v>1</v>
      </c>
      <c r="V119" s="170">
        <f t="shared" si="110"/>
        <v>1</v>
      </c>
      <c r="W119" s="170">
        <f>+V119+P119+AB119</f>
        <v>2</v>
      </c>
      <c r="X119" s="541">
        <v>0</v>
      </c>
      <c r="Y119" s="170"/>
      <c r="Z119" s="170"/>
      <c r="AA119" s="170"/>
      <c r="AB119" s="170">
        <f t="shared" si="114"/>
        <v>0</v>
      </c>
      <c r="AC119" s="194">
        <f>+(P119/G119)</f>
        <v>1</v>
      </c>
      <c r="AD119" s="194">
        <f>+V119/H119</f>
        <v>1</v>
      </c>
      <c r="AE119" s="194">
        <f t="shared" si="116"/>
        <v>0</v>
      </c>
      <c r="AF119" s="194">
        <f>+AC119*E119</f>
        <v>0.15</v>
      </c>
      <c r="AG119" s="194">
        <f t="shared" si="136"/>
        <v>0.15</v>
      </c>
      <c r="AH119" s="194">
        <f t="shared" si="118"/>
        <v>0</v>
      </c>
      <c r="AI119" s="194">
        <f>+P119/F119</f>
        <v>0.25</v>
      </c>
      <c r="AJ119" s="194">
        <v>0.5</v>
      </c>
      <c r="AK119" s="194">
        <f t="shared" si="119"/>
        <v>0.5</v>
      </c>
      <c r="AL119" s="194">
        <f>+AI119*E119</f>
        <v>3.7499999999999999E-2</v>
      </c>
      <c r="AM119" s="194">
        <f t="shared" si="126"/>
        <v>7.4999999999999997E-2</v>
      </c>
      <c r="AN119" s="194">
        <f t="shared" si="120"/>
        <v>7.4999999999999997E-2</v>
      </c>
      <c r="AO119" s="566" t="s">
        <v>1850</v>
      </c>
      <c r="AP119" s="909" t="s">
        <v>1892</v>
      </c>
      <c r="AQ119" s="908" t="s">
        <v>2267</v>
      </c>
      <c r="AR119" s="908" t="s">
        <v>2288</v>
      </c>
      <c r="AS119" s="908" t="s">
        <v>2402</v>
      </c>
      <c r="AT119" s="985" t="s">
        <v>2436</v>
      </c>
      <c r="AU119" s="908" t="s">
        <v>2493</v>
      </c>
      <c r="AV119" s="908" t="s">
        <v>1893</v>
      </c>
      <c r="AW119" s="157"/>
      <c r="AX119" s="151"/>
      <c r="AY119" s="151"/>
      <c r="AZ119" s="151"/>
      <c r="BA119" s="151"/>
      <c r="BB119" s="151"/>
      <c r="BC119" s="151"/>
      <c r="BD119" s="151"/>
      <c r="BE119" s="151"/>
      <c r="BF119" s="151"/>
      <c r="BG119" s="151"/>
      <c r="BH119" s="151"/>
      <c r="BI119" s="151"/>
      <c r="BJ119" s="151"/>
      <c r="BK119" s="151"/>
      <c r="BL119" s="151"/>
      <c r="BM119" s="151"/>
      <c r="BN119" s="151"/>
      <c r="BO119" s="151"/>
    </row>
    <row r="120" spans="1:67" ht="59.4" customHeight="1" thickBot="1" x14ac:dyDescent="0.4">
      <c r="A120" s="155"/>
      <c r="B120" s="173" t="s">
        <v>786</v>
      </c>
      <c r="C120" s="183" t="s">
        <v>1480</v>
      </c>
      <c r="D120" s="185" t="s">
        <v>767</v>
      </c>
      <c r="E120" s="174">
        <v>0.4</v>
      </c>
      <c r="F120" s="175">
        <v>1</v>
      </c>
      <c r="G120" s="170">
        <v>0</v>
      </c>
      <c r="H120" s="170">
        <v>0.5</v>
      </c>
      <c r="I120" s="170">
        <v>0.5</v>
      </c>
      <c r="J120" s="176"/>
      <c r="K120" s="176"/>
      <c r="L120" s="176">
        <f t="shared" si="112"/>
        <v>0.5</v>
      </c>
      <c r="M120" s="176"/>
      <c r="N120" s="176"/>
      <c r="O120" s="176"/>
      <c r="P120" s="170"/>
      <c r="Q120" s="541"/>
      <c r="R120" s="541"/>
      <c r="S120" s="541">
        <v>0</v>
      </c>
      <c r="T120" s="541">
        <v>0</v>
      </c>
      <c r="U120" s="541">
        <v>0</v>
      </c>
      <c r="V120" s="170">
        <f t="shared" si="110"/>
        <v>0</v>
      </c>
      <c r="W120" s="170">
        <f t="shared" si="121"/>
        <v>0</v>
      </c>
      <c r="X120" s="541">
        <v>0</v>
      </c>
      <c r="Y120" s="170"/>
      <c r="Z120" s="170"/>
      <c r="AA120" s="170"/>
      <c r="AB120" s="170">
        <f t="shared" si="114"/>
        <v>0</v>
      </c>
      <c r="AC120" s="194"/>
      <c r="AD120" s="194">
        <v>0</v>
      </c>
      <c r="AE120" s="194">
        <f t="shared" si="116"/>
        <v>0</v>
      </c>
      <c r="AF120" s="194"/>
      <c r="AG120" s="194">
        <f t="shared" si="136"/>
        <v>0</v>
      </c>
      <c r="AH120" s="194">
        <f t="shared" si="118"/>
        <v>0</v>
      </c>
      <c r="AI120" s="194"/>
      <c r="AJ120" s="194">
        <v>0</v>
      </c>
      <c r="AK120" s="194">
        <f t="shared" si="119"/>
        <v>0</v>
      </c>
      <c r="AL120" s="194"/>
      <c r="AM120" s="194">
        <f t="shared" si="126"/>
        <v>0</v>
      </c>
      <c r="AN120" s="194">
        <f t="shared" si="120"/>
        <v>0</v>
      </c>
      <c r="AO120" s="566" t="s">
        <v>1850</v>
      </c>
      <c r="AP120" s="909" t="s">
        <v>1892</v>
      </c>
      <c r="AQ120" s="908" t="s">
        <v>2267</v>
      </c>
      <c r="AR120" s="908" t="s">
        <v>2288</v>
      </c>
      <c r="AS120" s="908" t="s">
        <v>2402</v>
      </c>
      <c r="AT120" s="985" t="s">
        <v>2436</v>
      </c>
      <c r="AU120" s="908" t="s">
        <v>2493</v>
      </c>
      <c r="AV120" s="908" t="s">
        <v>1893</v>
      </c>
      <c r="AW120" s="157"/>
      <c r="AX120" s="151"/>
      <c r="AY120" s="151"/>
      <c r="AZ120" s="151"/>
      <c r="BA120" s="151"/>
      <c r="BB120" s="151"/>
      <c r="BC120" s="151"/>
      <c r="BD120" s="151"/>
      <c r="BE120" s="151"/>
      <c r="BF120" s="151"/>
      <c r="BG120" s="151"/>
      <c r="BH120" s="151"/>
      <c r="BI120" s="151"/>
      <c r="BJ120" s="151"/>
      <c r="BK120" s="151"/>
      <c r="BL120" s="151"/>
      <c r="BM120" s="151"/>
      <c r="BN120" s="151"/>
      <c r="BO120" s="151"/>
    </row>
    <row r="121" spans="1:67" ht="59.4" customHeight="1" thickBot="1" x14ac:dyDescent="0.4">
      <c r="A121" s="155"/>
      <c r="B121" s="173" t="s">
        <v>787</v>
      </c>
      <c r="C121" s="183" t="s">
        <v>1481</v>
      </c>
      <c r="D121" s="185" t="s">
        <v>767</v>
      </c>
      <c r="E121" s="174">
        <v>0.3</v>
      </c>
      <c r="F121" s="175">
        <v>1</v>
      </c>
      <c r="G121" s="170">
        <v>0</v>
      </c>
      <c r="H121" s="170">
        <v>1</v>
      </c>
      <c r="I121" s="170">
        <v>1</v>
      </c>
      <c r="J121" s="176"/>
      <c r="K121" s="176">
        <f t="shared" si="133"/>
        <v>1</v>
      </c>
      <c r="L121" s="176"/>
      <c r="M121" s="176"/>
      <c r="N121" s="176">
        <f t="shared" si="134"/>
        <v>0.3</v>
      </c>
      <c r="O121" s="176"/>
      <c r="P121" s="170"/>
      <c r="Q121" s="541">
        <v>1</v>
      </c>
      <c r="R121" s="541">
        <v>0</v>
      </c>
      <c r="S121" s="541">
        <v>0</v>
      </c>
      <c r="T121" s="541">
        <v>0</v>
      </c>
      <c r="U121" s="541">
        <v>0</v>
      </c>
      <c r="V121" s="170">
        <f t="shared" si="110"/>
        <v>1</v>
      </c>
      <c r="W121" s="170">
        <f t="shared" si="121"/>
        <v>1</v>
      </c>
      <c r="X121" s="541">
        <v>0</v>
      </c>
      <c r="Y121" s="170"/>
      <c r="Z121" s="170"/>
      <c r="AA121" s="170"/>
      <c r="AB121" s="170">
        <f t="shared" si="114"/>
        <v>0</v>
      </c>
      <c r="AC121" s="194"/>
      <c r="AD121" s="194">
        <f t="shared" si="135"/>
        <v>1</v>
      </c>
      <c r="AE121" s="194">
        <f t="shared" si="116"/>
        <v>0</v>
      </c>
      <c r="AF121" s="194"/>
      <c r="AG121" s="194">
        <f t="shared" si="136"/>
        <v>0.3</v>
      </c>
      <c r="AH121" s="194">
        <f t="shared" si="118"/>
        <v>0</v>
      </c>
      <c r="AI121" s="194"/>
      <c r="AJ121" s="194">
        <v>1</v>
      </c>
      <c r="AK121" s="194">
        <f t="shared" si="119"/>
        <v>1</v>
      </c>
      <c r="AL121" s="194"/>
      <c r="AM121" s="194">
        <f>+AJ121*E121</f>
        <v>0.3</v>
      </c>
      <c r="AN121" s="194">
        <f t="shared" si="120"/>
        <v>0.3</v>
      </c>
      <c r="AO121" s="566" t="s">
        <v>1850</v>
      </c>
      <c r="AP121" s="909" t="s">
        <v>1907</v>
      </c>
      <c r="AQ121" s="908" t="s">
        <v>2267</v>
      </c>
      <c r="AR121" s="908" t="s">
        <v>2288</v>
      </c>
      <c r="AS121" s="908" t="s">
        <v>2402</v>
      </c>
      <c r="AT121" s="985" t="s">
        <v>2436</v>
      </c>
      <c r="AU121" s="908" t="s">
        <v>2493</v>
      </c>
      <c r="AV121" s="908" t="s">
        <v>1893</v>
      </c>
      <c r="AW121" s="157"/>
      <c r="AX121" s="151"/>
      <c r="AY121" s="151"/>
      <c r="AZ121" s="151"/>
      <c r="BA121" s="151"/>
      <c r="BB121" s="151"/>
      <c r="BC121" s="151"/>
      <c r="BD121" s="151"/>
      <c r="BE121" s="151"/>
      <c r="BF121" s="151"/>
      <c r="BG121" s="151"/>
      <c r="BH121" s="151"/>
      <c r="BI121" s="151"/>
      <c r="BJ121" s="151"/>
      <c r="BK121" s="151"/>
      <c r="BL121" s="151"/>
      <c r="BM121" s="151"/>
      <c r="BN121" s="151"/>
      <c r="BO121" s="151"/>
    </row>
    <row r="122" spans="1:67" ht="107.4" customHeight="1" thickBot="1" x14ac:dyDescent="0.4">
      <c r="A122" s="155"/>
      <c r="B122" s="173" t="s">
        <v>788</v>
      </c>
      <c r="C122" s="183" t="s">
        <v>1482</v>
      </c>
      <c r="D122" s="185" t="s">
        <v>767</v>
      </c>
      <c r="E122" s="174">
        <v>0.05</v>
      </c>
      <c r="F122" s="175">
        <v>1</v>
      </c>
      <c r="G122" s="170">
        <v>0</v>
      </c>
      <c r="H122" s="170">
        <v>0.5</v>
      </c>
      <c r="I122" s="170">
        <v>0.3</v>
      </c>
      <c r="J122" s="176"/>
      <c r="K122" s="176">
        <f t="shared" si="133"/>
        <v>0.5</v>
      </c>
      <c r="L122" s="176">
        <f t="shared" si="112"/>
        <v>0.3</v>
      </c>
      <c r="M122" s="176"/>
      <c r="N122" s="176">
        <f t="shared" si="134"/>
        <v>2.5000000000000001E-2</v>
      </c>
      <c r="O122" s="176"/>
      <c r="P122" s="170"/>
      <c r="Q122" s="541">
        <v>0</v>
      </c>
      <c r="R122" s="541">
        <v>0</v>
      </c>
      <c r="S122" s="541">
        <v>0</v>
      </c>
      <c r="T122" s="541">
        <v>0</v>
      </c>
      <c r="U122" s="541">
        <v>0.2</v>
      </c>
      <c r="V122" s="170">
        <f t="shared" si="110"/>
        <v>0.2</v>
      </c>
      <c r="W122" s="170">
        <f t="shared" si="121"/>
        <v>0.2</v>
      </c>
      <c r="X122" s="541">
        <v>0</v>
      </c>
      <c r="Y122" s="170"/>
      <c r="Z122" s="170"/>
      <c r="AA122" s="170"/>
      <c r="AB122" s="170">
        <f t="shared" si="114"/>
        <v>0</v>
      </c>
      <c r="AC122" s="194"/>
      <c r="AD122" s="194">
        <f t="shared" si="135"/>
        <v>0.4</v>
      </c>
      <c r="AE122" s="194">
        <f t="shared" si="116"/>
        <v>0</v>
      </c>
      <c r="AF122" s="194"/>
      <c r="AG122" s="194">
        <f t="shared" si="136"/>
        <v>2.0000000000000004E-2</v>
      </c>
      <c r="AH122" s="194">
        <f t="shared" si="118"/>
        <v>0</v>
      </c>
      <c r="AI122" s="194"/>
      <c r="AJ122" s="194">
        <v>0.2</v>
      </c>
      <c r="AK122" s="194">
        <f t="shared" si="119"/>
        <v>0.2</v>
      </c>
      <c r="AL122" s="194"/>
      <c r="AM122" s="194">
        <f t="shared" si="126"/>
        <v>1.0000000000000002E-2</v>
      </c>
      <c r="AN122" s="194">
        <f t="shared" si="120"/>
        <v>1.0000000000000002E-2</v>
      </c>
      <c r="AO122" s="566" t="s">
        <v>1850</v>
      </c>
      <c r="AP122" s="1306" t="s">
        <v>1920</v>
      </c>
      <c r="AQ122" s="908" t="s">
        <v>2267</v>
      </c>
      <c r="AR122" s="908" t="s">
        <v>2288</v>
      </c>
      <c r="AS122" s="908" t="s">
        <v>2402</v>
      </c>
      <c r="AT122" s="985" t="s">
        <v>2436</v>
      </c>
      <c r="AU122" s="908" t="s">
        <v>2493</v>
      </c>
      <c r="AV122" s="908" t="s">
        <v>1893</v>
      </c>
      <c r="AW122" s="157"/>
      <c r="AX122" s="151"/>
      <c r="AY122" s="151"/>
      <c r="AZ122" s="151"/>
      <c r="BA122" s="151"/>
      <c r="BB122" s="151"/>
      <c r="BC122" s="151"/>
      <c r="BD122" s="151"/>
      <c r="BE122" s="151"/>
      <c r="BF122" s="151"/>
      <c r="BG122" s="151"/>
      <c r="BH122" s="151"/>
      <c r="BI122" s="151"/>
      <c r="BJ122" s="151"/>
      <c r="BK122" s="151"/>
      <c r="BL122" s="151"/>
      <c r="BM122" s="151"/>
      <c r="BN122" s="151"/>
      <c r="BO122" s="151"/>
    </row>
    <row r="123" spans="1:67" ht="103.2" customHeight="1" thickBot="1" x14ac:dyDescent="0.4">
      <c r="A123" s="155"/>
      <c r="B123" s="173" t="s">
        <v>789</v>
      </c>
      <c r="C123" s="183" t="s">
        <v>1483</v>
      </c>
      <c r="D123" s="195" t="s">
        <v>838</v>
      </c>
      <c r="E123" s="174">
        <v>0.05</v>
      </c>
      <c r="F123" s="175">
        <v>1</v>
      </c>
      <c r="G123" s="170">
        <v>0</v>
      </c>
      <c r="H123" s="170">
        <v>0.5</v>
      </c>
      <c r="I123" s="170">
        <v>0.5</v>
      </c>
      <c r="J123" s="176"/>
      <c r="K123" s="176">
        <f t="shared" si="133"/>
        <v>0.5</v>
      </c>
      <c r="L123" s="176">
        <f t="shared" si="112"/>
        <v>0.5</v>
      </c>
      <c r="M123" s="176"/>
      <c r="N123" s="176">
        <f t="shared" si="134"/>
        <v>2.5000000000000001E-2</v>
      </c>
      <c r="O123" s="176"/>
      <c r="P123" s="170"/>
      <c r="Q123" s="541">
        <v>0</v>
      </c>
      <c r="R123" s="541">
        <v>0</v>
      </c>
      <c r="S123" s="541">
        <v>0</v>
      </c>
      <c r="T123" s="541">
        <v>0</v>
      </c>
      <c r="U123" s="541">
        <v>0.2</v>
      </c>
      <c r="V123" s="170">
        <f t="shared" si="110"/>
        <v>0.2</v>
      </c>
      <c r="W123" s="170">
        <f t="shared" si="121"/>
        <v>0.2</v>
      </c>
      <c r="X123" s="541">
        <v>0</v>
      </c>
      <c r="Y123" s="170"/>
      <c r="Z123" s="170"/>
      <c r="AA123" s="170"/>
      <c r="AB123" s="170">
        <f t="shared" si="114"/>
        <v>0</v>
      </c>
      <c r="AC123" s="194"/>
      <c r="AD123" s="194">
        <f t="shared" si="135"/>
        <v>0.4</v>
      </c>
      <c r="AE123" s="194">
        <f t="shared" si="116"/>
        <v>0</v>
      </c>
      <c r="AF123" s="194"/>
      <c r="AG123" s="194">
        <f t="shared" si="136"/>
        <v>2.0000000000000004E-2</v>
      </c>
      <c r="AH123" s="194">
        <f t="shared" si="118"/>
        <v>0</v>
      </c>
      <c r="AI123" s="194"/>
      <c r="AJ123" s="194">
        <v>0.2</v>
      </c>
      <c r="AK123" s="194">
        <f t="shared" si="119"/>
        <v>0.2</v>
      </c>
      <c r="AL123" s="194"/>
      <c r="AM123" s="194">
        <f t="shared" si="126"/>
        <v>1.0000000000000002E-2</v>
      </c>
      <c r="AN123" s="194">
        <f t="shared" si="120"/>
        <v>1.0000000000000002E-2</v>
      </c>
      <c r="AO123" s="566" t="s">
        <v>1850</v>
      </c>
      <c r="AP123" s="1306" t="s">
        <v>1920</v>
      </c>
      <c r="AQ123" s="908" t="s">
        <v>2267</v>
      </c>
      <c r="AR123" s="908" t="s">
        <v>2288</v>
      </c>
      <c r="AS123" s="908" t="s">
        <v>2402</v>
      </c>
      <c r="AT123" s="985" t="s">
        <v>2436</v>
      </c>
      <c r="AU123" s="908" t="s">
        <v>2493</v>
      </c>
      <c r="AV123" s="908" t="s">
        <v>1893</v>
      </c>
      <c r="AW123" s="157"/>
      <c r="AX123" s="151"/>
      <c r="AY123" s="151"/>
      <c r="AZ123" s="151"/>
      <c r="BA123" s="151"/>
      <c r="BB123" s="151"/>
      <c r="BC123" s="151"/>
      <c r="BD123" s="151"/>
      <c r="BE123" s="151"/>
      <c r="BF123" s="151"/>
      <c r="BG123" s="151"/>
      <c r="BH123" s="151"/>
      <c r="BI123" s="151"/>
      <c r="BJ123" s="151"/>
      <c r="BK123" s="151"/>
      <c r="BL123" s="151"/>
      <c r="BM123" s="151"/>
      <c r="BN123" s="151"/>
      <c r="BO123" s="151"/>
    </row>
    <row r="124" spans="1:67" ht="93" customHeight="1" thickBot="1" x14ac:dyDescent="0.4">
      <c r="A124" s="155"/>
      <c r="B124" s="1565" t="s">
        <v>1800</v>
      </c>
      <c r="C124" s="1566"/>
      <c r="D124" s="196"/>
      <c r="E124" s="158">
        <v>0.2</v>
      </c>
      <c r="F124" s="159">
        <f>+E124*AF124</f>
        <v>0.11007500000000002</v>
      </c>
      <c r="G124" s="163"/>
      <c r="H124" s="159">
        <f>+E124*AG124</f>
        <v>0</v>
      </c>
      <c r="I124" s="159">
        <f>+E124*AH124</f>
        <v>5.0000000000000012E-4</v>
      </c>
      <c r="J124" s="161">
        <f>+(J125+J129)/2</f>
        <v>0.3833333333333333</v>
      </c>
      <c r="K124" s="161">
        <f>+(K125+K129)/2</f>
        <v>0.20555555555555555</v>
      </c>
      <c r="L124" s="161">
        <f>+(L125+L129)/2</f>
        <v>0.42147167189671053</v>
      </c>
      <c r="M124" s="162">
        <f>+(M125+M129)/2</f>
        <v>0.1958333333333333</v>
      </c>
      <c r="N124" s="162">
        <f>+(N125+N129)/2</f>
        <v>0.1958333333333333</v>
      </c>
      <c r="O124" s="162"/>
      <c r="P124" s="163"/>
      <c r="Q124" s="163"/>
      <c r="R124" s="163"/>
      <c r="S124" s="163"/>
      <c r="T124" s="163"/>
      <c r="U124" s="983"/>
      <c r="V124" s="967"/>
      <c r="W124" s="163"/>
      <c r="X124" s="163"/>
      <c r="Y124" s="163"/>
      <c r="Z124" s="163"/>
      <c r="AA124" s="163"/>
      <c r="AB124" s="163"/>
      <c r="AC124" s="161">
        <f>+(AC125+AC129)/2</f>
        <v>0.93366666666666664</v>
      </c>
      <c r="AD124" s="161">
        <f>+(AD125+AD129)/2</f>
        <v>0.71499999999999997</v>
      </c>
      <c r="AE124" s="161">
        <f>+(AE125+AE129)/2</f>
        <v>3.3333333333333333E-2</v>
      </c>
      <c r="AF124" s="162">
        <f>AF125+AF129</f>
        <v>0.55037500000000006</v>
      </c>
      <c r="AG124" s="162">
        <f>AG125+AG129</f>
        <v>0</v>
      </c>
      <c r="AH124" s="162">
        <f>AH125+AH129</f>
        <v>2.5000000000000005E-3</v>
      </c>
      <c r="AI124" s="161">
        <f>(AI125+AI129)/2</f>
        <v>0.24676666666666666</v>
      </c>
      <c r="AJ124" s="161">
        <v>0.35954444444444444</v>
      </c>
      <c r="AK124" s="161">
        <f>(AK125+AK129)/2</f>
        <v>0.37621111111111111</v>
      </c>
      <c r="AL124" s="162">
        <f>AL125+AL129</f>
        <v>0.19011249999999999</v>
      </c>
      <c r="AM124" s="162">
        <f>AM125*E125+AM129*E129</f>
        <v>0.33761249999999998</v>
      </c>
      <c r="AN124" s="162">
        <f>AN125*E125+AN129*E129</f>
        <v>0.33886249999999996</v>
      </c>
      <c r="AO124" s="590"/>
      <c r="AP124" s="163"/>
      <c r="AQ124" s="163"/>
      <c r="AR124" s="163"/>
      <c r="AS124" s="163"/>
      <c r="AT124" s="609"/>
      <c r="AU124" s="163"/>
      <c r="AV124" s="163"/>
      <c r="AW124" s="157"/>
      <c r="AX124" s="151"/>
      <c r="AY124" s="151"/>
      <c r="AZ124" s="151"/>
      <c r="BA124" s="151"/>
      <c r="BB124" s="151"/>
      <c r="BC124" s="151"/>
      <c r="BD124" s="151"/>
      <c r="BE124" s="151"/>
      <c r="BF124" s="151"/>
      <c r="BG124" s="151"/>
      <c r="BH124" s="151"/>
      <c r="BI124" s="151"/>
      <c r="BJ124" s="151"/>
      <c r="BK124" s="151"/>
      <c r="BL124" s="151"/>
      <c r="BM124" s="151"/>
      <c r="BN124" s="151"/>
      <c r="BO124" s="151"/>
    </row>
    <row r="125" spans="1:67" ht="44.4" customHeight="1" thickBot="1" x14ac:dyDescent="0.4">
      <c r="A125" s="155"/>
      <c r="B125" s="1563" t="s">
        <v>1721</v>
      </c>
      <c r="C125" s="1564"/>
      <c r="D125" s="202"/>
      <c r="E125" s="166">
        <v>0.75</v>
      </c>
      <c r="F125" s="187"/>
      <c r="G125" s="163"/>
      <c r="H125" s="163"/>
      <c r="I125" s="163"/>
      <c r="J125" s="169">
        <f>+AVERAGE(J126:J128)</f>
        <v>0.33333333333333331</v>
      </c>
      <c r="K125" s="169">
        <f>+AVERAGE(K126:K128)</f>
        <v>0.1111111111111111</v>
      </c>
      <c r="L125" s="169">
        <f>+AVERAGE(L126:L128)</f>
        <v>0.40961001046008771</v>
      </c>
      <c r="M125" s="169">
        <f>+M126+M127+M128</f>
        <v>0.16666666666666666</v>
      </c>
      <c r="N125" s="169">
        <f>+N126+N127+N128</f>
        <v>0.16666666666666666</v>
      </c>
      <c r="O125" s="169"/>
      <c r="P125" s="168"/>
      <c r="Q125" s="168"/>
      <c r="R125" s="168"/>
      <c r="S125" s="168"/>
      <c r="T125" s="168"/>
      <c r="U125" s="984"/>
      <c r="V125" s="170"/>
      <c r="W125" s="168"/>
      <c r="X125" s="168"/>
      <c r="Y125" s="168"/>
      <c r="Z125" s="168"/>
      <c r="AA125" s="168"/>
      <c r="AB125" s="168"/>
      <c r="AC125" s="192">
        <f>+AVERAGE(AC126:AC128)</f>
        <v>1</v>
      </c>
      <c r="AD125" s="192">
        <f>+AVERAGE(AD126:AD128)</f>
        <v>0.43</v>
      </c>
      <c r="AE125" s="192">
        <f>+AVERAGE(AE126:AE128)</f>
        <v>0</v>
      </c>
      <c r="AF125" s="192">
        <f>+(AF126+AF127+AF128)*E125</f>
        <v>0.375</v>
      </c>
      <c r="AG125" s="192">
        <f>+(AG126+AG127+AG128)*F125</f>
        <v>0</v>
      </c>
      <c r="AH125" s="192">
        <f>+(AH126+AH127+AH128)*E125</f>
        <v>0</v>
      </c>
      <c r="AI125" s="169">
        <f>+AVERAGE(AI126:AI128)*0.3</f>
        <v>9.9999999999999992E-2</v>
      </c>
      <c r="AJ125" s="169">
        <v>0.15888888888888889</v>
      </c>
      <c r="AK125" s="169">
        <f>+AVERAGE(AK126:AK128)</f>
        <v>0.15888888888888889</v>
      </c>
      <c r="AL125" s="169">
        <f>+(AL126+AL127+AL128)*E125</f>
        <v>0.125</v>
      </c>
      <c r="AM125" s="169">
        <f>+(AM126+AM127+AM128)</f>
        <v>0.23833333333333331</v>
      </c>
      <c r="AN125" s="169">
        <f>+(AN126+AN127+AN128)</f>
        <v>0.23833333333333331</v>
      </c>
      <c r="AO125" s="590"/>
      <c r="AP125" s="163"/>
      <c r="AQ125" s="163"/>
      <c r="AR125" s="163"/>
      <c r="AS125" s="163"/>
      <c r="AT125" s="609"/>
      <c r="AU125" s="163"/>
      <c r="AV125" s="163"/>
      <c r="AW125" s="157"/>
      <c r="AX125" s="151"/>
      <c r="AY125" s="151"/>
      <c r="AZ125" s="151"/>
      <c r="BA125" s="151"/>
      <c r="BB125" s="151"/>
      <c r="BC125" s="151"/>
      <c r="BD125" s="151"/>
      <c r="BE125" s="151"/>
      <c r="BF125" s="151"/>
      <c r="BG125" s="151"/>
      <c r="BH125" s="151"/>
      <c r="BI125" s="151"/>
      <c r="BJ125" s="151"/>
      <c r="BK125" s="151"/>
      <c r="BL125" s="151"/>
      <c r="BM125" s="151"/>
      <c r="BN125" s="151"/>
      <c r="BO125" s="151"/>
    </row>
    <row r="126" spans="1:67" ht="168" customHeight="1" thickBot="1" x14ac:dyDescent="0.4">
      <c r="A126" s="155"/>
      <c r="B126" s="1491" t="s">
        <v>791</v>
      </c>
      <c r="C126" s="1492" t="s">
        <v>1484</v>
      </c>
      <c r="D126" s="207" t="s">
        <v>792</v>
      </c>
      <c r="E126" s="174">
        <v>0.5</v>
      </c>
      <c r="F126" s="175">
        <v>3</v>
      </c>
      <c r="G126" s="170">
        <v>1</v>
      </c>
      <c r="H126" s="170">
        <v>1</v>
      </c>
      <c r="I126" s="170">
        <v>1</v>
      </c>
      <c r="J126" s="176">
        <f>+G126/F126</f>
        <v>0.33333333333333331</v>
      </c>
      <c r="K126" s="176">
        <f t="shared" ref="K126:K128" si="137">+H126/F126</f>
        <v>0.33333333333333331</v>
      </c>
      <c r="L126" s="176">
        <f t="shared" ref="L126:L132" si="138">+I126/F126</f>
        <v>0.33333333333333331</v>
      </c>
      <c r="M126" s="176">
        <f>+(G126/F126)*E126</f>
        <v>0.16666666666666666</v>
      </c>
      <c r="N126" s="176">
        <f t="shared" ref="N126:N128" si="139">+(H126/F126)*E126</f>
        <v>0.16666666666666666</v>
      </c>
      <c r="O126" s="176"/>
      <c r="P126" s="170">
        <v>1</v>
      </c>
      <c r="Q126" s="541">
        <v>0</v>
      </c>
      <c r="R126" s="541">
        <v>0.43</v>
      </c>
      <c r="S126" s="541">
        <v>0</v>
      </c>
      <c r="T126" s="541">
        <v>0</v>
      </c>
      <c r="U126" s="541"/>
      <c r="V126" s="170">
        <f t="shared" si="110"/>
        <v>0.43</v>
      </c>
      <c r="W126" s="170">
        <f>+V126+P126+AB126</f>
        <v>1.43</v>
      </c>
      <c r="X126" s="541">
        <v>0</v>
      </c>
      <c r="Y126" s="170"/>
      <c r="Z126" s="170"/>
      <c r="AA126" s="170"/>
      <c r="AB126" s="170">
        <f t="shared" ref="AB126:AB132" si="140">+X126+Y126+Z126+AA126</f>
        <v>0</v>
      </c>
      <c r="AC126" s="176">
        <f>+(P126/G126)</f>
        <v>1</v>
      </c>
      <c r="AD126" s="176">
        <f t="shared" ref="AD126" si="141">+V126/H126</f>
        <v>0.43</v>
      </c>
      <c r="AE126" s="176">
        <f t="shared" ref="AE126:AE132" si="142">+AB126/I126</f>
        <v>0</v>
      </c>
      <c r="AF126" s="178">
        <f>+AC126*E126</f>
        <v>0.5</v>
      </c>
      <c r="AG126" s="178">
        <f t="shared" ref="AG126:AG128" si="143">+AD126*E126</f>
        <v>0.215</v>
      </c>
      <c r="AH126" s="178">
        <f t="shared" ref="AH126:AH132" si="144">+AE126*E126</f>
        <v>0</v>
      </c>
      <c r="AI126" s="176">
        <f>+P126/F126</f>
        <v>0.33333333333333331</v>
      </c>
      <c r="AJ126" s="176">
        <v>0.47666666666666663</v>
      </c>
      <c r="AK126" s="194">
        <f t="shared" ref="AK126:AK132" si="145">+W126/F126</f>
        <v>0.47666666666666663</v>
      </c>
      <c r="AL126" s="176">
        <f>+AI126*E126</f>
        <v>0.16666666666666666</v>
      </c>
      <c r="AM126" s="176">
        <f>+AJ126*E126</f>
        <v>0.23833333333333331</v>
      </c>
      <c r="AN126" s="194">
        <f t="shared" ref="AN126:AN132" si="146">+AK126*E126</f>
        <v>0.23833333333333331</v>
      </c>
      <c r="AO126" s="566" t="s">
        <v>1850</v>
      </c>
      <c r="AP126" s="909" t="s">
        <v>1892</v>
      </c>
      <c r="AQ126" s="908" t="s">
        <v>2267</v>
      </c>
      <c r="AR126" s="908" t="s">
        <v>2288</v>
      </c>
      <c r="AS126" s="908" t="s">
        <v>2402</v>
      </c>
      <c r="AT126" s="609"/>
      <c r="AU126" s="908" t="s">
        <v>2493</v>
      </c>
      <c r="AV126" s="934" t="s">
        <v>1893</v>
      </c>
      <c r="AW126" s="157"/>
      <c r="AX126" s="151"/>
      <c r="AY126" s="151"/>
      <c r="AZ126" s="151"/>
      <c r="BA126" s="151"/>
      <c r="BB126" s="151"/>
      <c r="BC126" s="151"/>
      <c r="BD126" s="151"/>
      <c r="BE126" s="151"/>
      <c r="BF126" s="151"/>
      <c r="BG126" s="151"/>
      <c r="BH126" s="151"/>
      <c r="BI126" s="151"/>
      <c r="BJ126" s="151"/>
      <c r="BK126" s="151"/>
      <c r="BL126" s="151"/>
      <c r="BM126" s="151"/>
      <c r="BN126" s="151"/>
      <c r="BO126" s="151"/>
    </row>
    <row r="127" spans="1:67" ht="94.2" customHeight="1" thickBot="1" x14ac:dyDescent="0.4">
      <c r="A127" s="155"/>
      <c r="B127" s="1495" t="s">
        <v>793</v>
      </c>
      <c r="C127" s="1496" t="s">
        <v>1485</v>
      </c>
      <c r="D127" s="208" t="s">
        <v>794</v>
      </c>
      <c r="E127" s="174">
        <v>0.25</v>
      </c>
      <c r="F127" s="175">
        <v>176</v>
      </c>
      <c r="G127" s="170">
        <v>0</v>
      </c>
      <c r="H127" s="170">
        <v>0</v>
      </c>
      <c r="I127" s="170">
        <v>76</v>
      </c>
      <c r="J127" s="176"/>
      <c r="K127" s="176">
        <f t="shared" si="137"/>
        <v>0</v>
      </c>
      <c r="L127" s="176">
        <f t="shared" si="138"/>
        <v>0.43181818181818182</v>
      </c>
      <c r="M127" s="176"/>
      <c r="N127" s="176">
        <f t="shared" si="139"/>
        <v>0</v>
      </c>
      <c r="O127" s="176"/>
      <c r="P127" s="170"/>
      <c r="Q127" s="541">
        <v>0</v>
      </c>
      <c r="R127" s="541">
        <v>0</v>
      </c>
      <c r="S127" s="541">
        <v>0</v>
      </c>
      <c r="T127" s="541"/>
      <c r="U127" s="541"/>
      <c r="V127" s="170">
        <f t="shared" si="110"/>
        <v>0</v>
      </c>
      <c r="W127" s="170">
        <f t="shared" ref="W127:W128" si="147">+V127+P127+AB127</f>
        <v>0</v>
      </c>
      <c r="X127" s="541">
        <v>0</v>
      </c>
      <c r="Y127" s="170"/>
      <c r="Z127" s="170"/>
      <c r="AA127" s="170"/>
      <c r="AB127" s="170">
        <f t="shared" si="140"/>
        <v>0</v>
      </c>
      <c r="AC127" s="938"/>
      <c r="AD127" s="194"/>
      <c r="AE127" s="194">
        <f t="shared" si="142"/>
        <v>0</v>
      </c>
      <c r="AF127" s="194"/>
      <c r="AG127" s="194">
        <f t="shared" si="143"/>
        <v>0</v>
      </c>
      <c r="AH127" s="194">
        <f t="shared" si="144"/>
        <v>0</v>
      </c>
      <c r="AI127" s="194"/>
      <c r="AJ127" s="194">
        <v>0</v>
      </c>
      <c r="AK127" s="194">
        <f t="shared" si="145"/>
        <v>0</v>
      </c>
      <c r="AL127" s="194"/>
      <c r="AM127" s="194">
        <f t="shared" ref="AM127:AM128" si="148">+AJ127*E127</f>
        <v>0</v>
      </c>
      <c r="AN127" s="194">
        <f t="shared" si="146"/>
        <v>0</v>
      </c>
      <c r="AO127" s="566" t="s">
        <v>1850</v>
      </c>
      <c r="AP127" s="644" t="s">
        <v>1919</v>
      </c>
      <c r="AQ127" s="908" t="s">
        <v>2267</v>
      </c>
      <c r="AR127" s="908" t="s">
        <v>2288</v>
      </c>
      <c r="AS127" s="908" t="s">
        <v>2364</v>
      </c>
      <c r="AT127" s="985" t="s">
        <v>2436</v>
      </c>
      <c r="AU127" s="908" t="s">
        <v>2493</v>
      </c>
      <c r="AV127" s="908" t="s">
        <v>1893</v>
      </c>
      <c r="AW127" s="157"/>
      <c r="AX127" s="151"/>
      <c r="AY127" s="151"/>
      <c r="AZ127" s="151"/>
      <c r="BA127" s="151"/>
      <c r="BB127" s="151"/>
      <c r="BC127" s="151"/>
      <c r="BD127" s="151"/>
      <c r="BE127" s="151"/>
      <c r="BF127" s="151"/>
      <c r="BG127" s="151"/>
      <c r="BH127" s="151"/>
      <c r="BI127" s="151"/>
      <c r="BJ127" s="151"/>
      <c r="BK127" s="151"/>
      <c r="BL127" s="151"/>
      <c r="BM127" s="151"/>
      <c r="BN127" s="151"/>
      <c r="BO127" s="151"/>
    </row>
    <row r="128" spans="1:67" ht="139.19999999999999" customHeight="1" thickBot="1" x14ac:dyDescent="0.4">
      <c r="A128" s="155"/>
      <c r="B128" s="1491" t="s">
        <v>795</v>
      </c>
      <c r="C128" s="1492" t="s">
        <v>1486</v>
      </c>
      <c r="D128" s="207" t="s">
        <v>794</v>
      </c>
      <c r="E128" s="174">
        <v>0.25</v>
      </c>
      <c r="F128" s="175">
        <v>647</v>
      </c>
      <c r="G128" s="170">
        <v>0</v>
      </c>
      <c r="H128" s="170">
        <v>0</v>
      </c>
      <c r="I128" s="170">
        <v>300</v>
      </c>
      <c r="J128" s="176"/>
      <c r="K128" s="176">
        <f t="shared" si="137"/>
        <v>0</v>
      </c>
      <c r="L128" s="176">
        <f t="shared" si="138"/>
        <v>0.46367851622874806</v>
      </c>
      <c r="M128" s="176"/>
      <c r="N128" s="176">
        <f t="shared" si="139"/>
        <v>0</v>
      </c>
      <c r="O128" s="176"/>
      <c r="P128" s="170"/>
      <c r="Q128" s="541">
        <v>0</v>
      </c>
      <c r="R128" s="541">
        <v>0</v>
      </c>
      <c r="S128" s="541">
        <v>0</v>
      </c>
      <c r="T128" s="541"/>
      <c r="U128" s="541"/>
      <c r="V128" s="170">
        <f t="shared" si="110"/>
        <v>0</v>
      </c>
      <c r="W128" s="170">
        <f t="shared" si="147"/>
        <v>0</v>
      </c>
      <c r="X128" s="541">
        <v>0</v>
      </c>
      <c r="Y128" s="170"/>
      <c r="Z128" s="170"/>
      <c r="AA128" s="170"/>
      <c r="AB128" s="170">
        <f t="shared" si="140"/>
        <v>0</v>
      </c>
      <c r="AC128" s="938"/>
      <c r="AD128" s="194"/>
      <c r="AE128" s="194">
        <f t="shared" si="142"/>
        <v>0</v>
      </c>
      <c r="AF128" s="194"/>
      <c r="AG128" s="194">
        <f t="shared" si="143"/>
        <v>0</v>
      </c>
      <c r="AH128" s="194">
        <f t="shared" si="144"/>
        <v>0</v>
      </c>
      <c r="AI128" s="194"/>
      <c r="AJ128" s="194">
        <v>0</v>
      </c>
      <c r="AK128" s="194">
        <f t="shared" si="145"/>
        <v>0</v>
      </c>
      <c r="AL128" s="194"/>
      <c r="AM128" s="194">
        <f t="shared" si="148"/>
        <v>0</v>
      </c>
      <c r="AN128" s="194">
        <f t="shared" si="146"/>
        <v>0</v>
      </c>
      <c r="AO128" s="566" t="s">
        <v>1850</v>
      </c>
      <c r="AP128" s="644" t="s">
        <v>1919</v>
      </c>
      <c r="AQ128" s="908" t="s">
        <v>2267</v>
      </c>
      <c r="AR128" s="908" t="s">
        <v>2288</v>
      </c>
      <c r="AS128" s="908" t="s">
        <v>2364</v>
      </c>
      <c r="AT128" s="985" t="s">
        <v>2436</v>
      </c>
      <c r="AU128" s="908" t="s">
        <v>2493</v>
      </c>
      <c r="AV128" s="908" t="s">
        <v>1893</v>
      </c>
      <c r="AW128" s="157"/>
      <c r="AX128" s="151"/>
      <c r="AY128" s="151"/>
      <c r="AZ128" s="151"/>
      <c r="BA128" s="151"/>
      <c r="BB128" s="151"/>
      <c r="BC128" s="151"/>
      <c r="BD128" s="151"/>
      <c r="BE128" s="151"/>
      <c r="BF128" s="151"/>
      <c r="BG128" s="151"/>
      <c r="BH128" s="151"/>
      <c r="BI128" s="151"/>
      <c r="BJ128" s="151"/>
      <c r="BK128" s="151"/>
      <c r="BL128" s="151"/>
      <c r="BM128" s="151"/>
      <c r="BN128" s="151"/>
      <c r="BO128" s="151"/>
    </row>
    <row r="129" spans="1:67" ht="44.4" customHeight="1" thickBot="1" x14ac:dyDescent="0.4">
      <c r="A129" s="155"/>
      <c r="B129" s="1567" t="s">
        <v>1722</v>
      </c>
      <c r="C129" s="1568"/>
      <c r="D129" s="203"/>
      <c r="E129" s="166">
        <v>0.25</v>
      </c>
      <c r="F129" s="175"/>
      <c r="G129" s="170"/>
      <c r="H129" s="170"/>
      <c r="I129" s="170"/>
      <c r="J129" s="169">
        <f>+AVERAGE(J130:J132)</f>
        <v>0.43333333333333335</v>
      </c>
      <c r="K129" s="169">
        <f>+AVERAGE(K130:K132)</f>
        <v>0.3</v>
      </c>
      <c r="L129" s="169">
        <f>+AVERAGE(L130:L132)</f>
        <v>0.43333333333333335</v>
      </c>
      <c r="M129" s="169">
        <f>+M130+M131+M132</f>
        <v>0.22499999999999998</v>
      </c>
      <c r="N129" s="169">
        <f>+N130+N131+N132</f>
        <v>0.22499999999999998</v>
      </c>
      <c r="O129" s="169"/>
      <c r="P129" s="170"/>
      <c r="Q129" s="170"/>
      <c r="R129" s="170"/>
      <c r="S129" s="170"/>
      <c r="T129" s="170"/>
      <c r="U129" s="795"/>
      <c r="V129" s="170"/>
      <c r="W129" s="170"/>
      <c r="X129" s="170"/>
      <c r="Y129" s="170"/>
      <c r="Z129" s="170"/>
      <c r="AA129" s="170"/>
      <c r="AB129" s="170"/>
      <c r="AC129" s="192">
        <f>+AVERAGE(AC130:AC132)</f>
        <v>0.86733333333333329</v>
      </c>
      <c r="AD129" s="192">
        <f>+AVERAGE(AD130:AD132)</f>
        <v>1</v>
      </c>
      <c r="AE129" s="192">
        <f>+AVERAGE(AE130:AE132)</f>
        <v>6.6666666666666666E-2</v>
      </c>
      <c r="AF129" s="192">
        <f>+(AF130+AF131+AF132)*E129</f>
        <v>0.175375</v>
      </c>
      <c r="AG129" s="192">
        <f>+(AG130+AG131+AG132)*F129</f>
        <v>0</v>
      </c>
      <c r="AH129" s="192">
        <f>+(AH130+AH131+AH132)*E129</f>
        <v>2.5000000000000005E-3</v>
      </c>
      <c r="AI129" s="169">
        <f>+AVERAGE(AI130:AI132)</f>
        <v>0.39353333333333335</v>
      </c>
      <c r="AJ129" s="169">
        <v>0.56020000000000003</v>
      </c>
      <c r="AK129" s="169">
        <f>+AVERAGE(AK130:AK132)</f>
        <v>0.59353333333333336</v>
      </c>
      <c r="AL129" s="169">
        <f>+(AL130+AL131+AL132)*E129</f>
        <v>6.511249999999999E-2</v>
      </c>
      <c r="AM129" s="169">
        <f>+(AM130+AM131+AM132)</f>
        <v>0.63544999999999996</v>
      </c>
      <c r="AN129" s="169">
        <f>+(AN130+AN131+AN132)</f>
        <v>0.64044999999999996</v>
      </c>
      <c r="AO129" s="590"/>
      <c r="AP129" s="163"/>
      <c r="AQ129" s="163"/>
      <c r="AR129" s="163"/>
      <c r="AS129" s="163"/>
      <c r="AT129" s="609"/>
      <c r="AU129" s="163"/>
      <c r="AV129" s="163"/>
      <c r="AW129" s="157"/>
      <c r="AX129" s="151"/>
      <c r="AY129" s="151"/>
      <c r="AZ129" s="151"/>
      <c r="BA129" s="151"/>
      <c r="BB129" s="151"/>
      <c r="BC129" s="151"/>
      <c r="BD129" s="151"/>
      <c r="BE129" s="151"/>
      <c r="BF129" s="151"/>
      <c r="BG129" s="151"/>
      <c r="BH129" s="151"/>
      <c r="BI129" s="151"/>
      <c r="BJ129" s="151"/>
      <c r="BK129" s="151"/>
      <c r="BL129" s="151"/>
      <c r="BM129" s="151"/>
      <c r="BN129" s="151"/>
      <c r="BO129" s="151"/>
    </row>
    <row r="130" spans="1:67" ht="89.4" customHeight="1" thickBot="1" x14ac:dyDescent="0.4">
      <c r="A130" s="155"/>
      <c r="B130" s="1486" t="s">
        <v>796</v>
      </c>
      <c r="C130" s="1490" t="s">
        <v>1487</v>
      </c>
      <c r="D130" s="207" t="s">
        <v>516</v>
      </c>
      <c r="E130" s="174">
        <v>0.05</v>
      </c>
      <c r="F130" s="175">
        <v>2</v>
      </c>
      <c r="G130" s="170">
        <v>1</v>
      </c>
      <c r="H130" s="170">
        <v>0</v>
      </c>
      <c r="I130" s="170">
        <v>1</v>
      </c>
      <c r="J130" s="176">
        <f>+G130/F130</f>
        <v>0.5</v>
      </c>
      <c r="K130" s="176"/>
      <c r="L130" s="176">
        <f t="shared" si="138"/>
        <v>0.5</v>
      </c>
      <c r="M130" s="176"/>
      <c r="N130" s="176"/>
      <c r="O130" s="176"/>
      <c r="P130" s="170">
        <v>1</v>
      </c>
      <c r="Q130" s="541"/>
      <c r="R130" s="541"/>
      <c r="S130" s="541"/>
      <c r="T130" s="541"/>
      <c r="U130" s="541"/>
      <c r="V130" s="170">
        <f t="shared" si="110"/>
        <v>0</v>
      </c>
      <c r="W130" s="170">
        <f>+V130+P130+AB130</f>
        <v>1.2</v>
      </c>
      <c r="X130" s="170">
        <v>0.2</v>
      </c>
      <c r="Y130" s="170"/>
      <c r="Z130" s="170"/>
      <c r="AA130" s="170"/>
      <c r="AB130" s="170">
        <f t="shared" si="140"/>
        <v>0.2</v>
      </c>
      <c r="AC130" s="194">
        <f>+(P130/G130)</f>
        <v>1</v>
      </c>
      <c r="AD130" s="194"/>
      <c r="AE130" s="194">
        <f t="shared" si="142"/>
        <v>0.2</v>
      </c>
      <c r="AF130" s="194">
        <f>+AC130*E130</f>
        <v>0.05</v>
      </c>
      <c r="AG130" s="194"/>
      <c r="AH130" s="194">
        <f t="shared" si="144"/>
        <v>1.0000000000000002E-2</v>
      </c>
      <c r="AI130" s="194">
        <f>+P130/F130</f>
        <v>0.5</v>
      </c>
      <c r="AJ130" s="194">
        <v>0.5</v>
      </c>
      <c r="AK130" s="194">
        <f t="shared" si="145"/>
        <v>0.6</v>
      </c>
      <c r="AL130" s="194">
        <f>+AI130*E130</f>
        <v>2.5000000000000001E-2</v>
      </c>
      <c r="AM130" s="194">
        <f>+AJ130*E130</f>
        <v>2.5000000000000001E-2</v>
      </c>
      <c r="AN130" s="194">
        <f t="shared" si="146"/>
        <v>0.03</v>
      </c>
      <c r="AO130" s="566" t="s">
        <v>1850</v>
      </c>
      <c r="AP130" s="909" t="s">
        <v>1892</v>
      </c>
      <c r="AQ130" s="908" t="s">
        <v>2267</v>
      </c>
      <c r="AR130" s="908" t="s">
        <v>2288</v>
      </c>
      <c r="AS130" s="908" t="s">
        <v>2402</v>
      </c>
      <c r="AT130" s="609"/>
      <c r="AU130" s="908" t="s">
        <v>2493</v>
      </c>
      <c r="AV130" s="934" t="s">
        <v>1893</v>
      </c>
      <c r="AW130" s="157"/>
      <c r="AX130" s="151"/>
      <c r="AY130" s="151"/>
      <c r="AZ130" s="151"/>
      <c r="BA130" s="151"/>
      <c r="BB130" s="151"/>
      <c r="BC130" s="151"/>
      <c r="BD130" s="151"/>
      <c r="BE130" s="151"/>
      <c r="BF130" s="151"/>
      <c r="BG130" s="151"/>
      <c r="BH130" s="151"/>
      <c r="BI130" s="151"/>
      <c r="BJ130" s="151"/>
      <c r="BK130" s="151"/>
      <c r="BL130" s="151"/>
      <c r="BM130" s="151"/>
      <c r="BN130" s="151"/>
      <c r="BO130" s="151"/>
    </row>
    <row r="131" spans="1:67" ht="103.2" customHeight="1" thickBot="1" x14ac:dyDescent="0.4">
      <c r="A131" s="155"/>
      <c r="B131" s="1486" t="s">
        <v>797</v>
      </c>
      <c r="C131" s="1490" t="s">
        <v>1488</v>
      </c>
      <c r="D131" s="207" t="s">
        <v>516</v>
      </c>
      <c r="E131" s="174">
        <v>0.2</v>
      </c>
      <c r="F131" s="175">
        <v>2</v>
      </c>
      <c r="G131" s="170">
        <v>1</v>
      </c>
      <c r="H131" s="170">
        <v>0</v>
      </c>
      <c r="I131" s="170">
        <v>1</v>
      </c>
      <c r="J131" s="176">
        <f>+G131/F131</f>
        <v>0.5</v>
      </c>
      <c r="K131" s="176"/>
      <c r="L131" s="176">
        <f t="shared" si="138"/>
        <v>0.5</v>
      </c>
      <c r="M131" s="176"/>
      <c r="N131" s="176"/>
      <c r="O131" s="176"/>
      <c r="P131" s="170">
        <v>1</v>
      </c>
      <c r="Q131" s="541"/>
      <c r="R131" s="541"/>
      <c r="S131" s="541"/>
      <c r="T131" s="541"/>
      <c r="U131" s="541"/>
      <c r="V131" s="170">
        <f t="shared" si="110"/>
        <v>0</v>
      </c>
      <c r="W131" s="170">
        <f t="shared" ref="W131:W132" si="149">+V131+P131+AB131</f>
        <v>1</v>
      </c>
      <c r="X131" s="170">
        <v>0</v>
      </c>
      <c r="Y131" s="170"/>
      <c r="Z131" s="170"/>
      <c r="AA131" s="170"/>
      <c r="AB131" s="170">
        <f t="shared" si="140"/>
        <v>0</v>
      </c>
      <c r="AC131" s="194">
        <f>+(P131/G131)</f>
        <v>1</v>
      </c>
      <c r="AD131" s="194"/>
      <c r="AE131" s="194">
        <f>+AB131/I131</f>
        <v>0</v>
      </c>
      <c r="AF131" s="194">
        <f>+AC131*E131</f>
        <v>0.2</v>
      </c>
      <c r="AG131" s="194"/>
      <c r="AH131" s="194">
        <f t="shared" si="144"/>
        <v>0</v>
      </c>
      <c r="AI131" s="194">
        <f>+P131/F131</f>
        <v>0.5</v>
      </c>
      <c r="AJ131" s="194">
        <v>0.5</v>
      </c>
      <c r="AK131" s="194">
        <f t="shared" si="145"/>
        <v>0.5</v>
      </c>
      <c r="AL131" s="194">
        <f>+AI131*E131</f>
        <v>0.1</v>
      </c>
      <c r="AM131" s="194">
        <f>+AJ131*E131</f>
        <v>0.1</v>
      </c>
      <c r="AN131" s="194">
        <f t="shared" si="146"/>
        <v>0.1</v>
      </c>
      <c r="AO131" s="566" t="s">
        <v>1850</v>
      </c>
      <c r="AP131" s="909" t="s">
        <v>1892</v>
      </c>
      <c r="AQ131" s="908" t="s">
        <v>2267</v>
      </c>
      <c r="AR131" s="908" t="s">
        <v>2288</v>
      </c>
      <c r="AS131" s="908" t="s">
        <v>2402</v>
      </c>
      <c r="AT131" s="609"/>
      <c r="AU131" s="908" t="s">
        <v>2493</v>
      </c>
      <c r="AV131" s="934" t="s">
        <v>1893</v>
      </c>
      <c r="AW131" s="157"/>
      <c r="AX131" s="151"/>
      <c r="AY131" s="151"/>
      <c r="AZ131" s="151"/>
      <c r="BA131" s="151"/>
      <c r="BB131" s="151"/>
      <c r="BC131" s="151"/>
      <c r="BD131" s="151"/>
      <c r="BE131" s="151"/>
      <c r="BF131" s="151"/>
      <c r="BG131" s="151"/>
      <c r="BH131" s="151"/>
      <c r="BI131" s="151"/>
      <c r="BJ131" s="151"/>
      <c r="BK131" s="151"/>
      <c r="BL131" s="151"/>
      <c r="BM131" s="151"/>
      <c r="BN131" s="151"/>
      <c r="BO131" s="151"/>
    </row>
    <row r="132" spans="1:67" ht="145.19999999999999" customHeight="1" thickBot="1" x14ac:dyDescent="0.4">
      <c r="A132" s="155"/>
      <c r="B132" s="1486" t="s">
        <v>798</v>
      </c>
      <c r="C132" s="1490" t="s">
        <v>1489</v>
      </c>
      <c r="D132" s="207" t="s">
        <v>516</v>
      </c>
      <c r="E132" s="174">
        <v>0.75</v>
      </c>
      <c r="F132" s="175">
        <v>500</v>
      </c>
      <c r="G132" s="170">
        <v>150</v>
      </c>
      <c r="H132" s="170">
        <v>150</v>
      </c>
      <c r="I132" s="170">
        <v>150</v>
      </c>
      <c r="J132" s="176">
        <f>+G132/F132</f>
        <v>0.3</v>
      </c>
      <c r="K132" s="176">
        <f t="shared" ref="K132" si="150">+H132/F132</f>
        <v>0.3</v>
      </c>
      <c r="L132" s="176">
        <f t="shared" si="138"/>
        <v>0.3</v>
      </c>
      <c r="M132" s="176">
        <f>+(G132/F132)*E132</f>
        <v>0.22499999999999998</v>
      </c>
      <c r="N132" s="176">
        <f t="shared" ref="N132" si="151">+(H132/F132)*E132</f>
        <v>0.22499999999999998</v>
      </c>
      <c r="O132" s="176"/>
      <c r="P132" s="170">
        <v>90.3</v>
      </c>
      <c r="Q132" s="541">
        <v>0</v>
      </c>
      <c r="R132" s="541">
        <v>25</v>
      </c>
      <c r="S132" s="541">
        <v>52</v>
      </c>
      <c r="T132" s="541">
        <v>173</v>
      </c>
      <c r="U132" s="541">
        <v>0</v>
      </c>
      <c r="V132" s="170">
        <f t="shared" si="110"/>
        <v>250</v>
      </c>
      <c r="W132" s="170">
        <f t="shared" si="149"/>
        <v>340.3</v>
      </c>
      <c r="X132" s="170">
        <v>0</v>
      </c>
      <c r="Y132" s="170"/>
      <c r="Z132" s="170"/>
      <c r="AA132" s="170"/>
      <c r="AB132" s="170">
        <f t="shared" si="140"/>
        <v>0</v>
      </c>
      <c r="AC132" s="194">
        <f>+(P132/G132)</f>
        <v>0.60199999999999998</v>
      </c>
      <c r="AD132" s="194">
        <v>1</v>
      </c>
      <c r="AE132" s="194">
        <f t="shared" si="142"/>
        <v>0</v>
      </c>
      <c r="AF132" s="194">
        <f>+AC132*E132</f>
        <v>0.45150000000000001</v>
      </c>
      <c r="AG132" s="194">
        <f t="shared" ref="AG132" si="152">+AD132*E132</f>
        <v>0.75</v>
      </c>
      <c r="AH132" s="194">
        <f t="shared" si="144"/>
        <v>0</v>
      </c>
      <c r="AI132" s="194">
        <f>+P132/F132</f>
        <v>0.18059999999999998</v>
      </c>
      <c r="AJ132" s="194">
        <v>0.68059999999999998</v>
      </c>
      <c r="AK132" s="194">
        <f t="shared" si="145"/>
        <v>0.68059999999999998</v>
      </c>
      <c r="AL132" s="194">
        <f>+AI132*E132</f>
        <v>0.13544999999999999</v>
      </c>
      <c r="AM132" s="194">
        <f>+AJ132*E132</f>
        <v>0.51044999999999996</v>
      </c>
      <c r="AN132" s="194">
        <f t="shared" si="146"/>
        <v>0.51044999999999996</v>
      </c>
      <c r="AO132" s="566" t="s">
        <v>1850</v>
      </c>
      <c r="AP132" s="909" t="s">
        <v>1892</v>
      </c>
      <c r="AQ132" s="908" t="s">
        <v>2267</v>
      </c>
      <c r="AR132" s="908" t="s">
        <v>2288</v>
      </c>
      <c r="AS132" s="908" t="s">
        <v>2402</v>
      </c>
      <c r="AT132" s="609"/>
      <c r="AU132" s="908" t="s">
        <v>2493</v>
      </c>
      <c r="AV132" s="934" t="s">
        <v>1893</v>
      </c>
      <c r="AW132" s="157"/>
      <c r="AX132" s="151"/>
      <c r="AY132" s="151"/>
      <c r="AZ132" s="151"/>
      <c r="BA132" s="151"/>
      <c r="BB132" s="151"/>
      <c r="BC132" s="151"/>
      <c r="BD132" s="151"/>
      <c r="BE132" s="151"/>
      <c r="BF132" s="151"/>
      <c r="BG132" s="151"/>
      <c r="BH132" s="151"/>
      <c r="BI132" s="151"/>
      <c r="BJ132" s="151"/>
      <c r="BK132" s="151"/>
      <c r="BL132" s="151"/>
      <c r="BM132" s="151"/>
      <c r="BN132" s="151"/>
      <c r="BO132" s="151"/>
    </row>
    <row r="133" spans="1:67" ht="15.75" customHeight="1" thickBot="1" x14ac:dyDescent="0.4">
      <c r="A133" s="151"/>
      <c r="B133" s="209"/>
      <c r="C133" s="209"/>
      <c r="D133" s="209"/>
      <c r="E133" s="210"/>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c r="AJ133" s="209"/>
      <c r="AK133" s="209"/>
      <c r="AL133" s="209"/>
      <c r="AM133" s="606"/>
      <c r="AN133" s="606"/>
      <c r="AO133" s="191"/>
      <c r="AP133" s="209"/>
      <c r="AQ133" s="209"/>
      <c r="AR133" s="209"/>
      <c r="AS133" s="209"/>
      <c r="AT133" s="209"/>
      <c r="AU133" s="209"/>
      <c r="AV133" s="209"/>
      <c r="AW133" s="151"/>
      <c r="AX133" s="151"/>
      <c r="AY133" s="151"/>
      <c r="AZ133" s="151"/>
      <c r="BA133" s="151"/>
      <c r="BB133" s="151"/>
      <c r="BC133" s="151"/>
      <c r="BD133" s="151"/>
      <c r="BE133" s="151"/>
      <c r="BF133" s="151"/>
      <c r="BG133" s="151"/>
      <c r="BH133" s="151"/>
      <c r="BI133" s="151"/>
      <c r="BJ133" s="151"/>
      <c r="BK133" s="151"/>
      <c r="BL133" s="151"/>
      <c r="BM133" s="151"/>
      <c r="BN133" s="151"/>
      <c r="BO133" s="151"/>
    </row>
    <row r="134" spans="1:67" ht="15.75" customHeight="1" thickBot="1" x14ac:dyDescent="0.4">
      <c r="A134" s="151"/>
      <c r="B134" s="151"/>
      <c r="C134" s="151"/>
      <c r="D134" s="151"/>
      <c r="E134" s="21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row>
    <row r="135" spans="1:67" ht="15.75" customHeight="1" thickBot="1" x14ac:dyDescent="0.4">
      <c r="A135" s="151"/>
      <c r="B135" s="151"/>
      <c r="C135" s="151"/>
      <c r="D135" s="151"/>
      <c r="E135" s="21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row>
    <row r="136" spans="1:67" ht="15.75" customHeight="1" thickBot="1" x14ac:dyDescent="0.4">
      <c r="A136" s="151"/>
      <c r="B136" s="212"/>
      <c r="C136" s="151"/>
      <c r="D136" s="151"/>
      <c r="E136" s="21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151"/>
      <c r="BN136" s="151"/>
      <c r="BO136" s="151"/>
    </row>
    <row r="137" spans="1:67" ht="15.75" customHeight="1" thickBot="1" x14ac:dyDescent="0.4">
      <c r="A137" s="151"/>
      <c r="B137" s="151"/>
      <c r="C137" s="151"/>
      <c r="D137" s="151"/>
      <c r="E137" s="21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151"/>
      <c r="BN137" s="151"/>
      <c r="BO137" s="151"/>
    </row>
    <row r="138" spans="1:67" ht="15.75" customHeight="1" thickBot="1" x14ac:dyDescent="0.4">
      <c r="A138" s="151"/>
      <c r="B138" s="151"/>
      <c r="C138" s="151"/>
      <c r="D138" s="151"/>
      <c r="E138" s="21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151"/>
      <c r="BN138" s="151"/>
      <c r="BO138" s="151"/>
    </row>
    <row r="139" spans="1:67" ht="15.75" customHeight="1" thickBot="1" x14ac:dyDescent="0.4">
      <c r="A139" s="151"/>
      <c r="B139" s="151"/>
      <c r="C139" s="151"/>
      <c r="D139" s="151"/>
      <c r="E139" s="21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151"/>
      <c r="BN139" s="151"/>
      <c r="BO139" s="151"/>
    </row>
    <row r="140" spans="1:67" ht="15.75" customHeight="1" thickBot="1" x14ac:dyDescent="0.4">
      <c r="A140" s="151"/>
      <c r="B140" s="151"/>
      <c r="C140" s="151"/>
      <c r="D140" s="151"/>
      <c r="E140" s="21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151"/>
      <c r="BN140" s="151"/>
      <c r="BO140" s="151"/>
    </row>
    <row r="141" spans="1:67" ht="15.75" customHeight="1" thickBot="1" x14ac:dyDescent="0.4">
      <c r="A141" s="151"/>
      <c r="B141" s="151"/>
      <c r="C141" s="151"/>
      <c r="D141" s="151"/>
      <c r="E141" s="21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row>
    <row r="142" spans="1:67" ht="15.75" customHeight="1" thickBot="1" x14ac:dyDescent="0.4">
      <c r="A142" s="151"/>
      <c r="B142" s="151"/>
      <c r="C142" s="151"/>
      <c r="D142" s="151"/>
      <c r="E142" s="21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row>
    <row r="143" spans="1:67" ht="15.75" customHeight="1" thickBot="1" x14ac:dyDescent="0.4">
      <c r="A143" s="151"/>
      <c r="B143" s="151"/>
      <c r="C143" s="151"/>
      <c r="D143" s="151"/>
      <c r="E143" s="21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row>
    <row r="144" spans="1:67" ht="15.75" customHeight="1" thickBot="1" x14ac:dyDescent="0.4">
      <c r="A144" s="151"/>
      <c r="B144" s="151"/>
      <c r="C144" s="151"/>
      <c r="D144" s="151"/>
      <c r="E144" s="21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row>
    <row r="145" spans="1:67" ht="15.75" customHeight="1" thickBot="1" x14ac:dyDescent="0.4">
      <c r="A145" s="151"/>
      <c r="B145" s="151"/>
      <c r="C145" s="151"/>
      <c r="D145" s="151"/>
      <c r="E145" s="21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row>
    <row r="146" spans="1:67" ht="15.75" customHeight="1" thickBot="1" x14ac:dyDescent="0.4">
      <c r="A146" s="151"/>
      <c r="B146" s="151"/>
      <c r="C146" s="151"/>
      <c r="D146" s="151"/>
      <c r="E146" s="21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row>
    <row r="147" spans="1:67" ht="15.75" customHeight="1" thickBot="1" x14ac:dyDescent="0.4">
      <c r="A147" s="151"/>
      <c r="B147" s="151"/>
      <c r="C147" s="151"/>
      <c r="D147" s="151"/>
      <c r="E147" s="21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151"/>
      <c r="BN147" s="151"/>
      <c r="BO147" s="151"/>
    </row>
    <row r="148" spans="1:67" ht="15.75" customHeight="1" thickBot="1" x14ac:dyDescent="0.4">
      <c r="A148" s="151"/>
      <c r="B148" s="151"/>
      <c r="C148" s="151"/>
      <c r="D148" s="151"/>
      <c r="E148" s="21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row>
    <row r="149" spans="1:67" ht="15.75" customHeight="1" thickBot="1" x14ac:dyDescent="0.4">
      <c r="A149" s="151"/>
      <c r="B149" s="151"/>
      <c r="C149" s="151"/>
      <c r="D149" s="151"/>
      <c r="E149" s="21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row>
    <row r="150" spans="1:67" ht="15.75" customHeight="1" thickBot="1" x14ac:dyDescent="0.4">
      <c r="A150" s="151"/>
      <c r="B150" s="151"/>
      <c r="C150" s="151"/>
      <c r="D150" s="151"/>
      <c r="E150" s="21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row>
    <row r="151" spans="1:67" ht="15.75" customHeight="1" thickBot="1" x14ac:dyDescent="0.4">
      <c r="A151" s="151"/>
      <c r="B151" s="151"/>
      <c r="C151" s="151"/>
      <c r="D151" s="151"/>
      <c r="E151" s="21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row>
    <row r="152" spans="1:67" ht="15.75" customHeight="1" thickBot="1" x14ac:dyDescent="0.4">
      <c r="A152" s="151"/>
      <c r="B152" s="151"/>
      <c r="C152" s="151"/>
      <c r="D152" s="151"/>
      <c r="E152" s="21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row>
    <row r="153" spans="1:67" ht="15.75" customHeight="1" thickBot="1" x14ac:dyDescent="0.4">
      <c r="A153" s="151"/>
      <c r="B153" s="151"/>
      <c r="C153" s="151"/>
      <c r="D153" s="151"/>
      <c r="E153" s="21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row>
    <row r="154" spans="1:67" ht="15.75" customHeight="1" thickBot="1" x14ac:dyDescent="0.4">
      <c r="A154" s="151"/>
      <c r="B154" s="151"/>
      <c r="C154" s="151"/>
      <c r="D154" s="151"/>
      <c r="E154" s="21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row>
    <row r="155" spans="1:67" ht="15.75" customHeight="1" thickBot="1" x14ac:dyDescent="0.4">
      <c r="A155" s="151"/>
      <c r="B155" s="151"/>
      <c r="C155" s="151"/>
      <c r="D155" s="151"/>
      <c r="E155" s="21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151"/>
      <c r="BN155" s="151"/>
      <c r="BO155" s="151"/>
    </row>
    <row r="156" spans="1:67" ht="15.75" customHeight="1" thickBot="1" x14ac:dyDescent="0.4">
      <c r="A156" s="151"/>
      <c r="B156" s="151"/>
      <c r="C156" s="151"/>
      <c r="D156" s="151"/>
      <c r="E156" s="21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row>
    <row r="157" spans="1:67" ht="15.75" customHeight="1" thickBot="1" x14ac:dyDescent="0.4">
      <c r="A157" s="151"/>
      <c r="B157" s="151"/>
      <c r="C157" s="151"/>
      <c r="D157" s="151"/>
      <c r="E157" s="21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151"/>
      <c r="BN157" s="151"/>
      <c r="BO157" s="151"/>
    </row>
    <row r="158" spans="1:67" ht="15.75" customHeight="1" thickBot="1" x14ac:dyDescent="0.4">
      <c r="A158" s="151"/>
      <c r="B158" s="151"/>
      <c r="C158" s="151"/>
      <c r="D158" s="151"/>
      <c r="E158" s="21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row>
    <row r="159" spans="1:67" ht="15.75" customHeight="1" thickBot="1" x14ac:dyDescent="0.4">
      <c r="A159" s="151"/>
      <c r="B159" s="151"/>
      <c r="C159" s="151"/>
      <c r="D159" s="151"/>
      <c r="E159" s="21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row>
    <row r="160" spans="1:67" ht="15.75" customHeight="1" thickBot="1" x14ac:dyDescent="0.4">
      <c r="A160" s="151"/>
      <c r="B160" s="151"/>
      <c r="C160" s="151"/>
      <c r="D160" s="151"/>
      <c r="E160" s="21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row>
    <row r="161" spans="1:67" ht="15.75" customHeight="1" thickBot="1" x14ac:dyDescent="0.4">
      <c r="A161" s="151"/>
      <c r="B161" s="151"/>
      <c r="C161" s="151"/>
      <c r="D161" s="151"/>
      <c r="E161" s="21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151"/>
      <c r="BN161" s="151"/>
      <c r="BO161" s="151"/>
    </row>
    <row r="162" spans="1:67" ht="15.75" customHeight="1" thickBot="1" x14ac:dyDescent="0.4">
      <c r="A162" s="151"/>
      <c r="B162" s="151"/>
      <c r="C162" s="151"/>
      <c r="D162" s="151"/>
      <c r="E162" s="21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151"/>
      <c r="BN162" s="151"/>
      <c r="BO162" s="151"/>
    </row>
    <row r="163" spans="1:67" ht="15.75" customHeight="1" thickBot="1" x14ac:dyDescent="0.4">
      <c r="A163" s="151"/>
      <c r="B163" s="151"/>
      <c r="C163" s="151"/>
      <c r="D163" s="151"/>
      <c r="E163" s="21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151"/>
      <c r="BN163" s="151"/>
      <c r="BO163" s="151"/>
    </row>
    <row r="164" spans="1:67" ht="15.75" customHeight="1" thickBot="1" x14ac:dyDescent="0.4">
      <c r="A164" s="151"/>
      <c r="B164" s="151"/>
      <c r="C164" s="151"/>
      <c r="D164" s="151"/>
      <c r="E164" s="21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151"/>
      <c r="BN164" s="151"/>
      <c r="BO164" s="151"/>
    </row>
    <row r="165" spans="1:67" ht="15.75" customHeight="1" thickBot="1" x14ac:dyDescent="0.4">
      <c r="A165" s="151"/>
      <c r="B165" s="151"/>
      <c r="C165" s="151"/>
      <c r="D165" s="151"/>
      <c r="E165" s="21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c r="BN165" s="151"/>
      <c r="BO165" s="151"/>
    </row>
    <row r="166" spans="1:67" ht="15.75" customHeight="1" thickBot="1" x14ac:dyDescent="0.4">
      <c r="A166" s="151"/>
      <c r="B166" s="151"/>
      <c r="C166" s="151"/>
      <c r="D166" s="151"/>
      <c r="E166" s="21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row>
    <row r="167" spans="1:67" ht="15.75" customHeight="1" thickBot="1" x14ac:dyDescent="0.4">
      <c r="A167" s="151"/>
      <c r="B167" s="151"/>
      <c r="C167" s="151"/>
      <c r="D167" s="151"/>
      <c r="E167" s="21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151"/>
      <c r="BN167" s="151"/>
      <c r="BO167" s="151"/>
    </row>
    <row r="168" spans="1:67" ht="15.75" customHeight="1" thickBot="1" x14ac:dyDescent="0.4">
      <c r="A168" s="151"/>
      <c r="B168" s="151"/>
      <c r="C168" s="151"/>
      <c r="D168" s="151"/>
      <c r="E168" s="21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row>
    <row r="169" spans="1:67" ht="15.75" customHeight="1" thickBot="1" x14ac:dyDescent="0.4">
      <c r="A169" s="151"/>
      <c r="B169" s="151"/>
      <c r="C169" s="151"/>
      <c r="D169" s="151"/>
      <c r="E169" s="21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row>
    <row r="170" spans="1:67" ht="15.75" customHeight="1" thickBot="1" x14ac:dyDescent="0.4">
      <c r="A170" s="151"/>
      <c r="B170" s="151"/>
      <c r="C170" s="151"/>
      <c r="D170" s="151"/>
      <c r="E170" s="21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row>
    <row r="171" spans="1:67" ht="15.75" customHeight="1" thickBot="1" x14ac:dyDescent="0.4">
      <c r="A171" s="151"/>
      <c r="B171" s="151"/>
      <c r="C171" s="151"/>
      <c r="D171" s="151"/>
      <c r="E171" s="21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row>
    <row r="172" spans="1:67" ht="15.75" customHeight="1" thickBot="1" x14ac:dyDescent="0.4">
      <c r="A172" s="151"/>
      <c r="B172" s="151"/>
      <c r="C172" s="151"/>
      <c r="D172" s="151"/>
      <c r="E172" s="21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151"/>
      <c r="BN172" s="151"/>
      <c r="BO172" s="151"/>
    </row>
    <row r="173" spans="1:67" ht="15.75" customHeight="1" thickBot="1" x14ac:dyDescent="0.4">
      <c r="A173" s="151"/>
      <c r="B173" s="151"/>
      <c r="C173" s="151"/>
      <c r="D173" s="151"/>
      <c r="E173" s="21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row>
    <row r="174" spans="1:67" ht="15.75" customHeight="1" thickBot="1" x14ac:dyDescent="0.4">
      <c r="A174" s="151"/>
      <c r="B174" s="151"/>
      <c r="C174" s="151"/>
      <c r="D174" s="151"/>
      <c r="E174" s="21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151"/>
      <c r="BN174" s="151"/>
      <c r="BO174" s="151"/>
    </row>
    <row r="175" spans="1:67" ht="15.75" customHeight="1" thickBot="1" x14ac:dyDescent="0.4">
      <c r="A175" s="151"/>
      <c r="B175" s="151"/>
      <c r="C175" s="151"/>
      <c r="D175" s="151"/>
      <c r="E175" s="21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151"/>
      <c r="BN175" s="151"/>
      <c r="BO175" s="151"/>
    </row>
    <row r="176" spans="1:67" ht="15.75" customHeight="1" thickBot="1" x14ac:dyDescent="0.4">
      <c r="A176" s="151"/>
      <c r="B176" s="151"/>
      <c r="C176" s="151"/>
      <c r="D176" s="151"/>
      <c r="E176" s="21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row>
    <row r="177" spans="1:67" ht="15.75" customHeight="1" thickBot="1" x14ac:dyDescent="0.4">
      <c r="A177" s="151"/>
      <c r="B177" s="151"/>
      <c r="C177" s="151"/>
      <c r="D177" s="151"/>
      <c r="E177" s="21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151"/>
      <c r="BN177" s="151"/>
      <c r="BO177" s="151"/>
    </row>
    <row r="178" spans="1:67" ht="15.75" customHeight="1" thickBot="1" x14ac:dyDescent="0.4">
      <c r="A178" s="151"/>
      <c r="B178" s="151"/>
      <c r="C178" s="151"/>
      <c r="D178" s="151"/>
      <c r="E178" s="21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151"/>
      <c r="BN178" s="151"/>
      <c r="BO178" s="151"/>
    </row>
    <row r="179" spans="1:67" ht="15.75" customHeight="1" thickBot="1" x14ac:dyDescent="0.4">
      <c r="A179" s="151"/>
      <c r="B179" s="151"/>
      <c r="C179" s="151"/>
      <c r="D179" s="151"/>
      <c r="E179" s="21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151"/>
      <c r="BN179" s="151"/>
      <c r="BO179" s="151"/>
    </row>
    <row r="180" spans="1:67" ht="15.75" customHeight="1" thickBot="1" x14ac:dyDescent="0.4">
      <c r="A180" s="151"/>
      <c r="B180" s="151"/>
      <c r="C180" s="151"/>
      <c r="D180" s="151"/>
      <c r="E180" s="21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151"/>
      <c r="BN180" s="151"/>
      <c r="BO180" s="151"/>
    </row>
    <row r="181" spans="1:67" ht="15.75" customHeight="1" thickBot="1" x14ac:dyDescent="0.4">
      <c r="A181" s="151"/>
      <c r="B181" s="151"/>
      <c r="C181" s="151"/>
      <c r="D181" s="151"/>
      <c r="E181" s="21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151"/>
      <c r="BN181" s="151"/>
      <c r="BO181" s="151"/>
    </row>
    <row r="182" spans="1:67" ht="15.75" customHeight="1" thickBot="1" x14ac:dyDescent="0.4">
      <c r="A182" s="151"/>
      <c r="B182" s="151"/>
      <c r="C182" s="151"/>
      <c r="D182" s="151"/>
      <c r="E182" s="21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row>
    <row r="183" spans="1:67" ht="15.75" customHeight="1" thickBot="1" x14ac:dyDescent="0.4">
      <c r="A183" s="151"/>
      <c r="B183" s="151"/>
      <c r="C183" s="151"/>
      <c r="D183" s="151"/>
      <c r="E183" s="21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row>
    <row r="184" spans="1:67" ht="15.75" customHeight="1" thickBot="1" x14ac:dyDescent="0.4">
      <c r="A184" s="151"/>
      <c r="B184" s="151"/>
      <c r="C184" s="151"/>
      <c r="D184" s="151"/>
      <c r="E184" s="21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151"/>
      <c r="BN184" s="151"/>
      <c r="BO184" s="151"/>
    </row>
    <row r="185" spans="1:67" ht="15.75" customHeight="1" thickBot="1" x14ac:dyDescent="0.4">
      <c r="A185" s="151"/>
      <c r="B185" s="151"/>
      <c r="C185" s="151"/>
      <c r="D185" s="151"/>
      <c r="E185" s="21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151"/>
      <c r="BN185" s="151"/>
      <c r="BO185" s="151"/>
    </row>
    <row r="186" spans="1:67" ht="15.75" customHeight="1" thickBot="1" x14ac:dyDescent="0.4">
      <c r="A186" s="151"/>
      <c r="B186" s="151"/>
      <c r="C186" s="151"/>
      <c r="D186" s="151"/>
      <c r="E186" s="21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151"/>
      <c r="BN186" s="151"/>
      <c r="BO186" s="151"/>
    </row>
    <row r="187" spans="1:67" ht="15.75" customHeight="1" thickBot="1" x14ac:dyDescent="0.4">
      <c r="A187" s="151"/>
      <c r="B187" s="151"/>
      <c r="C187" s="151"/>
      <c r="D187" s="151"/>
      <c r="E187" s="21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row>
    <row r="188" spans="1:67" ht="15.75" customHeight="1" thickBot="1" x14ac:dyDescent="0.4">
      <c r="A188" s="151"/>
      <c r="B188" s="151"/>
      <c r="C188" s="151"/>
      <c r="D188" s="151"/>
      <c r="E188" s="21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151"/>
      <c r="BN188" s="151"/>
      <c r="BO188" s="151"/>
    </row>
    <row r="189" spans="1:67" ht="15.75" customHeight="1" thickBot="1" x14ac:dyDescent="0.4">
      <c r="A189" s="151"/>
      <c r="B189" s="151"/>
      <c r="C189" s="151"/>
      <c r="D189" s="151"/>
      <c r="E189" s="21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151"/>
      <c r="BN189" s="151"/>
      <c r="BO189" s="151"/>
    </row>
    <row r="190" spans="1:67" ht="15.75" customHeight="1" thickBot="1" x14ac:dyDescent="0.4">
      <c r="A190" s="151"/>
      <c r="B190" s="151"/>
      <c r="C190" s="151"/>
      <c r="D190" s="151"/>
      <c r="E190" s="21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row>
    <row r="191" spans="1:67" ht="15.75" customHeight="1" thickBot="1" x14ac:dyDescent="0.4">
      <c r="A191" s="151"/>
      <c r="B191" s="151"/>
      <c r="C191" s="151"/>
      <c r="D191" s="151"/>
      <c r="E191" s="21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151"/>
      <c r="BN191" s="151"/>
      <c r="BO191" s="151"/>
    </row>
    <row r="192" spans="1:67" ht="15.75" customHeight="1" thickBot="1" x14ac:dyDescent="0.4">
      <c r="A192" s="151"/>
      <c r="B192" s="151"/>
      <c r="C192" s="151"/>
      <c r="D192" s="151"/>
      <c r="E192" s="21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151"/>
      <c r="BN192" s="151"/>
      <c r="BO192" s="151"/>
    </row>
    <row r="193" spans="1:67" ht="15.75" customHeight="1" thickBot="1" x14ac:dyDescent="0.4">
      <c r="A193" s="151"/>
      <c r="B193" s="151"/>
      <c r="C193" s="151"/>
      <c r="D193" s="151"/>
      <c r="E193" s="21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151"/>
      <c r="BN193" s="151"/>
      <c r="BO193" s="151"/>
    </row>
    <row r="194" spans="1:67" ht="15.75" customHeight="1" thickBot="1" x14ac:dyDescent="0.4">
      <c r="A194" s="151"/>
      <c r="B194" s="151"/>
      <c r="C194" s="151"/>
      <c r="D194" s="151"/>
      <c r="E194" s="21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row>
    <row r="195" spans="1:67" ht="15.75" customHeight="1" thickBot="1" x14ac:dyDescent="0.4">
      <c r="A195" s="151"/>
      <c r="B195" s="151"/>
      <c r="C195" s="151"/>
      <c r="D195" s="151"/>
      <c r="E195" s="21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row>
    <row r="196" spans="1:67" ht="15.75" customHeight="1" thickBot="1" x14ac:dyDescent="0.4">
      <c r="A196" s="151"/>
      <c r="B196" s="151"/>
      <c r="C196" s="151"/>
      <c r="D196" s="151"/>
      <c r="E196" s="21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row>
    <row r="197" spans="1:67" ht="15.75" customHeight="1" thickBot="1" x14ac:dyDescent="0.4">
      <c r="A197" s="151"/>
      <c r="B197" s="151"/>
      <c r="C197" s="151"/>
      <c r="D197" s="151"/>
      <c r="E197" s="21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row>
    <row r="198" spans="1:67" ht="15.75" customHeight="1" thickBot="1" x14ac:dyDescent="0.4">
      <c r="A198" s="151"/>
      <c r="B198" s="151"/>
      <c r="C198" s="151"/>
      <c r="D198" s="151"/>
      <c r="E198" s="21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row>
    <row r="199" spans="1:67" ht="15.75" customHeight="1" thickBot="1" x14ac:dyDescent="0.4">
      <c r="A199" s="151"/>
      <c r="B199" s="151"/>
      <c r="C199" s="151"/>
      <c r="D199" s="151"/>
      <c r="E199" s="21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row>
    <row r="200" spans="1:67" ht="15.75" customHeight="1" thickBot="1" x14ac:dyDescent="0.4">
      <c r="A200" s="151"/>
      <c r="B200" s="151"/>
      <c r="C200" s="151"/>
      <c r="D200" s="151"/>
      <c r="E200" s="21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151"/>
      <c r="BN200" s="151"/>
      <c r="BO200" s="151"/>
    </row>
    <row r="201" spans="1:67" ht="15.75" customHeight="1" thickBot="1" x14ac:dyDescent="0.4">
      <c r="A201" s="151"/>
      <c r="B201" s="151"/>
      <c r="C201" s="151"/>
      <c r="D201" s="151"/>
      <c r="E201" s="21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151"/>
      <c r="BN201" s="151"/>
      <c r="BO201" s="151"/>
    </row>
    <row r="202" spans="1:67" ht="15.75" customHeight="1" thickBot="1" x14ac:dyDescent="0.4">
      <c r="A202" s="151"/>
      <c r="B202" s="151"/>
      <c r="C202" s="151"/>
      <c r="D202" s="151"/>
      <c r="E202" s="21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151"/>
      <c r="BN202" s="151"/>
      <c r="BO202" s="151"/>
    </row>
    <row r="203" spans="1:67" ht="15.75" customHeight="1" thickBot="1" x14ac:dyDescent="0.4">
      <c r="A203" s="151"/>
      <c r="B203" s="151"/>
      <c r="C203" s="151"/>
      <c r="D203" s="151"/>
      <c r="E203" s="21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row>
    <row r="204" spans="1:67" ht="15.75" customHeight="1" thickBot="1" x14ac:dyDescent="0.4">
      <c r="A204" s="151"/>
      <c r="B204" s="151"/>
      <c r="C204" s="151"/>
      <c r="D204" s="151"/>
      <c r="E204" s="21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151"/>
      <c r="BN204" s="151"/>
      <c r="BO204" s="151"/>
    </row>
    <row r="205" spans="1:67" ht="15.75" customHeight="1" thickBot="1" x14ac:dyDescent="0.4">
      <c r="A205" s="151"/>
      <c r="B205" s="151"/>
      <c r="C205" s="151"/>
      <c r="D205" s="151"/>
      <c r="E205" s="21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151"/>
      <c r="BN205" s="151"/>
      <c r="BO205" s="151"/>
    </row>
    <row r="206" spans="1:67" ht="15.75" customHeight="1" thickBot="1" x14ac:dyDescent="0.4">
      <c r="A206" s="151"/>
      <c r="B206" s="151"/>
      <c r="C206" s="151"/>
      <c r="D206" s="151"/>
      <c r="E206" s="21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151"/>
      <c r="BN206" s="151"/>
      <c r="BO206" s="151"/>
    </row>
    <row r="207" spans="1:67" ht="15.75" customHeight="1" thickBot="1" x14ac:dyDescent="0.4">
      <c r="A207" s="151"/>
      <c r="B207" s="151"/>
      <c r="C207" s="151"/>
      <c r="D207" s="151"/>
      <c r="E207" s="21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c r="BN207" s="151"/>
      <c r="BO207" s="151"/>
    </row>
    <row r="208" spans="1:67" ht="15.75" customHeight="1" thickBot="1" x14ac:dyDescent="0.4">
      <c r="A208" s="151"/>
      <c r="B208" s="151"/>
      <c r="C208" s="151"/>
      <c r="D208" s="151"/>
      <c r="E208" s="21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151"/>
      <c r="BN208" s="151"/>
      <c r="BO208" s="151"/>
    </row>
    <row r="209" spans="1:67" ht="15.75" customHeight="1" thickBot="1" x14ac:dyDescent="0.4">
      <c r="A209" s="151"/>
      <c r="B209" s="151"/>
      <c r="C209" s="151"/>
      <c r="D209" s="151"/>
      <c r="E209" s="21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151"/>
      <c r="BN209" s="151"/>
      <c r="BO209" s="151"/>
    </row>
    <row r="210" spans="1:67" ht="15.75" customHeight="1" thickBot="1" x14ac:dyDescent="0.4">
      <c r="A210" s="151"/>
      <c r="B210" s="151"/>
      <c r="C210" s="151"/>
      <c r="D210" s="151"/>
      <c r="E210" s="21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row>
    <row r="211" spans="1:67" ht="15.75" customHeight="1" thickBot="1" x14ac:dyDescent="0.4">
      <c r="A211" s="151"/>
      <c r="B211" s="151"/>
      <c r="C211" s="151"/>
      <c r="D211" s="151"/>
      <c r="E211" s="21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151"/>
      <c r="BN211" s="151"/>
      <c r="BO211" s="151"/>
    </row>
    <row r="212" spans="1:67" ht="15.75" customHeight="1" thickBot="1" x14ac:dyDescent="0.4">
      <c r="A212" s="151"/>
      <c r="B212" s="151"/>
      <c r="C212" s="151"/>
      <c r="D212" s="151"/>
      <c r="E212" s="21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row>
    <row r="213" spans="1:67" ht="15.75" customHeight="1" thickBot="1" x14ac:dyDescent="0.4">
      <c r="A213" s="151"/>
      <c r="B213" s="151"/>
      <c r="C213" s="151"/>
      <c r="D213" s="151"/>
      <c r="E213" s="21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151"/>
      <c r="BN213" s="151"/>
      <c r="BO213" s="151"/>
    </row>
    <row r="214" spans="1:67" ht="15.75" customHeight="1" thickBot="1" x14ac:dyDescent="0.4">
      <c r="A214" s="151"/>
      <c r="B214" s="151"/>
      <c r="C214" s="151"/>
      <c r="D214" s="151"/>
      <c r="E214" s="21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151"/>
      <c r="BN214" s="151"/>
      <c r="BO214" s="151"/>
    </row>
    <row r="215" spans="1:67" ht="15.75" customHeight="1" thickBot="1" x14ac:dyDescent="0.4">
      <c r="A215" s="151"/>
      <c r="B215" s="151"/>
      <c r="C215" s="151"/>
      <c r="D215" s="151"/>
      <c r="E215" s="21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151"/>
      <c r="BN215" s="151"/>
      <c r="BO215" s="151"/>
    </row>
    <row r="216" spans="1:67" ht="15.75" customHeight="1" thickBot="1" x14ac:dyDescent="0.4">
      <c r="A216" s="151"/>
      <c r="B216" s="151"/>
      <c r="C216" s="151"/>
      <c r="D216" s="151"/>
      <c r="E216" s="21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row>
    <row r="217" spans="1:67" ht="15.75" customHeight="1" thickBot="1" x14ac:dyDescent="0.4">
      <c r="A217" s="151"/>
      <c r="B217" s="151"/>
      <c r="C217" s="151"/>
      <c r="D217" s="151"/>
      <c r="E217" s="21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151"/>
      <c r="BN217" s="151"/>
      <c r="BO217" s="151"/>
    </row>
    <row r="218" spans="1:67" ht="15.75" customHeight="1" thickBot="1" x14ac:dyDescent="0.4">
      <c r="A218" s="151"/>
      <c r="B218" s="151"/>
      <c r="C218" s="151"/>
      <c r="D218" s="151"/>
      <c r="E218" s="21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151"/>
      <c r="BN218" s="151"/>
      <c r="BO218" s="151"/>
    </row>
    <row r="219" spans="1:67" ht="15.75" customHeight="1" thickBot="1" x14ac:dyDescent="0.4">
      <c r="A219" s="151"/>
      <c r="B219" s="151"/>
      <c r="C219" s="151"/>
      <c r="D219" s="151"/>
      <c r="E219" s="21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row>
    <row r="220" spans="1:67" ht="15.75" customHeight="1" thickBot="1" x14ac:dyDescent="0.4">
      <c r="A220" s="151"/>
      <c r="B220" s="151"/>
      <c r="C220" s="151"/>
      <c r="D220" s="151"/>
      <c r="E220" s="21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151"/>
      <c r="BN220" s="151"/>
      <c r="BO220" s="151"/>
    </row>
    <row r="221" spans="1:67" ht="15.75" customHeight="1" thickBot="1" x14ac:dyDescent="0.4">
      <c r="A221" s="151"/>
      <c r="B221" s="151"/>
      <c r="C221" s="151"/>
      <c r="D221" s="151"/>
      <c r="E221" s="21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151"/>
      <c r="BN221" s="151"/>
      <c r="BO221" s="151"/>
    </row>
    <row r="222" spans="1:67" ht="15.75" customHeight="1" thickBot="1" x14ac:dyDescent="0.4">
      <c r="A222" s="151"/>
      <c r="B222" s="151"/>
      <c r="C222" s="151"/>
      <c r="D222" s="151"/>
      <c r="E222" s="21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151"/>
      <c r="BN222" s="151"/>
      <c r="BO222" s="151"/>
    </row>
    <row r="223" spans="1:67" ht="15.75" customHeight="1" thickBot="1" x14ac:dyDescent="0.4">
      <c r="A223" s="151"/>
      <c r="B223" s="151"/>
      <c r="C223" s="151"/>
      <c r="D223" s="151"/>
      <c r="E223" s="21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151"/>
      <c r="BN223" s="151"/>
      <c r="BO223" s="151"/>
    </row>
    <row r="224" spans="1:67" ht="15.75" customHeight="1" thickBot="1" x14ac:dyDescent="0.4">
      <c r="A224" s="151"/>
      <c r="B224" s="151"/>
      <c r="C224" s="151"/>
      <c r="D224" s="151"/>
      <c r="E224" s="21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151"/>
      <c r="BN224" s="151"/>
      <c r="BO224" s="151"/>
    </row>
    <row r="225" spans="1:67" ht="15.75" customHeight="1" thickBot="1" x14ac:dyDescent="0.4">
      <c r="A225" s="151"/>
      <c r="B225" s="151"/>
      <c r="C225" s="151"/>
      <c r="D225" s="151"/>
      <c r="E225" s="21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151"/>
      <c r="BN225" s="151"/>
      <c r="BO225" s="151"/>
    </row>
    <row r="226" spans="1:67" ht="15.75" customHeight="1" thickBot="1" x14ac:dyDescent="0.4">
      <c r="A226" s="151"/>
      <c r="B226" s="151"/>
      <c r="C226" s="151"/>
      <c r="D226" s="151"/>
      <c r="E226" s="21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151"/>
      <c r="BN226" s="151"/>
      <c r="BO226" s="151"/>
    </row>
    <row r="227" spans="1:67" ht="15.75" customHeight="1" thickBot="1" x14ac:dyDescent="0.4">
      <c r="A227" s="151"/>
      <c r="B227" s="151"/>
      <c r="C227" s="151"/>
      <c r="D227" s="151"/>
      <c r="E227" s="21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151"/>
      <c r="BN227" s="151"/>
      <c r="BO227" s="151"/>
    </row>
    <row r="228" spans="1:67" ht="15.75" customHeight="1" thickBot="1" x14ac:dyDescent="0.4">
      <c r="A228" s="151"/>
      <c r="B228" s="151"/>
      <c r="C228" s="151"/>
      <c r="D228" s="151"/>
      <c r="E228" s="21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row>
    <row r="229" spans="1:67" ht="15.75" customHeight="1" thickBot="1" x14ac:dyDescent="0.4">
      <c r="A229" s="151"/>
      <c r="B229" s="151"/>
      <c r="C229" s="151"/>
      <c r="D229" s="151"/>
      <c r="E229" s="21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151"/>
      <c r="BN229" s="151"/>
      <c r="BO229" s="151"/>
    </row>
    <row r="230" spans="1:67" ht="15.75" customHeight="1" thickBot="1" x14ac:dyDescent="0.4">
      <c r="A230" s="151"/>
      <c r="B230" s="151"/>
      <c r="C230" s="151"/>
      <c r="D230" s="151"/>
      <c r="E230" s="21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row>
    <row r="231" spans="1:67" ht="15.75" customHeight="1" thickBot="1" x14ac:dyDescent="0.4">
      <c r="A231" s="151"/>
      <c r="B231" s="151"/>
      <c r="C231" s="151"/>
      <c r="D231" s="151"/>
      <c r="E231" s="21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row>
    <row r="232" spans="1:67" ht="15.75" customHeight="1" thickBot="1" x14ac:dyDescent="0.4">
      <c r="A232" s="151"/>
      <c r="B232" s="151"/>
      <c r="C232" s="151"/>
      <c r="D232" s="151"/>
      <c r="E232" s="21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1"/>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151"/>
      <c r="BN232" s="151"/>
      <c r="BO232" s="151"/>
    </row>
    <row r="233" spans="1:67" ht="15.75" customHeight="1" thickBot="1" x14ac:dyDescent="0.4">
      <c r="A233" s="151"/>
      <c r="B233" s="151"/>
      <c r="C233" s="151"/>
      <c r="D233" s="151"/>
      <c r="E233" s="21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151"/>
      <c r="BN233" s="151"/>
      <c r="BO233" s="151"/>
    </row>
    <row r="234" spans="1:67" ht="15.75" customHeight="1" thickBot="1" x14ac:dyDescent="0.4">
      <c r="A234" s="151"/>
      <c r="B234" s="151"/>
      <c r="C234" s="151"/>
      <c r="D234" s="151"/>
      <c r="E234" s="21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151"/>
      <c r="BN234" s="151"/>
      <c r="BO234" s="151"/>
    </row>
    <row r="235" spans="1:67" ht="15.75" customHeight="1" thickBot="1" x14ac:dyDescent="0.4">
      <c r="A235" s="151"/>
      <c r="B235" s="151"/>
      <c r="C235" s="151"/>
      <c r="D235" s="151"/>
      <c r="E235" s="21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151"/>
      <c r="BN235" s="151"/>
      <c r="BO235" s="151"/>
    </row>
    <row r="236" spans="1:67" ht="15.75" customHeight="1" thickBot="1" x14ac:dyDescent="0.4">
      <c r="A236" s="151"/>
      <c r="B236" s="151"/>
      <c r="C236" s="151"/>
      <c r="D236" s="151"/>
      <c r="E236" s="21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1"/>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c r="BI236" s="151"/>
      <c r="BJ236" s="151"/>
      <c r="BK236" s="151"/>
      <c r="BL236" s="151"/>
      <c r="BM236" s="151"/>
      <c r="BN236" s="151"/>
      <c r="BO236" s="151"/>
    </row>
    <row r="237" spans="1:67" ht="15.75" customHeight="1" thickBot="1" x14ac:dyDescent="0.4">
      <c r="A237" s="151"/>
      <c r="B237" s="151"/>
      <c r="C237" s="151"/>
      <c r="D237" s="151"/>
      <c r="E237" s="21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151"/>
      <c r="BN237" s="151"/>
      <c r="BO237" s="151"/>
    </row>
    <row r="238" spans="1:67" ht="15.75" customHeight="1" thickBot="1" x14ac:dyDescent="0.4">
      <c r="A238" s="151"/>
      <c r="B238" s="151"/>
      <c r="C238" s="151"/>
      <c r="D238" s="151"/>
      <c r="E238" s="21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c r="BM238" s="151"/>
      <c r="BN238" s="151"/>
      <c r="BO238" s="151"/>
    </row>
    <row r="239" spans="1:67" ht="15.75" customHeight="1" thickBot="1" x14ac:dyDescent="0.4">
      <c r="A239" s="151"/>
      <c r="B239" s="151"/>
      <c r="C239" s="151"/>
      <c r="D239" s="151"/>
      <c r="E239" s="21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151"/>
      <c r="BN239" s="151"/>
      <c r="BO239" s="151"/>
    </row>
    <row r="240" spans="1:67" ht="15.75" customHeight="1" thickBot="1" x14ac:dyDescent="0.4">
      <c r="A240" s="151"/>
      <c r="B240" s="151"/>
      <c r="C240" s="151"/>
      <c r="D240" s="151"/>
      <c r="E240" s="21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151"/>
      <c r="BN240" s="151"/>
      <c r="BO240" s="151"/>
    </row>
    <row r="241" spans="1:67" ht="15.75" customHeight="1" thickBot="1" x14ac:dyDescent="0.4">
      <c r="A241" s="151"/>
      <c r="B241" s="151"/>
      <c r="C241" s="151"/>
      <c r="D241" s="151"/>
      <c r="E241" s="21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151"/>
      <c r="BN241" s="151"/>
      <c r="BO241" s="151"/>
    </row>
    <row r="242" spans="1:67" ht="15.75" customHeight="1" thickBot="1" x14ac:dyDescent="0.4">
      <c r="A242" s="151"/>
      <c r="B242" s="151"/>
      <c r="C242" s="151"/>
      <c r="D242" s="151"/>
      <c r="E242" s="21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c r="BM242" s="151"/>
      <c r="BN242" s="151"/>
      <c r="BO242" s="151"/>
    </row>
    <row r="243" spans="1:67" ht="15.75" customHeight="1" thickBot="1" x14ac:dyDescent="0.4">
      <c r="A243" s="151"/>
      <c r="B243" s="151"/>
      <c r="C243" s="151"/>
      <c r="D243" s="151"/>
      <c r="E243" s="21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151"/>
      <c r="BN243" s="151"/>
      <c r="BO243" s="151"/>
    </row>
    <row r="244" spans="1:67" ht="15.75" customHeight="1" thickBot="1" x14ac:dyDescent="0.4">
      <c r="A244" s="151"/>
      <c r="B244" s="151"/>
      <c r="C244" s="151"/>
      <c r="D244" s="151"/>
      <c r="E244" s="21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151"/>
      <c r="BN244" s="151"/>
      <c r="BO244" s="151"/>
    </row>
    <row r="245" spans="1:67" ht="15.75" customHeight="1" thickBot="1" x14ac:dyDescent="0.4">
      <c r="A245" s="151"/>
      <c r="B245" s="151"/>
      <c r="C245" s="151"/>
      <c r="D245" s="151"/>
      <c r="E245" s="21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151"/>
      <c r="BN245" s="151"/>
      <c r="BO245" s="151"/>
    </row>
    <row r="246" spans="1:67" ht="15.75" customHeight="1" thickBot="1" x14ac:dyDescent="0.4">
      <c r="A246" s="151"/>
      <c r="B246" s="151"/>
      <c r="C246" s="151"/>
      <c r="D246" s="151"/>
      <c r="E246" s="21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row>
    <row r="247" spans="1:67" ht="15.75" customHeight="1" thickBot="1" x14ac:dyDescent="0.4">
      <c r="A247" s="151"/>
      <c r="B247" s="151"/>
      <c r="C247" s="151"/>
      <c r="D247" s="151"/>
      <c r="E247" s="21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151"/>
      <c r="BN247" s="151"/>
      <c r="BO247" s="151"/>
    </row>
    <row r="248" spans="1:67" ht="15.75" customHeight="1" thickBot="1" x14ac:dyDescent="0.4">
      <c r="A248" s="151"/>
      <c r="B248" s="151"/>
      <c r="C248" s="151"/>
      <c r="D248" s="151"/>
      <c r="E248" s="21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151"/>
      <c r="BN248" s="151"/>
      <c r="BO248" s="151"/>
    </row>
    <row r="249" spans="1:67" ht="15.75" customHeight="1" thickBot="1" x14ac:dyDescent="0.4">
      <c r="A249" s="151"/>
      <c r="B249" s="151"/>
      <c r="C249" s="151"/>
      <c r="D249" s="151"/>
      <c r="E249" s="21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151"/>
      <c r="BN249" s="151"/>
      <c r="BO249" s="151"/>
    </row>
    <row r="250" spans="1:67" ht="15.75" customHeight="1" thickBot="1" x14ac:dyDescent="0.4">
      <c r="A250" s="151"/>
      <c r="B250" s="151"/>
      <c r="C250" s="151"/>
      <c r="D250" s="151"/>
      <c r="E250" s="21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row>
    <row r="251" spans="1:67" ht="15.75" customHeight="1" thickBot="1" x14ac:dyDescent="0.4">
      <c r="A251" s="151"/>
      <c r="B251" s="151"/>
      <c r="C251" s="151"/>
      <c r="D251" s="151"/>
      <c r="E251" s="21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151"/>
      <c r="BN251" s="151"/>
      <c r="BO251" s="151"/>
    </row>
    <row r="252" spans="1:67" ht="15.75" customHeight="1" thickBot="1" x14ac:dyDescent="0.4">
      <c r="A252" s="151"/>
      <c r="B252" s="151"/>
      <c r="C252" s="151"/>
      <c r="D252" s="151"/>
      <c r="E252" s="21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151"/>
      <c r="BN252" s="151"/>
      <c r="BO252" s="151"/>
    </row>
    <row r="253" spans="1:67" ht="15.75" customHeight="1" thickBot="1" x14ac:dyDescent="0.4">
      <c r="A253" s="151"/>
      <c r="B253" s="151"/>
      <c r="C253" s="151"/>
      <c r="D253" s="151"/>
      <c r="E253" s="21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151"/>
      <c r="BN253" s="151"/>
      <c r="BO253" s="151"/>
    </row>
    <row r="254" spans="1:67" ht="15.75" customHeight="1" thickBot="1" x14ac:dyDescent="0.4">
      <c r="A254" s="151"/>
      <c r="B254" s="151"/>
      <c r="C254" s="151"/>
      <c r="D254" s="151"/>
      <c r="E254" s="21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151"/>
      <c r="BN254" s="151"/>
      <c r="BO254" s="151"/>
    </row>
    <row r="255" spans="1:67" ht="15.75" customHeight="1" thickBot="1" x14ac:dyDescent="0.4">
      <c r="A255" s="151"/>
      <c r="B255" s="151"/>
      <c r="C255" s="151"/>
      <c r="D255" s="151"/>
      <c r="E255" s="21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row>
    <row r="256" spans="1:67" ht="15.75" customHeight="1" thickBot="1" x14ac:dyDescent="0.4">
      <c r="A256" s="151"/>
      <c r="B256" s="151"/>
      <c r="C256" s="151"/>
      <c r="D256" s="151"/>
      <c r="E256" s="21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151"/>
      <c r="BN256" s="151"/>
      <c r="BO256" s="151"/>
    </row>
    <row r="257" spans="1:67" ht="15.75" customHeight="1" thickBot="1" x14ac:dyDescent="0.4">
      <c r="A257" s="151"/>
      <c r="B257" s="151"/>
      <c r="C257" s="151"/>
      <c r="D257" s="151"/>
      <c r="E257" s="21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151"/>
      <c r="BN257" s="151"/>
      <c r="BO257" s="151"/>
    </row>
    <row r="258" spans="1:67" ht="15.75" customHeight="1" thickBot="1" x14ac:dyDescent="0.4">
      <c r="A258" s="151"/>
      <c r="B258" s="151"/>
      <c r="C258" s="151"/>
      <c r="D258" s="151"/>
      <c r="E258" s="21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151"/>
      <c r="BN258" s="151"/>
      <c r="BO258" s="151"/>
    </row>
    <row r="259" spans="1:67" ht="15.75" customHeight="1" thickBot="1" x14ac:dyDescent="0.4">
      <c r="A259" s="151"/>
      <c r="B259" s="151"/>
      <c r="C259" s="151"/>
      <c r="D259" s="151"/>
      <c r="E259" s="21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151"/>
      <c r="BN259" s="151"/>
      <c r="BO259" s="151"/>
    </row>
    <row r="260" spans="1:67" ht="15.75" customHeight="1" thickBot="1" x14ac:dyDescent="0.4">
      <c r="A260" s="151"/>
      <c r="B260" s="151"/>
      <c r="C260" s="151"/>
      <c r="D260" s="151"/>
      <c r="E260" s="21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1"/>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151"/>
      <c r="BN260" s="151"/>
      <c r="BO260" s="151"/>
    </row>
    <row r="261" spans="1:67" ht="15.75" customHeight="1" thickBot="1" x14ac:dyDescent="0.4">
      <c r="A261" s="151"/>
      <c r="B261" s="151"/>
      <c r="C261" s="151"/>
      <c r="D261" s="151"/>
      <c r="E261" s="21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151"/>
      <c r="BN261" s="151"/>
      <c r="BO261" s="151"/>
    </row>
    <row r="262" spans="1:67" ht="15.75" customHeight="1" thickBot="1" x14ac:dyDescent="0.4">
      <c r="A262" s="151"/>
      <c r="B262" s="151"/>
      <c r="C262" s="151"/>
      <c r="D262" s="151"/>
      <c r="E262" s="21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row>
    <row r="263" spans="1:67" ht="15.75" customHeight="1" thickBot="1" x14ac:dyDescent="0.4">
      <c r="A263" s="151"/>
      <c r="B263" s="151"/>
      <c r="C263" s="151"/>
      <c r="D263" s="151"/>
      <c r="E263" s="21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151"/>
      <c r="BN263" s="151"/>
      <c r="BO263" s="151"/>
    </row>
    <row r="264" spans="1:67" ht="15.75" customHeight="1" thickBot="1" x14ac:dyDescent="0.4">
      <c r="A264" s="151"/>
      <c r="B264" s="151"/>
      <c r="C264" s="151"/>
      <c r="D264" s="151"/>
      <c r="E264" s="21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151"/>
      <c r="BN264" s="151"/>
      <c r="BO264" s="151"/>
    </row>
    <row r="265" spans="1:67" ht="15.75" customHeight="1" thickBot="1" x14ac:dyDescent="0.4">
      <c r="A265" s="151"/>
      <c r="B265" s="151"/>
      <c r="C265" s="151"/>
      <c r="D265" s="151"/>
      <c r="E265" s="21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151"/>
      <c r="BN265" s="151"/>
      <c r="BO265" s="151"/>
    </row>
    <row r="266" spans="1:67" ht="15.75" customHeight="1" thickBot="1" x14ac:dyDescent="0.4">
      <c r="A266" s="151"/>
      <c r="B266" s="151"/>
      <c r="C266" s="151"/>
      <c r="D266" s="151"/>
      <c r="E266" s="21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151"/>
      <c r="BN266" s="151"/>
      <c r="BO266" s="151"/>
    </row>
    <row r="267" spans="1:67" ht="15.75" customHeight="1" thickBot="1" x14ac:dyDescent="0.4">
      <c r="A267" s="151"/>
      <c r="B267" s="151"/>
      <c r="C267" s="151"/>
      <c r="D267" s="151"/>
      <c r="E267" s="21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151"/>
      <c r="BN267" s="151"/>
      <c r="BO267" s="151"/>
    </row>
    <row r="268" spans="1:67" ht="15.75" customHeight="1" thickBot="1" x14ac:dyDescent="0.4">
      <c r="A268" s="151"/>
      <c r="B268" s="151"/>
      <c r="C268" s="151"/>
      <c r="D268" s="151"/>
      <c r="E268" s="21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151"/>
      <c r="BN268" s="151"/>
      <c r="BO268" s="151"/>
    </row>
    <row r="269" spans="1:67" ht="15.75" customHeight="1" thickBot="1" x14ac:dyDescent="0.4">
      <c r="A269" s="151"/>
      <c r="B269" s="151"/>
      <c r="C269" s="151"/>
      <c r="D269" s="151"/>
      <c r="E269" s="21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151"/>
      <c r="BN269" s="151"/>
      <c r="BO269" s="151"/>
    </row>
    <row r="270" spans="1:67" ht="15.75" customHeight="1" thickBot="1" x14ac:dyDescent="0.4">
      <c r="A270" s="151"/>
      <c r="B270" s="151"/>
      <c r="C270" s="151"/>
      <c r="D270" s="151"/>
      <c r="E270" s="21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151"/>
      <c r="BN270" s="151"/>
      <c r="BO270" s="151"/>
    </row>
    <row r="271" spans="1:67" ht="15.75" customHeight="1" thickBot="1" x14ac:dyDescent="0.4">
      <c r="A271" s="151"/>
      <c r="B271" s="151"/>
      <c r="C271" s="151"/>
      <c r="D271" s="151"/>
      <c r="E271" s="21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1"/>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151"/>
      <c r="BN271" s="151"/>
      <c r="BO271" s="151"/>
    </row>
    <row r="272" spans="1:67" ht="15.75" customHeight="1" thickBot="1" x14ac:dyDescent="0.4">
      <c r="A272" s="151"/>
      <c r="B272" s="151"/>
      <c r="C272" s="151"/>
      <c r="D272" s="151"/>
      <c r="E272" s="21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151"/>
      <c r="BN272" s="151"/>
      <c r="BO272" s="151"/>
    </row>
    <row r="273" spans="1:67" ht="15.75" customHeight="1" thickBot="1" x14ac:dyDescent="0.4">
      <c r="A273" s="151"/>
      <c r="B273" s="151"/>
      <c r="C273" s="151"/>
      <c r="D273" s="151"/>
      <c r="E273" s="21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151"/>
      <c r="BN273" s="151"/>
      <c r="BO273" s="151"/>
    </row>
    <row r="274" spans="1:67" ht="15.75" customHeight="1" thickBot="1" x14ac:dyDescent="0.4">
      <c r="A274" s="151"/>
      <c r="B274" s="151"/>
      <c r="C274" s="151"/>
      <c r="D274" s="151"/>
      <c r="E274" s="21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151"/>
      <c r="BN274" s="151"/>
      <c r="BO274" s="151"/>
    </row>
    <row r="275" spans="1:67" ht="15.75" customHeight="1" thickBot="1" x14ac:dyDescent="0.4">
      <c r="A275" s="151"/>
      <c r="B275" s="151"/>
      <c r="C275" s="151"/>
      <c r="D275" s="151"/>
      <c r="E275" s="21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151"/>
      <c r="BN275" s="151"/>
      <c r="BO275" s="151"/>
    </row>
    <row r="276" spans="1:67" ht="15.75" customHeight="1" thickBot="1" x14ac:dyDescent="0.4">
      <c r="A276" s="151"/>
      <c r="B276" s="151"/>
      <c r="C276" s="151"/>
      <c r="D276" s="151"/>
      <c r="E276" s="21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151"/>
      <c r="BN276" s="151"/>
      <c r="BO276" s="151"/>
    </row>
    <row r="277" spans="1:67" ht="15.75" customHeight="1" thickBot="1" x14ac:dyDescent="0.4">
      <c r="A277" s="151"/>
      <c r="B277" s="151"/>
      <c r="C277" s="151"/>
      <c r="D277" s="151"/>
      <c r="E277" s="21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row>
    <row r="278" spans="1:67" ht="15.75" customHeight="1" thickBot="1" x14ac:dyDescent="0.4">
      <c r="A278" s="151"/>
      <c r="B278" s="151"/>
      <c r="C278" s="151"/>
      <c r="D278" s="151"/>
      <c r="E278" s="21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row>
    <row r="279" spans="1:67" ht="15.75" customHeight="1" thickBot="1" x14ac:dyDescent="0.4">
      <c r="A279" s="151"/>
      <c r="B279" s="151"/>
      <c r="C279" s="151"/>
      <c r="D279" s="151"/>
      <c r="E279" s="21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151"/>
      <c r="BN279" s="151"/>
      <c r="BO279" s="151"/>
    </row>
    <row r="280" spans="1:67" ht="15.75" customHeight="1" thickBot="1" x14ac:dyDescent="0.4">
      <c r="A280" s="151"/>
      <c r="B280" s="151"/>
      <c r="C280" s="151"/>
      <c r="D280" s="151"/>
      <c r="E280" s="21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row>
    <row r="281" spans="1:67" ht="15.75" customHeight="1" thickBot="1" x14ac:dyDescent="0.4">
      <c r="A281" s="151"/>
      <c r="B281" s="151"/>
      <c r="C281" s="151"/>
      <c r="D281" s="151"/>
      <c r="E281" s="21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151"/>
      <c r="BN281" s="151"/>
      <c r="BO281" s="151"/>
    </row>
    <row r="282" spans="1:67" ht="15.75" customHeight="1" thickBot="1" x14ac:dyDescent="0.4">
      <c r="A282" s="151"/>
      <c r="B282" s="151"/>
      <c r="C282" s="151"/>
      <c r="D282" s="151"/>
      <c r="E282" s="21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row>
    <row r="283" spans="1:67" ht="15.75" customHeight="1" thickBot="1" x14ac:dyDescent="0.4">
      <c r="A283" s="151"/>
      <c r="B283" s="151"/>
      <c r="C283" s="151"/>
      <c r="D283" s="151"/>
      <c r="E283" s="21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151"/>
      <c r="BN283" s="151"/>
      <c r="BO283" s="151"/>
    </row>
    <row r="284" spans="1:67" ht="15.75" customHeight="1" thickBot="1" x14ac:dyDescent="0.4">
      <c r="A284" s="151"/>
      <c r="B284" s="151"/>
      <c r="C284" s="151"/>
      <c r="D284" s="151"/>
      <c r="E284" s="21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151"/>
      <c r="BN284" s="151"/>
      <c r="BO284" s="151"/>
    </row>
    <row r="285" spans="1:67" ht="15.75" customHeight="1" thickBot="1" x14ac:dyDescent="0.4">
      <c r="A285" s="151"/>
      <c r="B285" s="151"/>
      <c r="C285" s="151"/>
      <c r="D285" s="151"/>
      <c r="E285" s="21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151"/>
      <c r="BN285" s="151"/>
      <c r="BO285" s="151"/>
    </row>
    <row r="286" spans="1:67" ht="15.75" customHeight="1" thickBot="1" x14ac:dyDescent="0.4">
      <c r="A286" s="151"/>
      <c r="B286" s="151"/>
      <c r="C286" s="151"/>
      <c r="D286" s="151"/>
      <c r="E286" s="21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row>
    <row r="287" spans="1:67" ht="15.75" customHeight="1" thickBot="1" x14ac:dyDescent="0.4">
      <c r="A287" s="151"/>
      <c r="B287" s="151"/>
      <c r="C287" s="151"/>
      <c r="D287" s="151"/>
      <c r="E287" s="21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row>
    <row r="288" spans="1:67" ht="15.75" customHeight="1" thickBot="1" x14ac:dyDescent="0.4">
      <c r="A288" s="151"/>
      <c r="B288" s="151"/>
      <c r="C288" s="151"/>
      <c r="D288" s="151"/>
      <c r="E288" s="21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row>
    <row r="289" spans="1:67" ht="15.75" customHeight="1" thickBot="1" x14ac:dyDescent="0.4">
      <c r="A289" s="151"/>
      <c r="B289" s="151"/>
      <c r="C289" s="151"/>
      <c r="D289" s="151"/>
      <c r="E289" s="21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row>
    <row r="290" spans="1:67" ht="15.75" customHeight="1" thickBot="1" x14ac:dyDescent="0.4">
      <c r="A290" s="151"/>
      <c r="B290" s="151"/>
      <c r="C290" s="151"/>
      <c r="D290" s="151"/>
      <c r="E290" s="21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row>
    <row r="291" spans="1:67" ht="15.75" customHeight="1" thickBot="1" x14ac:dyDescent="0.4">
      <c r="A291" s="151"/>
      <c r="B291" s="151"/>
      <c r="C291" s="151"/>
      <c r="D291" s="151"/>
      <c r="E291" s="21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row>
    <row r="292" spans="1:67" ht="15.75" customHeight="1" thickBot="1" x14ac:dyDescent="0.4">
      <c r="A292" s="151"/>
      <c r="B292" s="151"/>
      <c r="C292" s="151"/>
      <c r="D292" s="151"/>
      <c r="E292" s="21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row>
    <row r="293" spans="1:67" ht="15.75" customHeight="1" thickBot="1" x14ac:dyDescent="0.4">
      <c r="A293" s="151"/>
      <c r="B293" s="151"/>
      <c r="C293" s="151"/>
      <c r="D293" s="151"/>
      <c r="E293" s="21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row>
    <row r="294" spans="1:67" ht="15.75" customHeight="1" thickBot="1" x14ac:dyDescent="0.4">
      <c r="A294" s="151"/>
      <c r="B294" s="151"/>
      <c r="C294" s="151"/>
      <c r="D294" s="151"/>
      <c r="E294" s="21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row>
    <row r="295" spans="1:67" ht="15.75" customHeight="1" thickBot="1" x14ac:dyDescent="0.4">
      <c r="A295" s="151"/>
      <c r="B295" s="151"/>
      <c r="C295" s="151"/>
      <c r="D295" s="151"/>
      <c r="E295" s="21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row>
    <row r="296" spans="1:67" ht="15.75" customHeight="1" thickBot="1" x14ac:dyDescent="0.4">
      <c r="A296" s="151"/>
      <c r="B296" s="151"/>
      <c r="C296" s="151"/>
      <c r="D296" s="151"/>
      <c r="E296" s="21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151"/>
      <c r="BN296" s="151"/>
      <c r="BO296" s="151"/>
    </row>
    <row r="297" spans="1:67" ht="15.75" customHeight="1" thickBot="1" x14ac:dyDescent="0.4">
      <c r="A297" s="151"/>
      <c r="B297" s="151"/>
      <c r="C297" s="151"/>
      <c r="D297" s="151"/>
      <c r="E297" s="21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row>
    <row r="298" spans="1:67" ht="15.75" customHeight="1" thickBot="1" x14ac:dyDescent="0.4">
      <c r="A298" s="151"/>
      <c r="B298" s="151"/>
      <c r="C298" s="151"/>
      <c r="D298" s="151"/>
      <c r="E298" s="21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151"/>
      <c r="BN298" s="151"/>
      <c r="BO298" s="151"/>
    </row>
    <row r="299" spans="1:67" ht="15.75" customHeight="1" thickBot="1" x14ac:dyDescent="0.4">
      <c r="A299" s="151"/>
      <c r="B299" s="151"/>
      <c r="C299" s="151"/>
      <c r="D299" s="151"/>
      <c r="E299" s="21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row>
    <row r="300" spans="1:67" ht="15.75" customHeight="1" thickBot="1" x14ac:dyDescent="0.4">
      <c r="A300" s="151"/>
      <c r="B300" s="151"/>
      <c r="C300" s="151"/>
      <c r="D300" s="151"/>
      <c r="E300" s="21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row>
    <row r="301" spans="1:67" ht="15.75" customHeight="1" thickBot="1" x14ac:dyDescent="0.4">
      <c r="A301" s="151"/>
      <c r="B301" s="151"/>
      <c r="C301" s="151"/>
      <c r="D301" s="151"/>
      <c r="E301" s="21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151"/>
      <c r="BN301" s="151"/>
      <c r="BO301" s="151"/>
    </row>
    <row r="302" spans="1:67" ht="15.75" customHeight="1" thickBot="1" x14ac:dyDescent="0.4">
      <c r="A302" s="151"/>
      <c r="B302" s="151"/>
      <c r="C302" s="151"/>
      <c r="D302" s="151"/>
      <c r="E302" s="21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1"/>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151"/>
      <c r="BN302" s="151"/>
      <c r="BO302" s="151"/>
    </row>
    <row r="303" spans="1:67" ht="15.75" customHeight="1" thickBot="1" x14ac:dyDescent="0.4">
      <c r="A303" s="151"/>
      <c r="B303" s="151"/>
      <c r="C303" s="151"/>
      <c r="D303" s="151"/>
      <c r="E303" s="21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151"/>
      <c r="BN303" s="151"/>
      <c r="BO303" s="151"/>
    </row>
    <row r="304" spans="1:67" ht="15.75" customHeight="1" thickBot="1" x14ac:dyDescent="0.4">
      <c r="A304" s="151"/>
      <c r="B304" s="151"/>
      <c r="C304" s="151"/>
      <c r="D304" s="151"/>
      <c r="E304" s="21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row>
    <row r="305" spans="1:67" ht="15.75" customHeight="1" thickBot="1" x14ac:dyDescent="0.4">
      <c r="A305" s="151"/>
      <c r="B305" s="151"/>
      <c r="C305" s="151"/>
      <c r="D305" s="151"/>
      <c r="E305" s="21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151"/>
      <c r="BN305" s="151"/>
      <c r="BO305" s="151"/>
    </row>
    <row r="306" spans="1:67" ht="15.75" customHeight="1" thickBot="1" x14ac:dyDescent="0.4">
      <c r="A306" s="151"/>
      <c r="B306" s="151"/>
      <c r="C306" s="151"/>
      <c r="D306" s="151"/>
      <c r="E306" s="21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151"/>
      <c r="BN306" s="151"/>
      <c r="BO306" s="151"/>
    </row>
    <row r="307" spans="1:67" ht="15.75" customHeight="1" thickBot="1" x14ac:dyDescent="0.4">
      <c r="A307" s="151"/>
      <c r="B307" s="151"/>
      <c r="C307" s="151"/>
      <c r="D307" s="151"/>
      <c r="E307" s="21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151"/>
      <c r="BN307" s="151"/>
      <c r="BO307" s="151"/>
    </row>
    <row r="308" spans="1:67" ht="15.75" customHeight="1" thickBot="1" x14ac:dyDescent="0.4">
      <c r="A308" s="151"/>
      <c r="B308" s="151"/>
      <c r="C308" s="151"/>
      <c r="D308" s="151"/>
      <c r="E308" s="21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151"/>
      <c r="BN308" s="151"/>
      <c r="BO308" s="151"/>
    </row>
    <row r="309" spans="1:67" ht="15.75" customHeight="1" thickBot="1" x14ac:dyDescent="0.4">
      <c r="A309" s="151"/>
      <c r="B309" s="151"/>
      <c r="C309" s="151"/>
      <c r="D309" s="151"/>
      <c r="E309" s="21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151"/>
      <c r="BN309" s="151"/>
      <c r="BO309" s="151"/>
    </row>
    <row r="310" spans="1:67" ht="15.75" customHeight="1" thickBot="1" x14ac:dyDescent="0.4">
      <c r="A310" s="151"/>
      <c r="B310" s="151"/>
      <c r="C310" s="151"/>
      <c r="D310" s="151"/>
      <c r="E310" s="21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151"/>
      <c r="BN310" s="151"/>
      <c r="BO310" s="151"/>
    </row>
    <row r="311" spans="1:67" ht="15.75" customHeight="1" thickBot="1" x14ac:dyDescent="0.4">
      <c r="A311" s="151"/>
      <c r="B311" s="151"/>
      <c r="C311" s="151"/>
      <c r="D311" s="151"/>
      <c r="E311" s="21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row>
    <row r="312" spans="1:67" ht="15.75" customHeight="1" thickBot="1" x14ac:dyDescent="0.4">
      <c r="A312" s="151"/>
      <c r="B312" s="151"/>
      <c r="C312" s="151"/>
      <c r="D312" s="151"/>
      <c r="E312" s="21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151"/>
      <c r="BN312" s="151"/>
      <c r="BO312" s="151"/>
    </row>
    <row r="313" spans="1:67" ht="15.75" customHeight="1" thickBot="1" x14ac:dyDescent="0.4">
      <c r="A313" s="151"/>
      <c r="B313" s="151"/>
      <c r="C313" s="151"/>
      <c r="D313" s="151"/>
      <c r="E313" s="21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151"/>
      <c r="BN313" s="151"/>
      <c r="BO313" s="151"/>
    </row>
    <row r="314" spans="1:67" ht="15.75" customHeight="1" thickBot="1" x14ac:dyDescent="0.4">
      <c r="A314" s="151"/>
      <c r="B314" s="151"/>
      <c r="C314" s="151"/>
      <c r="D314" s="151"/>
      <c r="E314" s="21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row>
    <row r="315" spans="1:67" ht="15.75" customHeight="1" thickBot="1" x14ac:dyDescent="0.4">
      <c r="A315" s="151"/>
      <c r="B315" s="151"/>
      <c r="C315" s="151"/>
      <c r="D315" s="151"/>
      <c r="E315" s="21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151"/>
      <c r="BN315" s="151"/>
      <c r="BO315" s="151"/>
    </row>
    <row r="316" spans="1:67" ht="15.75" customHeight="1" thickBot="1" x14ac:dyDescent="0.4">
      <c r="A316" s="151"/>
      <c r="B316" s="151"/>
      <c r="C316" s="151"/>
      <c r="D316" s="151"/>
      <c r="E316" s="21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row>
    <row r="317" spans="1:67" ht="15.75" customHeight="1" thickBot="1" x14ac:dyDescent="0.4">
      <c r="A317" s="151"/>
      <c r="B317" s="151"/>
      <c r="C317" s="151"/>
      <c r="D317" s="151"/>
      <c r="E317" s="21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151"/>
      <c r="BN317" s="151"/>
      <c r="BO317" s="151"/>
    </row>
    <row r="318" spans="1:67" ht="15.75" customHeight="1" thickBot="1" x14ac:dyDescent="0.4">
      <c r="A318" s="151"/>
      <c r="B318" s="151"/>
      <c r="C318" s="151"/>
      <c r="D318" s="151"/>
      <c r="E318" s="21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1"/>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row>
    <row r="319" spans="1:67" ht="15.75" customHeight="1" thickBot="1" x14ac:dyDescent="0.4">
      <c r="A319" s="151"/>
      <c r="B319" s="151"/>
      <c r="C319" s="151"/>
      <c r="D319" s="151"/>
      <c r="E319" s="21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151"/>
      <c r="BN319" s="151"/>
      <c r="BO319" s="151"/>
    </row>
    <row r="320" spans="1:67" ht="15.75" customHeight="1" thickBot="1" x14ac:dyDescent="0.4">
      <c r="A320" s="151"/>
      <c r="B320" s="151"/>
      <c r="C320" s="151"/>
      <c r="D320" s="151"/>
      <c r="E320" s="21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151"/>
      <c r="BN320" s="151"/>
      <c r="BO320" s="151"/>
    </row>
    <row r="321" spans="1:67" ht="15.75" customHeight="1" thickBot="1" x14ac:dyDescent="0.4">
      <c r="A321" s="151"/>
      <c r="B321" s="151"/>
      <c r="C321" s="151"/>
      <c r="D321" s="151"/>
      <c r="E321" s="21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1"/>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151"/>
      <c r="BN321" s="151"/>
      <c r="BO321" s="151"/>
    </row>
    <row r="322" spans="1:67" ht="15.75" customHeight="1" thickBot="1" x14ac:dyDescent="0.4">
      <c r="A322" s="151"/>
      <c r="B322" s="151"/>
      <c r="C322" s="151"/>
      <c r="D322" s="151"/>
      <c r="E322" s="21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row>
    <row r="323" spans="1:67" ht="15.75" customHeight="1" thickBot="1" x14ac:dyDescent="0.4">
      <c r="A323" s="151"/>
      <c r="B323" s="151"/>
      <c r="C323" s="151"/>
      <c r="D323" s="151"/>
      <c r="E323" s="21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row>
    <row r="324" spans="1:67" ht="15.75" customHeight="1" thickBot="1" x14ac:dyDescent="0.4">
      <c r="A324" s="151"/>
      <c r="B324" s="151"/>
      <c r="C324" s="151"/>
      <c r="D324" s="151"/>
      <c r="E324" s="21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151"/>
      <c r="BN324" s="151"/>
      <c r="BO324" s="151"/>
    </row>
    <row r="325" spans="1:67" ht="15.75" customHeight="1" thickBot="1" x14ac:dyDescent="0.4">
      <c r="A325" s="151"/>
      <c r="B325" s="151"/>
      <c r="C325" s="151"/>
      <c r="D325" s="151"/>
      <c r="E325" s="21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1"/>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151"/>
      <c r="BN325" s="151"/>
      <c r="BO325" s="151"/>
    </row>
    <row r="326" spans="1:67" ht="15.75" customHeight="1" thickBot="1" x14ac:dyDescent="0.4">
      <c r="A326" s="151"/>
      <c r="B326" s="151"/>
      <c r="C326" s="151"/>
      <c r="D326" s="151"/>
      <c r="E326" s="21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151"/>
      <c r="BN326" s="151"/>
      <c r="BO326" s="151"/>
    </row>
    <row r="327" spans="1:67" ht="15.75" customHeight="1" thickBot="1" x14ac:dyDescent="0.4">
      <c r="A327" s="151"/>
      <c r="B327" s="151"/>
      <c r="C327" s="151"/>
      <c r="D327" s="151"/>
      <c r="E327" s="21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151"/>
      <c r="BN327" s="151"/>
      <c r="BO327" s="151"/>
    </row>
    <row r="328" spans="1:67" ht="15.75" customHeight="1" thickBot="1" x14ac:dyDescent="0.4">
      <c r="A328" s="151"/>
      <c r="B328" s="151"/>
      <c r="C328" s="151"/>
      <c r="D328" s="151"/>
      <c r="E328" s="21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151"/>
      <c r="BN328" s="151"/>
      <c r="BO328" s="151"/>
    </row>
    <row r="329" spans="1:67" ht="15.75" customHeight="1" thickBot="1" x14ac:dyDescent="0.4">
      <c r="A329" s="151"/>
      <c r="B329" s="151"/>
      <c r="C329" s="151"/>
      <c r="D329" s="151"/>
      <c r="E329" s="21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151"/>
      <c r="BN329" s="151"/>
      <c r="BO329" s="151"/>
    </row>
    <row r="330" spans="1:67" ht="15.75" customHeight="1" thickBot="1" x14ac:dyDescent="0.4">
      <c r="A330" s="151"/>
      <c r="B330" s="151"/>
      <c r="C330" s="151"/>
      <c r="D330" s="151"/>
      <c r="E330" s="21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row>
    <row r="331" spans="1:67" ht="15.75" customHeight="1" thickBot="1" x14ac:dyDescent="0.4">
      <c r="A331" s="151"/>
      <c r="B331" s="151"/>
      <c r="C331" s="151"/>
      <c r="D331" s="151"/>
      <c r="E331" s="21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151"/>
      <c r="BN331" s="151"/>
      <c r="BO331" s="151"/>
    </row>
    <row r="332" spans="1:67" ht="15.75" customHeight="1" thickBot="1" x14ac:dyDescent="0.4">
      <c r="A332" s="151"/>
      <c r="B332" s="151"/>
      <c r="C332" s="151"/>
      <c r="D332" s="151"/>
      <c r="E332" s="21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151"/>
      <c r="BN332" s="151"/>
      <c r="BO332" s="151"/>
    </row>
    <row r="333" spans="1:67" ht="15.75" customHeight="1" thickBot="1" x14ac:dyDescent="0.4">
      <c r="AU333" s="151"/>
      <c r="AV333" s="151"/>
      <c r="AW333" s="151"/>
      <c r="AX333" s="151"/>
      <c r="AY333" s="151"/>
      <c r="AZ333" s="151"/>
      <c r="BA333" s="151"/>
      <c r="BB333" s="151"/>
      <c r="BC333" s="151"/>
      <c r="BD333" s="151"/>
      <c r="BE333" s="151"/>
      <c r="BF333" s="151"/>
      <c r="BG333" s="151"/>
      <c r="BH333" s="151"/>
      <c r="BI333" s="151"/>
      <c r="BJ333" s="151"/>
      <c r="BK333" s="151"/>
      <c r="BL333" s="151"/>
      <c r="BM333" s="151"/>
      <c r="BN333" s="151"/>
      <c r="BO333" s="151"/>
    </row>
    <row r="334" spans="1:67" ht="15.75" customHeight="1" thickBot="1" x14ac:dyDescent="0.4">
      <c r="AU334" s="151"/>
      <c r="AV334" s="151"/>
      <c r="AW334" s="151"/>
      <c r="AX334" s="151"/>
      <c r="AY334" s="151"/>
      <c r="AZ334" s="151"/>
      <c r="BA334" s="151"/>
      <c r="BB334" s="151"/>
      <c r="BC334" s="151"/>
      <c r="BD334" s="151"/>
      <c r="BE334" s="151"/>
      <c r="BF334" s="151"/>
      <c r="BG334" s="151"/>
      <c r="BH334" s="151"/>
      <c r="BI334" s="151"/>
      <c r="BJ334" s="151"/>
      <c r="BK334" s="151"/>
      <c r="BL334" s="151"/>
      <c r="BM334" s="151"/>
      <c r="BN334" s="151"/>
      <c r="BO334" s="151"/>
    </row>
    <row r="335" spans="1:67" ht="15.75" customHeight="1" thickBot="1" x14ac:dyDescent="0.4">
      <c r="AU335" s="151"/>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row>
    <row r="336" spans="1:67" ht="15.75" customHeight="1" thickBot="1" x14ac:dyDescent="0.4">
      <c r="AU336" s="151"/>
      <c r="AV336" s="151"/>
      <c r="AW336" s="151"/>
      <c r="AX336" s="151"/>
      <c r="AY336" s="151"/>
      <c r="AZ336" s="151"/>
      <c r="BA336" s="151"/>
      <c r="BB336" s="151"/>
      <c r="BC336" s="151"/>
      <c r="BD336" s="151"/>
      <c r="BE336" s="151"/>
      <c r="BF336" s="151"/>
      <c r="BG336" s="151"/>
      <c r="BH336" s="151"/>
      <c r="BI336" s="151"/>
      <c r="BJ336" s="151"/>
      <c r="BK336" s="151"/>
      <c r="BL336" s="151"/>
      <c r="BM336" s="151"/>
      <c r="BN336" s="151"/>
      <c r="BO336" s="151"/>
    </row>
    <row r="337" spans="47:67" ht="15.75" customHeight="1" thickBot="1" x14ac:dyDescent="0.4">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row>
    <row r="338" spans="47:67" ht="15.75" customHeight="1" thickBot="1" x14ac:dyDescent="0.4">
      <c r="AU338" s="151"/>
      <c r="AV338" s="151"/>
      <c r="AW338" s="151"/>
      <c r="AX338" s="151"/>
      <c r="AY338" s="151"/>
      <c r="AZ338" s="151"/>
      <c r="BA338" s="151"/>
      <c r="BB338" s="151"/>
      <c r="BC338" s="151"/>
      <c r="BD338" s="151"/>
      <c r="BE338" s="151"/>
      <c r="BF338" s="151"/>
      <c r="BG338" s="151"/>
      <c r="BH338" s="151"/>
      <c r="BI338" s="151"/>
      <c r="BJ338" s="151"/>
      <c r="BK338" s="151"/>
      <c r="BL338" s="151"/>
      <c r="BM338" s="151"/>
      <c r="BN338" s="151"/>
      <c r="BO338" s="151"/>
    </row>
    <row r="339" spans="47:67" ht="15.75" customHeight="1" thickBot="1" x14ac:dyDescent="0.4">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row>
    <row r="340" spans="47:67" ht="15.75" customHeight="1" thickBot="1" x14ac:dyDescent="0.4">
      <c r="AU340" s="151"/>
      <c r="AV340" s="151"/>
      <c r="AW340" s="151"/>
      <c r="AX340" s="151"/>
      <c r="AY340" s="151"/>
      <c r="AZ340" s="151"/>
      <c r="BA340" s="151"/>
      <c r="BB340" s="151"/>
      <c r="BC340" s="151"/>
      <c r="BD340" s="151"/>
      <c r="BE340" s="151"/>
      <c r="BF340" s="151"/>
      <c r="BG340" s="151"/>
      <c r="BH340" s="151"/>
      <c r="BI340" s="151"/>
      <c r="BJ340" s="151"/>
      <c r="BK340" s="151"/>
      <c r="BL340" s="151"/>
      <c r="BM340" s="151"/>
      <c r="BN340" s="151"/>
      <c r="BO340" s="151"/>
    </row>
    <row r="341" spans="47:67" ht="15.75" customHeight="1" thickBot="1" x14ac:dyDescent="0.4">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row>
    <row r="342" spans="47:67" ht="15.75" customHeight="1" thickBot="1" x14ac:dyDescent="0.4">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row>
    <row r="343" spans="47:67" ht="15.75" customHeight="1" thickBot="1" x14ac:dyDescent="0.4">
      <c r="AU343" s="151"/>
      <c r="AV343" s="151"/>
      <c r="AW343" s="151"/>
      <c r="AX343" s="151"/>
      <c r="AY343" s="151"/>
      <c r="AZ343" s="151"/>
      <c r="BA343" s="151"/>
      <c r="BB343" s="151"/>
      <c r="BC343" s="151"/>
      <c r="BD343" s="151"/>
      <c r="BE343" s="151"/>
      <c r="BF343" s="151"/>
      <c r="BG343" s="151"/>
      <c r="BH343" s="151"/>
      <c r="BI343" s="151"/>
      <c r="BJ343" s="151"/>
      <c r="BK343" s="151"/>
      <c r="BL343" s="151"/>
      <c r="BM343" s="151"/>
      <c r="BN343" s="151"/>
      <c r="BO343" s="151"/>
    </row>
    <row r="344" spans="47:67" ht="15.75" customHeight="1" thickBot="1" x14ac:dyDescent="0.4">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row>
    <row r="345" spans="47:67" ht="15.75" customHeight="1" thickBot="1" x14ac:dyDescent="0.4">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row>
    <row r="346" spans="47:67" ht="15.75" customHeight="1" thickBot="1" x14ac:dyDescent="0.4">
      <c r="AU346" s="151"/>
      <c r="AV346" s="151"/>
      <c r="AW346" s="151"/>
      <c r="AX346" s="151"/>
      <c r="AY346" s="151"/>
      <c r="AZ346" s="151"/>
      <c r="BA346" s="151"/>
      <c r="BB346" s="151"/>
      <c r="BC346" s="151"/>
      <c r="BD346" s="151"/>
      <c r="BE346" s="151"/>
      <c r="BF346" s="151"/>
      <c r="BG346" s="151"/>
      <c r="BH346" s="151"/>
      <c r="BI346" s="151"/>
      <c r="BJ346" s="151"/>
      <c r="BK346" s="151"/>
      <c r="BL346" s="151"/>
      <c r="BM346" s="151"/>
      <c r="BN346" s="151"/>
      <c r="BO346" s="151"/>
    </row>
    <row r="347" spans="47:67" ht="15.75" customHeight="1" thickBot="1" x14ac:dyDescent="0.4">
      <c r="AU347" s="151"/>
      <c r="AV347" s="151"/>
      <c r="AW347" s="151"/>
      <c r="AX347" s="151"/>
      <c r="AY347" s="151"/>
      <c r="AZ347" s="151"/>
      <c r="BA347" s="151"/>
      <c r="BB347" s="151"/>
      <c r="BC347" s="151"/>
      <c r="BD347" s="151"/>
      <c r="BE347" s="151"/>
      <c r="BF347" s="151"/>
      <c r="BG347" s="151"/>
      <c r="BH347" s="151"/>
      <c r="BI347" s="151"/>
      <c r="BJ347" s="151"/>
      <c r="BK347" s="151"/>
      <c r="BL347" s="151"/>
      <c r="BM347" s="151"/>
      <c r="BN347" s="151"/>
      <c r="BO347" s="151"/>
    </row>
    <row r="348" spans="47:67" ht="15.75" customHeight="1" thickBot="1" x14ac:dyDescent="0.4">
      <c r="AU348" s="151"/>
      <c r="AV348" s="151"/>
      <c r="AW348" s="151"/>
      <c r="AX348" s="151"/>
      <c r="AY348" s="151"/>
      <c r="AZ348" s="151"/>
      <c r="BA348" s="151"/>
      <c r="BB348" s="151"/>
      <c r="BC348" s="151"/>
      <c r="BD348" s="151"/>
      <c r="BE348" s="151"/>
      <c r="BF348" s="151"/>
      <c r="BG348" s="151"/>
      <c r="BH348" s="151"/>
      <c r="BI348" s="151"/>
      <c r="BJ348" s="151"/>
      <c r="BK348" s="151"/>
      <c r="BL348" s="151"/>
      <c r="BM348" s="151"/>
      <c r="BN348" s="151"/>
      <c r="BO348" s="151"/>
    </row>
    <row r="349" spans="47:67" ht="15.75" customHeight="1" thickBot="1" x14ac:dyDescent="0.4">
      <c r="AU349" s="151"/>
      <c r="AV349" s="151"/>
      <c r="AW349" s="151"/>
      <c r="AX349" s="151"/>
      <c r="AY349" s="151"/>
      <c r="AZ349" s="151"/>
      <c r="BA349" s="151"/>
      <c r="BB349" s="151"/>
      <c r="BC349" s="151"/>
      <c r="BD349" s="151"/>
      <c r="BE349" s="151"/>
      <c r="BF349" s="151"/>
      <c r="BG349" s="151"/>
      <c r="BH349" s="151"/>
      <c r="BI349" s="151"/>
      <c r="BJ349" s="151"/>
      <c r="BK349" s="151"/>
      <c r="BL349" s="151"/>
      <c r="BM349" s="151"/>
      <c r="BN349" s="151"/>
      <c r="BO349" s="151"/>
    </row>
    <row r="350" spans="47:67" ht="15.75" customHeight="1" thickBot="1" x14ac:dyDescent="0.4">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row>
    <row r="351" spans="47:67" ht="15.75" customHeight="1" thickBot="1" x14ac:dyDescent="0.4">
      <c r="AU351" s="151"/>
      <c r="AV351" s="151"/>
      <c r="AW351" s="151"/>
      <c r="AX351" s="151"/>
      <c r="AY351" s="151"/>
      <c r="AZ351" s="151"/>
      <c r="BA351" s="151"/>
      <c r="BB351" s="151"/>
      <c r="BC351" s="151"/>
      <c r="BD351" s="151"/>
      <c r="BE351" s="151"/>
      <c r="BF351" s="151"/>
      <c r="BG351" s="151"/>
      <c r="BH351" s="151"/>
      <c r="BI351" s="151"/>
      <c r="BJ351" s="151"/>
      <c r="BK351" s="151"/>
      <c r="BL351" s="151"/>
      <c r="BM351" s="151"/>
      <c r="BN351" s="151"/>
      <c r="BO351" s="151"/>
    </row>
    <row r="352" spans="47:67" ht="15.75" customHeight="1" thickBot="1" x14ac:dyDescent="0.4">
      <c r="AU352" s="151"/>
      <c r="AV352" s="151"/>
      <c r="AW352" s="151"/>
      <c r="AX352" s="151"/>
      <c r="AY352" s="151"/>
      <c r="AZ352" s="151"/>
      <c r="BA352" s="151"/>
      <c r="BB352" s="151"/>
      <c r="BC352" s="151"/>
      <c r="BD352" s="151"/>
      <c r="BE352" s="151"/>
      <c r="BF352" s="151"/>
      <c r="BG352" s="151"/>
      <c r="BH352" s="151"/>
      <c r="BI352" s="151"/>
      <c r="BJ352" s="151"/>
      <c r="BK352" s="151"/>
      <c r="BL352" s="151"/>
      <c r="BM352" s="151"/>
      <c r="BN352" s="151"/>
      <c r="BO352" s="151"/>
    </row>
    <row r="353" spans="47:67" ht="15.75" customHeight="1" thickBot="1" x14ac:dyDescent="0.4">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c r="BO353" s="151"/>
    </row>
    <row r="354" spans="47:67" ht="15.75" customHeight="1" thickBot="1" x14ac:dyDescent="0.4">
      <c r="AU354" s="151"/>
      <c r="AV354" s="151"/>
      <c r="AW354" s="151"/>
      <c r="AX354" s="151"/>
      <c r="AY354" s="151"/>
      <c r="AZ354" s="151"/>
      <c r="BA354" s="151"/>
      <c r="BB354" s="151"/>
      <c r="BC354" s="151"/>
      <c r="BD354" s="151"/>
      <c r="BE354" s="151"/>
      <c r="BF354" s="151"/>
      <c r="BG354" s="151"/>
      <c r="BH354" s="151"/>
      <c r="BI354" s="151"/>
      <c r="BJ354" s="151"/>
      <c r="BK354" s="151"/>
      <c r="BL354" s="151"/>
      <c r="BM354" s="151"/>
      <c r="BN354" s="151"/>
      <c r="BO354" s="151"/>
    </row>
    <row r="355" spans="47:67" ht="15.75" customHeight="1" thickBot="1" x14ac:dyDescent="0.4">
      <c r="AU355" s="151"/>
      <c r="AV355" s="151"/>
      <c r="AW355" s="151"/>
      <c r="AX355" s="151"/>
      <c r="AY355" s="151"/>
      <c r="AZ355" s="151"/>
      <c r="BA355" s="151"/>
      <c r="BB355" s="151"/>
      <c r="BC355" s="151"/>
      <c r="BD355" s="151"/>
      <c r="BE355" s="151"/>
      <c r="BF355" s="151"/>
      <c r="BG355" s="151"/>
      <c r="BH355" s="151"/>
      <c r="BI355" s="151"/>
      <c r="BJ355" s="151"/>
      <c r="BK355" s="151"/>
      <c r="BL355" s="151"/>
      <c r="BM355" s="151"/>
      <c r="BN355" s="151"/>
      <c r="BO355" s="151"/>
    </row>
    <row r="356" spans="47:67" ht="15.75" customHeight="1" thickBot="1" x14ac:dyDescent="0.4">
      <c r="AU356" s="151"/>
      <c r="AV356" s="151"/>
      <c r="AW356" s="151"/>
      <c r="AX356" s="151"/>
      <c r="AY356" s="151"/>
      <c r="AZ356" s="151"/>
      <c r="BA356" s="151"/>
      <c r="BB356" s="151"/>
      <c r="BC356" s="151"/>
      <c r="BD356" s="151"/>
      <c r="BE356" s="151"/>
      <c r="BF356" s="151"/>
      <c r="BG356" s="151"/>
      <c r="BH356" s="151"/>
      <c r="BI356" s="151"/>
      <c r="BJ356" s="151"/>
      <c r="BK356" s="151"/>
      <c r="BL356" s="151"/>
      <c r="BM356" s="151"/>
      <c r="BN356" s="151"/>
      <c r="BO356" s="151"/>
    </row>
    <row r="357" spans="47:67" ht="15.75" customHeight="1" thickBot="1" x14ac:dyDescent="0.4">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c r="BO357" s="151"/>
    </row>
    <row r="358" spans="47:67" ht="15.75" customHeight="1" thickBot="1" x14ac:dyDescent="0.4">
      <c r="AU358" s="151"/>
      <c r="AV358" s="151"/>
      <c r="AW358" s="151"/>
      <c r="AX358" s="151"/>
      <c r="AY358" s="151"/>
      <c r="AZ358" s="151"/>
      <c r="BA358" s="151"/>
      <c r="BB358" s="151"/>
      <c r="BC358" s="151"/>
      <c r="BD358" s="151"/>
      <c r="BE358" s="151"/>
      <c r="BF358" s="151"/>
      <c r="BG358" s="151"/>
      <c r="BH358" s="151"/>
      <c r="BI358" s="151"/>
      <c r="BJ358" s="151"/>
      <c r="BK358" s="151"/>
      <c r="BL358" s="151"/>
      <c r="BM358" s="151"/>
      <c r="BN358" s="151"/>
      <c r="BO358" s="151"/>
    </row>
    <row r="359" spans="47:67" ht="15.75" customHeight="1" thickBot="1" x14ac:dyDescent="0.4">
      <c r="AU359" s="151"/>
      <c r="AV359" s="151"/>
      <c r="AW359" s="151"/>
      <c r="AX359" s="151"/>
      <c r="AY359" s="151"/>
      <c r="AZ359" s="151"/>
      <c r="BA359" s="151"/>
      <c r="BB359" s="151"/>
      <c r="BC359" s="151"/>
      <c r="BD359" s="151"/>
      <c r="BE359" s="151"/>
      <c r="BF359" s="151"/>
      <c r="BG359" s="151"/>
      <c r="BH359" s="151"/>
      <c r="BI359" s="151"/>
      <c r="BJ359" s="151"/>
      <c r="BK359" s="151"/>
      <c r="BL359" s="151"/>
      <c r="BM359" s="151"/>
      <c r="BN359" s="151"/>
      <c r="BO359" s="151"/>
    </row>
    <row r="360" spans="47:67" ht="15.75" customHeight="1" thickBot="1" x14ac:dyDescent="0.4">
      <c r="AU360" s="151"/>
      <c r="AV360" s="151"/>
      <c r="AW360" s="151"/>
      <c r="AX360" s="151"/>
      <c r="AY360" s="151"/>
      <c r="AZ360" s="151"/>
      <c r="BA360" s="151"/>
      <c r="BB360" s="151"/>
      <c r="BC360" s="151"/>
      <c r="BD360" s="151"/>
      <c r="BE360" s="151"/>
      <c r="BF360" s="151"/>
      <c r="BG360" s="151"/>
      <c r="BH360" s="151"/>
      <c r="BI360" s="151"/>
      <c r="BJ360" s="151"/>
      <c r="BK360" s="151"/>
      <c r="BL360" s="151"/>
      <c r="BM360" s="151"/>
      <c r="BN360" s="151"/>
      <c r="BO360" s="151"/>
    </row>
    <row r="361" spans="47:67" ht="15.75" customHeight="1" thickBot="1" x14ac:dyDescent="0.4">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row>
    <row r="362" spans="47:67" ht="15.75" customHeight="1" thickBot="1" x14ac:dyDescent="0.4">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row>
    <row r="363" spans="47:67" ht="15.75" customHeight="1" thickBot="1" x14ac:dyDescent="0.4">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row>
    <row r="364" spans="47:67" ht="15.75" customHeight="1" thickBot="1" x14ac:dyDescent="0.4">
      <c r="AU364" s="151"/>
      <c r="AV364" s="151"/>
      <c r="AW364" s="151"/>
      <c r="AX364" s="151"/>
      <c r="AY364" s="151"/>
      <c r="AZ364" s="151"/>
      <c r="BA364" s="151"/>
      <c r="BB364" s="151"/>
      <c r="BC364" s="151"/>
      <c r="BD364" s="151"/>
      <c r="BE364" s="151"/>
      <c r="BF364" s="151"/>
      <c r="BG364" s="151"/>
      <c r="BH364" s="151"/>
      <c r="BI364" s="151"/>
      <c r="BJ364" s="151"/>
      <c r="BK364" s="151"/>
      <c r="BL364" s="151"/>
      <c r="BM364" s="151"/>
      <c r="BN364" s="151"/>
      <c r="BO364" s="151"/>
    </row>
    <row r="365" spans="47:67" ht="15.75" customHeight="1" thickBot="1" x14ac:dyDescent="0.4">
      <c r="AU365" s="151"/>
      <c r="AV365" s="151"/>
      <c r="AW365" s="151"/>
      <c r="AX365" s="151"/>
      <c r="AY365" s="151"/>
      <c r="AZ365" s="151"/>
      <c r="BA365" s="151"/>
      <c r="BB365" s="151"/>
      <c r="BC365" s="151"/>
      <c r="BD365" s="151"/>
      <c r="BE365" s="151"/>
      <c r="BF365" s="151"/>
      <c r="BG365" s="151"/>
      <c r="BH365" s="151"/>
      <c r="BI365" s="151"/>
      <c r="BJ365" s="151"/>
      <c r="BK365" s="151"/>
      <c r="BL365" s="151"/>
      <c r="BM365" s="151"/>
      <c r="BN365" s="151"/>
      <c r="BO365" s="151"/>
    </row>
    <row r="366" spans="47:67" ht="15.75" customHeight="1" thickBot="1" x14ac:dyDescent="0.4">
      <c r="AU366" s="151"/>
      <c r="AV366" s="151"/>
      <c r="AW366" s="151"/>
      <c r="AX366" s="151"/>
      <c r="AY366" s="151"/>
      <c r="AZ366" s="151"/>
      <c r="BA366" s="151"/>
      <c r="BB366" s="151"/>
      <c r="BC366" s="151"/>
      <c r="BD366" s="151"/>
      <c r="BE366" s="151"/>
      <c r="BF366" s="151"/>
      <c r="BG366" s="151"/>
      <c r="BH366" s="151"/>
      <c r="BI366" s="151"/>
      <c r="BJ366" s="151"/>
      <c r="BK366" s="151"/>
      <c r="BL366" s="151"/>
      <c r="BM366" s="151"/>
      <c r="BN366" s="151"/>
      <c r="BO366" s="151"/>
    </row>
    <row r="367" spans="47:67" ht="15.75" customHeight="1" thickBot="1" x14ac:dyDescent="0.4">
      <c r="AU367" s="151"/>
      <c r="AV367" s="151"/>
      <c r="AW367" s="151"/>
      <c r="AX367" s="151"/>
      <c r="AY367" s="151"/>
      <c r="AZ367" s="151"/>
      <c r="BA367" s="151"/>
      <c r="BB367" s="151"/>
      <c r="BC367" s="151"/>
      <c r="BD367" s="151"/>
      <c r="BE367" s="151"/>
      <c r="BF367" s="151"/>
      <c r="BG367" s="151"/>
      <c r="BH367" s="151"/>
      <c r="BI367" s="151"/>
      <c r="BJ367" s="151"/>
      <c r="BK367" s="151"/>
      <c r="BL367" s="151"/>
      <c r="BM367" s="151"/>
      <c r="BN367" s="151"/>
      <c r="BO367" s="151"/>
    </row>
    <row r="368" spans="47:67" ht="15.75" customHeight="1" thickBot="1" x14ac:dyDescent="0.4">
      <c r="AU368" s="151"/>
      <c r="AV368" s="151"/>
      <c r="AW368" s="151"/>
      <c r="AX368" s="151"/>
      <c r="AY368" s="151"/>
      <c r="AZ368" s="151"/>
      <c r="BA368" s="151"/>
      <c r="BB368" s="151"/>
      <c r="BC368" s="151"/>
      <c r="BD368" s="151"/>
      <c r="BE368" s="151"/>
      <c r="BF368" s="151"/>
      <c r="BG368" s="151"/>
      <c r="BH368" s="151"/>
      <c r="BI368" s="151"/>
      <c r="BJ368" s="151"/>
      <c r="BK368" s="151"/>
      <c r="BL368" s="151"/>
      <c r="BM368" s="151"/>
      <c r="BN368" s="151"/>
      <c r="BO368" s="151"/>
    </row>
    <row r="369" spans="47:67" ht="15.75" customHeight="1" thickBot="1" x14ac:dyDescent="0.4">
      <c r="AU369" s="151"/>
      <c r="AV369" s="151"/>
      <c r="AW369" s="151"/>
      <c r="AX369" s="151"/>
      <c r="AY369" s="151"/>
      <c r="AZ369" s="151"/>
      <c r="BA369" s="151"/>
      <c r="BB369" s="151"/>
      <c r="BC369" s="151"/>
      <c r="BD369" s="151"/>
      <c r="BE369" s="151"/>
      <c r="BF369" s="151"/>
      <c r="BG369" s="151"/>
      <c r="BH369" s="151"/>
      <c r="BI369" s="151"/>
      <c r="BJ369" s="151"/>
      <c r="BK369" s="151"/>
      <c r="BL369" s="151"/>
      <c r="BM369" s="151"/>
      <c r="BN369" s="151"/>
      <c r="BO369" s="151"/>
    </row>
    <row r="370" spans="47:67" ht="15.75" customHeight="1" thickBot="1" x14ac:dyDescent="0.4">
      <c r="AU370" s="151"/>
      <c r="AV370" s="151"/>
      <c r="AW370" s="151"/>
      <c r="AX370" s="151"/>
      <c r="AY370" s="151"/>
      <c r="AZ370" s="151"/>
      <c r="BA370" s="151"/>
      <c r="BB370" s="151"/>
      <c r="BC370" s="151"/>
      <c r="BD370" s="151"/>
      <c r="BE370" s="151"/>
      <c r="BF370" s="151"/>
      <c r="BG370" s="151"/>
      <c r="BH370" s="151"/>
      <c r="BI370" s="151"/>
      <c r="BJ370" s="151"/>
      <c r="BK370" s="151"/>
      <c r="BL370" s="151"/>
      <c r="BM370" s="151"/>
      <c r="BN370" s="151"/>
      <c r="BO370" s="151"/>
    </row>
    <row r="371" spans="47:67" ht="15.75" customHeight="1" thickBot="1" x14ac:dyDescent="0.4">
      <c r="AU371" s="151"/>
      <c r="AV371" s="151"/>
      <c r="AW371" s="151"/>
      <c r="AX371" s="151"/>
      <c r="AY371" s="151"/>
      <c r="AZ371" s="151"/>
      <c r="BA371" s="151"/>
      <c r="BB371" s="151"/>
      <c r="BC371" s="151"/>
      <c r="BD371" s="151"/>
      <c r="BE371" s="151"/>
      <c r="BF371" s="151"/>
      <c r="BG371" s="151"/>
      <c r="BH371" s="151"/>
      <c r="BI371" s="151"/>
      <c r="BJ371" s="151"/>
      <c r="BK371" s="151"/>
      <c r="BL371" s="151"/>
      <c r="BM371" s="151"/>
      <c r="BN371" s="151"/>
      <c r="BO371" s="151"/>
    </row>
    <row r="372" spans="47:67" ht="15.75" customHeight="1" thickBot="1" x14ac:dyDescent="0.4">
      <c r="AU372" s="151"/>
      <c r="AV372" s="151"/>
      <c r="AW372" s="151"/>
      <c r="AX372" s="151"/>
      <c r="AY372" s="151"/>
      <c r="AZ372" s="151"/>
      <c r="BA372" s="151"/>
      <c r="BB372" s="151"/>
      <c r="BC372" s="151"/>
      <c r="BD372" s="151"/>
      <c r="BE372" s="151"/>
      <c r="BF372" s="151"/>
      <c r="BG372" s="151"/>
      <c r="BH372" s="151"/>
      <c r="BI372" s="151"/>
      <c r="BJ372" s="151"/>
      <c r="BK372" s="151"/>
      <c r="BL372" s="151"/>
      <c r="BM372" s="151"/>
      <c r="BN372" s="151"/>
      <c r="BO372" s="151"/>
    </row>
    <row r="373" spans="47:67" ht="15.75" customHeight="1" thickBot="1" x14ac:dyDescent="0.4">
      <c r="AU373" s="151"/>
      <c r="AV373" s="151"/>
      <c r="AW373" s="151"/>
      <c r="AX373" s="151"/>
      <c r="AY373" s="151"/>
      <c r="AZ373" s="151"/>
      <c r="BA373" s="151"/>
      <c r="BB373" s="151"/>
      <c r="BC373" s="151"/>
      <c r="BD373" s="151"/>
      <c r="BE373" s="151"/>
      <c r="BF373" s="151"/>
      <c r="BG373" s="151"/>
      <c r="BH373" s="151"/>
      <c r="BI373" s="151"/>
      <c r="BJ373" s="151"/>
      <c r="BK373" s="151"/>
      <c r="BL373" s="151"/>
      <c r="BM373" s="151"/>
      <c r="BN373" s="151"/>
      <c r="BO373" s="151"/>
    </row>
    <row r="374" spans="47:67" ht="15.75" customHeight="1" thickBot="1" x14ac:dyDescent="0.4">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row>
    <row r="375" spans="47:67" ht="15.75" customHeight="1" thickBot="1" x14ac:dyDescent="0.4">
      <c r="AU375" s="151"/>
      <c r="AV375" s="151"/>
      <c r="AW375" s="151"/>
      <c r="AX375" s="151"/>
      <c r="AY375" s="151"/>
      <c r="AZ375" s="151"/>
      <c r="BA375" s="151"/>
      <c r="BB375" s="151"/>
      <c r="BC375" s="151"/>
      <c r="BD375" s="151"/>
      <c r="BE375" s="151"/>
      <c r="BF375" s="151"/>
      <c r="BG375" s="151"/>
      <c r="BH375" s="151"/>
      <c r="BI375" s="151"/>
      <c r="BJ375" s="151"/>
      <c r="BK375" s="151"/>
      <c r="BL375" s="151"/>
      <c r="BM375" s="151"/>
      <c r="BN375" s="151"/>
      <c r="BO375" s="151"/>
    </row>
    <row r="376" spans="47:67" ht="15.75" customHeight="1" thickBot="1" x14ac:dyDescent="0.4">
      <c r="AU376" s="151"/>
      <c r="AV376" s="151"/>
      <c r="AW376" s="151"/>
      <c r="AX376" s="151"/>
      <c r="AY376" s="151"/>
      <c r="AZ376" s="151"/>
      <c r="BA376" s="151"/>
      <c r="BB376" s="151"/>
      <c r="BC376" s="151"/>
      <c r="BD376" s="151"/>
      <c r="BE376" s="151"/>
      <c r="BF376" s="151"/>
      <c r="BG376" s="151"/>
      <c r="BH376" s="151"/>
      <c r="BI376" s="151"/>
      <c r="BJ376" s="151"/>
      <c r="BK376" s="151"/>
      <c r="BL376" s="151"/>
      <c r="BM376" s="151"/>
      <c r="BN376" s="151"/>
      <c r="BO376" s="151"/>
    </row>
    <row r="377" spans="47:67" ht="15.75" customHeight="1" thickBot="1" x14ac:dyDescent="0.4">
      <c r="AU377" s="151"/>
      <c r="AV377" s="151"/>
      <c r="AW377" s="151"/>
      <c r="AX377" s="151"/>
      <c r="AY377" s="151"/>
      <c r="AZ377" s="151"/>
      <c r="BA377" s="151"/>
      <c r="BB377" s="151"/>
      <c r="BC377" s="151"/>
      <c r="BD377" s="151"/>
      <c r="BE377" s="151"/>
      <c r="BF377" s="151"/>
      <c r="BG377" s="151"/>
      <c r="BH377" s="151"/>
      <c r="BI377" s="151"/>
      <c r="BJ377" s="151"/>
      <c r="BK377" s="151"/>
      <c r="BL377" s="151"/>
      <c r="BM377" s="151"/>
      <c r="BN377" s="151"/>
      <c r="BO377" s="151"/>
    </row>
    <row r="378" spans="47:67" ht="15.75" customHeight="1" thickBot="1" x14ac:dyDescent="0.4">
      <c r="AU378" s="151"/>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row>
    <row r="379" spans="47:67" ht="15.75" customHeight="1" thickBot="1" x14ac:dyDescent="0.4">
      <c r="AU379" s="151"/>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row>
    <row r="380" spans="47:67" ht="15.75" customHeight="1" thickBot="1" x14ac:dyDescent="0.4">
      <c r="AU380" s="151"/>
      <c r="AV380" s="151"/>
      <c r="AW380" s="151"/>
      <c r="AX380" s="151"/>
      <c r="AY380" s="151"/>
      <c r="AZ380" s="151"/>
      <c r="BA380" s="151"/>
      <c r="BB380" s="151"/>
      <c r="BC380" s="151"/>
      <c r="BD380" s="151"/>
      <c r="BE380" s="151"/>
      <c r="BF380" s="151"/>
      <c r="BG380" s="151"/>
      <c r="BH380" s="151"/>
      <c r="BI380" s="151"/>
      <c r="BJ380" s="151"/>
      <c r="BK380" s="151"/>
      <c r="BL380" s="151"/>
      <c r="BM380" s="151"/>
      <c r="BN380" s="151"/>
      <c r="BO380" s="151"/>
    </row>
    <row r="381" spans="47:67" ht="15.75" customHeight="1" thickBot="1" x14ac:dyDescent="0.4">
      <c r="AU381" s="151"/>
      <c r="AV381" s="151"/>
      <c r="AW381" s="151"/>
      <c r="AX381" s="151"/>
      <c r="AY381" s="151"/>
      <c r="AZ381" s="151"/>
      <c r="BA381" s="151"/>
      <c r="BB381" s="151"/>
      <c r="BC381" s="151"/>
      <c r="BD381" s="151"/>
      <c r="BE381" s="151"/>
      <c r="BF381" s="151"/>
      <c r="BG381" s="151"/>
      <c r="BH381" s="151"/>
      <c r="BI381" s="151"/>
      <c r="BJ381" s="151"/>
      <c r="BK381" s="151"/>
      <c r="BL381" s="151"/>
      <c r="BM381" s="151"/>
      <c r="BN381" s="151"/>
      <c r="BO381" s="151"/>
    </row>
    <row r="382" spans="47:67" ht="15.75" customHeight="1" thickBot="1" x14ac:dyDescent="0.4">
      <c r="AU382" s="151"/>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row>
    <row r="383" spans="47:67" ht="15.75" customHeight="1" thickBot="1" x14ac:dyDescent="0.4">
      <c r="AU383" s="151"/>
      <c r="AV383" s="151"/>
      <c r="AW383" s="151"/>
      <c r="AX383" s="151"/>
      <c r="AY383" s="151"/>
      <c r="AZ383" s="151"/>
      <c r="BA383" s="151"/>
      <c r="BB383" s="151"/>
      <c r="BC383" s="151"/>
      <c r="BD383" s="151"/>
      <c r="BE383" s="151"/>
      <c r="BF383" s="151"/>
      <c r="BG383" s="151"/>
      <c r="BH383" s="151"/>
      <c r="BI383" s="151"/>
      <c r="BJ383" s="151"/>
      <c r="BK383" s="151"/>
      <c r="BL383" s="151"/>
      <c r="BM383" s="151"/>
      <c r="BN383" s="151"/>
      <c r="BO383" s="151"/>
    </row>
    <row r="384" spans="47:67" ht="15.75" customHeight="1" thickBot="1" x14ac:dyDescent="0.4">
      <c r="AU384" s="151"/>
      <c r="AV384" s="151"/>
      <c r="AW384" s="151"/>
      <c r="AX384" s="151"/>
      <c r="AY384" s="151"/>
      <c r="AZ384" s="151"/>
      <c r="BA384" s="151"/>
      <c r="BB384" s="151"/>
      <c r="BC384" s="151"/>
      <c r="BD384" s="151"/>
      <c r="BE384" s="151"/>
      <c r="BF384" s="151"/>
      <c r="BG384" s="151"/>
      <c r="BH384" s="151"/>
      <c r="BI384" s="151"/>
      <c r="BJ384" s="151"/>
      <c r="BK384" s="151"/>
      <c r="BL384" s="151"/>
      <c r="BM384" s="151"/>
      <c r="BN384" s="151"/>
      <c r="BO384" s="151"/>
    </row>
    <row r="385" spans="47:67" ht="15.75" customHeight="1" thickBot="1" x14ac:dyDescent="0.4">
      <c r="AU385" s="151"/>
      <c r="AV385" s="151"/>
      <c r="AW385" s="151"/>
      <c r="AX385" s="151"/>
      <c r="AY385" s="151"/>
      <c r="AZ385" s="151"/>
      <c r="BA385" s="151"/>
      <c r="BB385" s="151"/>
      <c r="BC385" s="151"/>
      <c r="BD385" s="151"/>
      <c r="BE385" s="151"/>
      <c r="BF385" s="151"/>
      <c r="BG385" s="151"/>
      <c r="BH385" s="151"/>
      <c r="BI385" s="151"/>
      <c r="BJ385" s="151"/>
      <c r="BK385" s="151"/>
      <c r="BL385" s="151"/>
      <c r="BM385" s="151"/>
      <c r="BN385" s="151"/>
      <c r="BO385" s="151"/>
    </row>
    <row r="386" spans="47:67" ht="15.75" customHeight="1" thickBot="1" x14ac:dyDescent="0.4">
      <c r="AU386" s="151"/>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row>
    <row r="387" spans="47:67" ht="15.75" customHeight="1" thickBot="1" x14ac:dyDescent="0.4">
      <c r="AU387" s="151"/>
      <c r="AV387" s="151"/>
      <c r="AW387" s="151"/>
      <c r="AX387" s="151"/>
      <c r="AY387" s="151"/>
      <c r="AZ387" s="151"/>
      <c r="BA387" s="151"/>
      <c r="BB387" s="151"/>
      <c r="BC387" s="151"/>
      <c r="BD387" s="151"/>
      <c r="BE387" s="151"/>
      <c r="BF387" s="151"/>
      <c r="BG387" s="151"/>
      <c r="BH387" s="151"/>
      <c r="BI387" s="151"/>
      <c r="BJ387" s="151"/>
      <c r="BK387" s="151"/>
      <c r="BL387" s="151"/>
      <c r="BM387" s="151"/>
      <c r="BN387" s="151"/>
      <c r="BO387" s="151"/>
    </row>
    <row r="388" spans="47:67" ht="15.75" customHeight="1" thickBot="1" x14ac:dyDescent="0.4">
      <c r="AU388" s="151"/>
      <c r="AV388" s="151"/>
      <c r="AW388" s="151"/>
      <c r="AX388" s="151"/>
      <c r="AY388" s="151"/>
      <c r="AZ388" s="151"/>
      <c r="BA388" s="151"/>
      <c r="BB388" s="151"/>
      <c r="BC388" s="151"/>
      <c r="BD388" s="151"/>
      <c r="BE388" s="151"/>
      <c r="BF388" s="151"/>
      <c r="BG388" s="151"/>
      <c r="BH388" s="151"/>
      <c r="BI388" s="151"/>
      <c r="BJ388" s="151"/>
      <c r="BK388" s="151"/>
      <c r="BL388" s="151"/>
      <c r="BM388" s="151"/>
      <c r="BN388" s="151"/>
      <c r="BO388" s="151"/>
    </row>
    <row r="389" spans="47:67" ht="15.75" customHeight="1" thickBot="1" x14ac:dyDescent="0.4">
      <c r="AU389" s="151"/>
      <c r="AV389" s="151"/>
      <c r="AW389" s="151"/>
      <c r="AX389" s="151"/>
      <c r="AY389" s="151"/>
      <c r="AZ389" s="151"/>
      <c r="BA389" s="151"/>
      <c r="BB389" s="151"/>
      <c r="BC389" s="151"/>
      <c r="BD389" s="151"/>
      <c r="BE389" s="151"/>
      <c r="BF389" s="151"/>
      <c r="BG389" s="151"/>
      <c r="BH389" s="151"/>
      <c r="BI389" s="151"/>
      <c r="BJ389" s="151"/>
      <c r="BK389" s="151"/>
      <c r="BL389" s="151"/>
      <c r="BM389" s="151"/>
      <c r="BN389" s="151"/>
      <c r="BO389" s="151"/>
    </row>
    <row r="390" spans="47:67" ht="15.75" customHeight="1" thickBot="1" x14ac:dyDescent="0.4">
      <c r="AU390" s="151"/>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row>
    <row r="391" spans="47:67" ht="15.75" customHeight="1" thickBot="1" x14ac:dyDescent="0.4">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row>
    <row r="392" spans="47:67" ht="15.75" customHeight="1" thickBot="1" x14ac:dyDescent="0.4">
      <c r="AU392" s="151"/>
      <c r="AV392" s="151"/>
      <c r="AW392" s="151"/>
      <c r="AX392" s="151"/>
      <c r="AY392" s="151"/>
      <c r="AZ392" s="151"/>
      <c r="BA392" s="151"/>
      <c r="BB392" s="151"/>
      <c r="BC392" s="151"/>
      <c r="BD392" s="151"/>
      <c r="BE392" s="151"/>
      <c r="BF392" s="151"/>
      <c r="BG392" s="151"/>
      <c r="BH392" s="151"/>
      <c r="BI392" s="151"/>
      <c r="BJ392" s="151"/>
      <c r="BK392" s="151"/>
      <c r="BL392" s="151"/>
      <c r="BM392" s="151"/>
      <c r="BN392" s="151"/>
      <c r="BO392" s="151"/>
    </row>
    <row r="393" spans="47:67" ht="15.75" customHeight="1" thickBot="1" x14ac:dyDescent="0.4">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row>
    <row r="394" spans="47:67" ht="15.75" customHeight="1" thickBot="1" x14ac:dyDescent="0.4">
      <c r="AU394" s="151"/>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row>
    <row r="395" spans="47:67" ht="15.75" customHeight="1" thickBot="1" x14ac:dyDescent="0.4">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row>
    <row r="396" spans="47:67" ht="15.75" customHeight="1" thickBot="1" x14ac:dyDescent="0.4">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row>
    <row r="397" spans="47:67" ht="15.75" customHeight="1" thickBot="1" x14ac:dyDescent="0.4">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row>
    <row r="398" spans="47:67" ht="15.75" customHeight="1" thickBot="1" x14ac:dyDescent="0.4">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row>
    <row r="399" spans="47:67" ht="15.75" customHeight="1" thickBot="1" x14ac:dyDescent="0.4">
      <c r="AU399" s="151"/>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row>
    <row r="400" spans="47:67" ht="15.75" customHeight="1" thickBot="1" x14ac:dyDescent="0.4">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row>
    <row r="401" spans="47:67" ht="15.75" customHeight="1" thickBot="1" x14ac:dyDescent="0.4">
      <c r="AU401" s="151"/>
      <c r="AV401" s="151"/>
      <c r="AW401" s="151"/>
      <c r="AX401" s="151"/>
      <c r="AY401" s="151"/>
      <c r="AZ401" s="151"/>
      <c r="BA401" s="151"/>
      <c r="BB401" s="151"/>
      <c r="BC401" s="151"/>
      <c r="BD401" s="151"/>
      <c r="BE401" s="151"/>
      <c r="BF401" s="151"/>
      <c r="BG401" s="151"/>
      <c r="BH401" s="151"/>
      <c r="BI401" s="151"/>
      <c r="BJ401" s="151"/>
      <c r="BK401" s="151"/>
      <c r="BL401" s="151"/>
      <c r="BM401" s="151"/>
      <c r="BN401" s="151"/>
      <c r="BO401" s="151"/>
    </row>
    <row r="402" spans="47:67" ht="15.75" customHeight="1" thickBot="1" x14ac:dyDescent="0.4">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row>
    <row r="403" spans="47:67" ht="15.75" customHeight="1" thickBot="1" x14ac:dyDescent="0.4">
      <c r="AU403" s="151"/>
      <c r="AV403" s="151"/>
      <c r="AW403" s="151"/>
      <c r="AX403" s="151"/>
      <c r="AY403" s="151"/>
      <c r="AZ403" s="151"/>
      <c r="BA403" s="151"/>
      <c r="BB403" s="151"/>
      <c r="BC403" s="151"/>
      <c r="BD403" s="151"/>
      <c r="BE403" s="151"/>
      <c r="BF403" s="151"/>
      <c r="BG403" s="151"/>
      <c r="BH403" s="151"/>
      <c r="BI403" s="151"/>
      <c r="BJ403" s="151"/>
      <c r="BK403" s="151"/>
      <c r="BL403" s="151"/>
      <c r="BM403" s="151"/>
      <c r="BN403" s="151"/>
      <c r="BO403" s="151"/>
    </row>
    <row r="404" spans="47:67" ht="15.75" customHeight="1" thickBot="1" x14ac:dyDescent="0.4">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row>
    <row r="405" spans="47:67" ht="15.75" customHeight="1" thickBot="1" x14ac:dyDescent="0.4">
      <c r="AU405" s="151"/>
      <c r="AV405" s="151"/>
      <c r="AW405" s="151"/>
      <c r="AX405" s="151"/>
      <c r="AY405" s="151"/>
      <c r="AZ405" s="151"/>
      <c r="BA405" s="151"/>
      <c r="BB405" s="151"/>
      <c r="BC405" s="151"/>
      <c r="BD405" s="151"/>
      <c r="BE405" s="151"/>
      <c r="BF405" s="151"/>
      <c r="BG405" s="151"/>
      <c r="BH405" s="151"/>
      <c r="BI405" s="151"/>
      <c r="BJ405" s="151"/>
      <c r="BK405" s="151"/>
      <c r="BL405" s="151"/>
      <c r="BM405" s="151"/>
      <c r="BN405" s="151"/>
      <c r="BO405" s="151"/>
    </row>
    <row r="406" spans="47:67" ht="15.75" customHeight="1" thickBot="1" x14ac:dyDescent="0.4">
      <c r="AU406" s="151"/>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row>
    <row r="407" spans="47:67" ht="15.75" customHeight="1" thickBot="1" x14ac:dyDescent="0.4">
      <c r="AU407" s="151"/>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row>
    <row r="408" spans="47:67" ht="15.75" customHeight="1" thickBot="1" x14ac:dyDescent="0.4">
      <c r="AU408" s="151"/>
      <c r="AV408" s="151"/>
      <c r="AW408" s="151"/>
      <c r="AX408" s="151"/>
      <c r="AY408" s="151"/>
      <c r="AZ408" s="151"/>
      <c r="BA408" s="151"/>
      <c r="BB408" s="151"/>
      <c r="BC408" s="151"/>
      <c r="BD408" s="151"/>
      <c r="BE408" s="151"/>
      <c r="BF408" s="151"/>
      <c r="BG408" s="151"/>
      <c r="BH408" s="151"/>
      <c r="BI408" s="151"/>
      <c r="BJ408" s="151"/>
      <c r="BK408" s="151"/>
      <c r="BL408" s="151"/>
      <c r="BM408" s="151"/>
      <c r="BN408" s="151"/>
      <c r="BO408" s="151"/>
    </row>
    <row r="409" spans="47:67" ht="15.75" customHeight="1" thickBot="1" x14ac:dyDescent="0.4">
      <c r="AU409" s="151"/>
      <c r="AV409" s="151"/>
      <c r="AW409" s="151"/>
      <c r="AX409" s="151"/>
      <c r="AY409" s="151"/>
      <c r="AZ409" s="151"/>
      <c r="BA409" s="151"/>
      <c r="BB409" s="151"/>
      <c r="BC409" s="151"/>
      <c r="BD409" s="151"/>
      <c r="BE409" s="151"/>
      <c r="BF409" s="151"/>
      <c r="BG409" s="151"/>
      <c r="BH409" s="151"/>
      <c r="BI409" s="151"/>
      <c r="BJ409" s="151"/>
      <c r="BK409" s="151"/>
      <c r="BL409" s="151"/>
      <c r="BM409" s="151"/>
      <c r="BN409" s="151"/>
      <c r="BO409" s="151"/>
    </row>
    <row r="410" spans="47:67" ht="15.75" customHeight="1" thickBot="1" x14ac:dyDescent="0.4">
      <c r="AU410" s="151"/>
      <c r="AV410" s="151"/>
      <c r="AW410" s="151"/>
      <c r="AX410" s="151"/>
      <c r="AY410" s="151"/>
      <c r="AZ410" s="151"/>
      <c r="BA410" s="151"/>
      <c r="BB410" s="151"/>
      <c r="BC410" s="151"/>
      <c r="BD410" s="151"/>
      <c r="BE410" s="151"/>
      <c r="BF410" s="151"/>
      <c r="BG410" s="151"/>
      <c r="BH410" s="151"/>
      <c r="BI410" s="151"/>
      <c r="BJ410" s="151"/>
      <c r="BK410" s="151"/>
      <c r="BL410" s="151"/>
      <c r="BM410" s="151"/>
      <c r="BN410" s="151"/>
      <c r="BO410" s="151"/>
    </row>
    <row r="411" spans="47:67" ht="15.75" customHeight="1" thickBot="1" x14ac:dyDescent="0.4">
      <c r="AU411" s="151"/>
      <c r="AV411" s="151"/>
      <c r="AW411" s="151"/>
      <c r="AX411" s="151"/>
      <c r="AY411" s="151"/>
      <c r="AZ411" s="151"/>
      <c r="BA411" s="151"/>
      <c r="BB411" s="151"/>
      <c r="BC411" s="151"/>
      <c r="BD411" s="151"/>
      <c r="BE411" s="151"/>
      <c r="BF411" s="151"/>
      <c r="BG411" s="151"/>
      <c r="BH411" s="151"/>
      <c r="BI411" s="151"/>
      <c r="BJ411" s="151"/>
      <c r="BK411" s="151"/>
      <c r="BL411" s="151"/>
      <c r="BM411" s="151"/>
      <c r="BN411" s="151"/>
      <c r="BO411" s="151"/>
    </row>
    <row r="412" spans="47:67" ht="15.75" customHeight="1" thickBot="1" x14ac:dyDescent="0.4">
      <c r="AU412" s="151"/>
      <c r="AV412" s="151"/>
      <c r="AW412" s="151"/>
      <c r="AX412" s="151"/>
      <c r="AY412" s="151"/>
      <c r="AZ412" s="151"/>
      <c r="BA412" s="151"/>
      <c r="BB412" s="151"/>
      <c r="BC412" s="151"/>
      <c r="BD412" s="151"/>
      <c r="BE412" s="151"/>
      <c r="BF412" s="151"/>
      <c r="BG412" s="151"/>
      <c r="BH412" s="151"/>
      <c r="BI412" s="151"/>
      <c r="BJ412" s="151"/>
      <c r="BK412" s="151"/>
      <c r="BL412" s="151"/>
      <c r="BM412" s="151"/>
      <c r="BN412" s="151"/>
      <c r="BO412" s="151"/>
    </row>
    <row r="413" spans="47:67" ht="15.75" customHeight="1" thickBot="1" x14ac:dyDescent="0.4">
      <c r="AU413" s="151"/>
      <c r="AV413" s="151"/>
      <c r="AW413" s="151"/>
      <c r="AX413" s="151"/>
      <c r="AY413" s="151"/>
      <c r="AZ413" s="151"/>
      <c r="BA413" s="151"/>
      <c r="BB413" s="151"/>
      <c r="BC413" s="151"/>
      <c r="BD413" s="151"/>
      <c r="BE413" s="151"/>
      <c r="BF413" s="151"/>
      <c r="BG413" s="151"/>
      <c r="BH413" s="151"/>
      <c r="BI413" s="151"/>
      <c r="BJ413" s="151"/>
      <c r="BK413" s="151"/>
      <c r="BL413" s="151"/>
      <c r="BM413" s="151"/>
      <c r="BN413" s="151"/>
      <c r="BO413" s="151"/>
    </row>
    <row r="414" spans="47:67" ht="15.75" customHeight="1" thickBot="1" x14ac:dyDescent="0.4">
      <c r="AU414" s="151"/>
      <c r="AV414" s="151"/>
      <c r="AW414" s="151"/>
      <c r="AX414" s="151"/>
      <c r="AY414" s="151"/>
      <c r="AZ414" s="151"/>
      <c r="BA414" s="151"/>
      <c r="BB414" s="151"/>
      <c r="BC414" s="151"/>
      <c r="BD414" s="151"/>
      <c r="BE414" s="151"/>
      <c r="BF414" s="151"/>
      <c r="BG414" s="151"/>
      <c r="BH414" s="151"/>
      <c r="BI414" s="151"/>
      <c r="BJ414" s="151"/>
      <c r="BK414" s="151"/>
      <c r="BL414" s="151"/>
      <c r="BM414" s="151"/>
      <c r="BN414" s="151"/>
      <c r="BO414" s="151"/>
    </row>
    <row r="415" spans="47:67" ht="15.75" customHeight="1" thickBot="1" x14ac:dyDescent="0.4">
      <c r="AU415" s="151"/>
      <c r="AV415" s="151"/>
      <c r="AW415" s="151"/>
      <c r="AX415" s="151"/>
      <c r="AY415" s="151"/>
      <c r="AZ415" s="151"/>
      <c r="BA415" s="151"/>
      <c r="BB415" s="151"/>
      <c r="BC415" s="151"/>
      <c r="BD415" s="151"/>
      <c r="BE415" s="151"/>
      <c r="BF415" s="151"/>
      <c r="BG415" s="151"/>
      <c r="BH415" s="151"/>
      <c r="BI415" s="151"/>
      <c r="BJ415" s="151"/>
      <c r="BK415" s="151"/>
      <c r="BL415" s="151"/>
      <c r="BM415" s="151"/>
      <c r="BN415" s="151"/>
      <c r="BO415" s="151"/>
    </row>
    <row r="416" spans="47:67" ht="15.75" customHeight="1" thickBot="1" x14ac:dyDescent="0.4">
      <c r="AU416" s="151"/>
      <c r="AV416" s="151"/>
      <c r="AW416" s="151"/>
      <c r="AX416" s="151"/>
      <c r="AY416" s="151"/>
      <c r="AZ416" s="151"/>
      <c r="BA416" s="151"/>
      <c r="BB416" s="151"/>
      <c r="BC416" s="151"/>
      <c r="BD416" s="151"/>
      <c r="BE416" s="151"/>
      <c r="BF416" s="151"/>
      <c r="BG416" s="151"/>
      <c r="BH416" s="151"/>
      <c r="BI416" s="151"/>
      <c r="BJ416" s="151"/>
      <c r="BK416" s="151"/>
      <c r="BL416" s="151"/>
      <c r="BM416" s="151"/>
      <c r="BN416" s="151"/>
      <c r="BO416" s="151"/>
    </row>
    <row r="417" spans="47:67" ht="15.75" customHeight="1" thickBot="1" x14ac:dyDescent="0.4">
      <c r="AU417" s="151"/>
      <c r="AV417" s="151"/>
      <c r="AW417" s="151"/>
      <c r="AX417" s="151"/>
      <c r="AY417" s="151"/>
      <c r="AZ417" s="151"/>
      <c r="BA417" s="151"/>
      <c r="BB417" s="151"/>
      <c r="BC417" s="151"/>
      <c r="BD417" s="151"/>
      <c r="BE417" s="151"/>
      <c r="BF417" s="151"/>
      <c r="BG417" s="151"/>
      <c r="BH417" s="151"/>
      <c r="BI417" s="151"/>
      <c r="BJ417" s="151"/>
      <c r="BK417" s="151"/>
      <c r="BL417" s="151"/>
      <c r="BM417" s="151"/>
      <c r="BN417" s="151"/>
      <c r="BO417" s="151"/>
    </row>
    <row r="418" spans="47:67" ht="15.75" customHeight="1" thickBot="1" x14ac:dyDescent="0.4">
      <c r="AU418" s="151"/>
      <c r="AV418" s="151"/>
      <c r="AW418" s="151"/>
      <c r="AX418" s="151"/>
      <c r="AY418" s="151"/>
      <c r="AZ418" s="151"/>
      <c r="BA418" s="151"/>
      <c r="BB418" s="151"/>
      <c r="BC418" s="151"/>
      <c r="BD418" s="151"/>
      <c r="BE418" s="151"/>
      <c r="BF418" s="151"/>
      <c r="BG418" s="151"/>
      <c r="BH418" s="151"/>
      <c r="BI418" s="151"/>
      <c r="BJ418" s="151"/>
      <c r="BK418" s="151"/>
      <c r="BL418" s="151"/>
      <c r="BM418" s="151"/>
      <c r="BN418" s="151"/>
      <c r="BO418" s="151"/>
    </row>
    <row r="419" spans="47:67" ht="15.75" customHeight="1" thickBot="1" x14ac:dyDescent="0.4">
      <c r="AU419" s="151"/>
      <c r="AV419" s="151"/>
      <c r="AW419" s="151"/>
      <c r="AX419" s="151"/>
      <c r="AY419" s="151"/>
      <c r="AZ419" s="151"/>
      <c r="BA419" s="151"/>
      <c r="BB419" s="151"/>
      <c r="BC419" s="151"/>
      <c r="BD419" s="151"/>
      <c r="BE419" s="151"/>
      <c r="BF419" s="151"/>
      <c r="BG419" s="151"/>
      <c r="BH419" s="151"/>
      <c r="BI419" s="151"/>
      <c r="BJ419" s="151"/>
      <c r="BK419" s="151"/>
      <c r="BL419" s="151"/>
      <c r="BM419" s="151"/>
      <c r="BN419" s="151"/>
      <c r="BO419" s="151"/>
    </row>
    <row r="420" spans="47:67" ht="15.75" customHeight="1" thickBot="1" x14ac:dyDescent="0.4">
      <c r="AU420" s="151"/>
      <c r="AV420" s="151"/>
      <c r="AW420" s="151"/>
      <c r="AX420" s="151"/>
      <c r="AY420" s="151"/>
      <c r="AZ420" s="151"/>
      <c r="BA420" s="151"/>
      <c r="BB420" s="151"/>
      <c r="BC420" s="151"/>
      <c r="BD420" s="151"/>
      <c r="BE420" s="151"/>
      <c r="BF420" s="151"/>
      <c r="BG420" s="151"/>
      <c r="BH420" s="151"/>
      <c r="BI420" s="151"/>
      <c r="BJ420" s="151"/>
      <c r="BK420" s="151"/>
      <c r="BL420" s="151"/>
      <c r="BM420" s="151"/>
      <c r="BN420" s="151"/>
      <c r="BO420" s="151"/>
    </row>
    <row r="421" spans="47:67" ht="15.75" customHeight="1" thickBot="1" x14ac:dyDescent="0.4">
      <c r="AU421" s="151"/>
      <c r="AV421" s="151"/>
      <c r="AW421" s="151"/>
      <c r="AX421" s="151"/>
      <c r="AY421" s="151"/>
      <c r="AZ421" s="151"/>
      <c r="BA421" s="151"/>
      <c r="BB421" s="151"/>
      <c r="BC421" s="151"/>
      <c r="BD421" s="151"/>
      <c r="BE421" s="151"/>
      <c r="BF421" s="151"/>
      <c r="BG421" s="151"/>
      <c r="BH421" s="151"/>
      <c r="BI421" s="151"/>
      <c r="BJ421" s="151"/>
      <c r="BK421" s="151"/>
      <c r="BL421" s="151"/>
      <c r="BM421" s="151"/>
      <c r="BN421" s="151"/>
      <c r="BO421" s="151"/>
    </row>
    <row r="422" spans="47:67" ht="15.75" customHeight="1" thickBot="1" x14ac:dyDescent="0.4">
      <c r="AU422" s="151"/>
      <c r="AV422" s="151"/>
      <c r="AW422" s="151"/>
      <c r="AX422" s="151"/>
      <c r="AY422" s="151"/>
      <c r="AZ422" s="151"/>
      <c r="BA422" s="151"/>
      <c r="BB422" s="151"/>
      <c r="BC422" s="151"/>
      <c r="BD422" s="151"/>
      <c r="BE422" s="151"/>
      <c r="BF422" s="151"/>
      <c r="BG422" s="151"/>
      <c r="BH422" s="151"/>
      <c r="BI422" s="151"/>
      <c r="BJ422" s="151"/>
      <c r="BK422" s="151"/>
      <c r="BL422" s="151"/>
      <c r="BM422" s="151"/>
      <c r="BN422" s="151"/>
      <c r="BO422" s="151"/>
    </row>
    <row r="423" spans="47:67" ht="15.75" customHeight="1" thickBot="1" x14ac:dyDescent="0.4">
      <c r="AU423" s="151"/>
      <c r="AV423" s="151"/>
      <c r="AW423" s="151"/>
      <c r="AX423" s="151"/>
      <c r="AY423" s="151"/>
      <c r="AZ423" s="151"/>
      <c r="BA423" s="151"/>
      <c r="BB423" s="151"/>
      <c r="BC423" s="151"/>
      <c r="BD423" s="151"/>
      <c r="BE423" s="151"/>
      <c r="BF423" s="151"/>
      <c r="BG423" s="151"/>
      <c r="BH423" s="151"/>
      <c r="BI423" s="151"/>
      <c r="BJ423" s="151"/>
      <c r="BK423" s="151"/>
      <c r="BL423" s="151"/>
      <c r="BM423" s="151"/>
      <c r="BN423" s="151"/>
      <c r="BO423" s="151"/>
    </row>
    <row r="424" spans="47:67" ht="15.75" customHeight="1" thickBot="1" x14ac:dyDescent="0.4">
      <c r="AU424" s="151"/>
      <c r="AV424" s="151"/>
      <c r="AW424" s="151"/>
      <c r="AX424" s="151"/>
      <c r="AY424" s="151"/>
      <c r="AZ424" s="151"/>
      <c r="BA424" s="151"/>
      <c r="BB424" s="151"/>
      <c r="BC424" s="151"/>
      <c r="BD424" s="151"/>
      <c r="BE424" s="151"/>
      <c r="BF424" s="151"/>
      <c r="BG424" s="151"/>
      <c r="BH424" s="151"/>
      <c r="BI424" s="151"/>
      <c r="BJ424" s="151"/>
      <c r="BK424" s="151"/>
      <c r="BL424" s="151"/>
      <c r="BM424" s="151"/>
      <c r="BN424" s="151"/>
      <c r="BO424" s="151"/>
    </row>
    <row r="425" spans="47:67" ht="15.75" customHeight="1" x14ac:dyDescent="0.35"/>
    <row r="426" spans="47:67" ht="15.75" customHeight="1" x14ac:dyDescent="0.35"/>
    <row r="427" spans="47:67" ht="15.75" customHeight="1" x14ac:dyDescent="0.35"/>
    <row r="428" spans="47:67" ht="15.75" customHeight="1" x14ac:dyDescent="0.35"/>
    <row r="429" spans="47:67" ht="15.75" customHeight="1" x14ac:dyDescent="0.35"/>
    <row r="430" spans="47:67" ht="15.75" customHeight="1" x14ac:dyDescent="0.35"/>
    <row r="431" spans="47:67" ht="15.75" customHeight="1" x14ac:dyDescent="0.35"/>
    <row r="432" spans="47:67"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sheetProtection password="DF7C" sheet="1" objects="1" scenarios="1"/>
  <autoFilter ref="A2:AU132">
    <filterColumn colId="1" showButton="0"/>
  </autoFilter>
  <mergeCells count="33">
    <mergeCell ref="B91:C91"/>
    <mergeCell ref="B34:C34"/>
    <mergeCell ref="AR37:AR39"/>
    <mergeCell ref="B129:C129"/>
    <mergeCell ref="B100:C100"/>
    <mergeCell ref="B101:C101"/>
    <mergeCell ref="B107:C107"/>
    <mergeCell ref="B117:C117"/>
    <mergeCell ref="B124:C124"/>
    <mergeCell ref="B125:C125"/>
    <mergeCell ref="B96:C96"/>
    <mergeCell ref="B43:C43"/>
    <mergeCell ref="B45:C45"/>
    <mergeCell ref="B46:C46"/>
    <mergeCell ref="B54:C54"/>
    <mergeCell ref="B59:C59"/>
    <mergeCell ref="B64:C64"/>
    <mergeCell ref="B67:C67"/>
    <mergeCell ref="B68:C68"/>
    <mergeCell ref="B73:C73"/>
    <mergeCell ref="B86:C86"/>
    <mergeCell ref="B2:C2"/>
    <mergeCell ref="B40:C40"/>
    <mergeCell ref="B3:C3"/>
    <mergeCell ref="B4:C4"/>
    <mergeCell ref="B5:C5"/>
    <mergeCell ref="B11:C11"/>
    <mergeCell ref="B15:C15"/>
    <mergeCell ref="B16:C16"/>
    <mergeCell ref="B21:C21"/>
    <mergeCell ref="B24:C24"/>
    <mergeCell ref="B28:C28"/>
    <mergeCell ref="B33:C33"/>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000"/>
  <sheetViews>
    <sheetView zoomScale="35" zoomScaleNormal="35" workbookViewId="0">
      <pane xSplit="3" ySplit="2" topLeftCell="D3" activePane="bottomRight" state="frozen"/>
      <selection pane="topRight" activeCell="D1" sqref="D1"/>
      <selection pane="bottomLeft" activeCell="A3" sqref="A3"/>
      <selection pane="bottomRight" activeCell="AO1" sqref="AO1:AV1048576"/>
    </sheetView>
  </sheetViews>
  <sheetFormatPr baseColWidth="10" defaultColWidth="14.44140625" defaultRowHeight="15" customHeight="1" x14ac:dyDescent="0.35"/>
  <cols>
    <col min="1" max="1" width="1.33203125" style="154" customWidth="1"/>
    <col min="2" max="2" width="67.5546875" style="154" customWidth="1"/>
    <col min="3" max="3" width="66" style="154" customWidth="1"/>
    <col min="4" max="4" width="42.5546875" style="154" customWidth="1"/>
    <col min="5" max="5" width="34.6640625" style="154" customWidth="1"/>
    <col min="6" max="6" width="30.6640625" style="154" customWidth="1"/>
    <col min="7" max="7" width="32.21875" style="154" customWidth="1"/>
    <col min="8" max="10" width="38.21875" style="154" customWidth="1"/>
    <col min="11" max="12" width="36.33203125" style="154" customWidth="1"/>
    <col min="13" max="13" width="38.44140625" style="154" hidden="1" customWidth="1"/>
    <col min="14" max="15" width="37.44140625" style="154" hidden="1" customWidth="1"/>
    <col min="16" max="16" width="33.109375" style="154" customWidth="1"/>
    <col min="17" max="18" width="33.109375" style="154" hidden="1" customWidth="1"/>
    <col min="19" max="19" width="35.6640625" style="154" hidden="1" customWidth="1"/>
    <col min="20" max="20" width="32.5546875" style="154" hidden="1" customWidth="1"/>
    <col min="21" max="21" width="32.5546875" style="154" customWidth="1"/>
    <col min="22" max="22" width="33.109375" style="154" customWidth="1"/>
    <col min="23" max="25" width="35.5546875" style="154" customWidth="1"/>
    <col min="26" max="26" width="43.44140625" style="154" customWidth="1"/>
    <col min="27" max="27" width="36.21875" style="154" customWidth="1"/>
    <col min="28" max="28" width="35.5546875" style="154" customWidth="1"/>
    <col min="29" max="29" width="29.21875" style="154" hidden="1" customWidth="1"/>
    <col min="30" max="30" width="39" style="154" hidden="1" customWidth="1"/>
    <col min="31" max="31" width="39" style="154" customWidth="1"/>
    <col min="32" max="32" width="40.88671875" style="154" hidden="1" customWidth="1"/>
    <col min="33" max="34" width="38.44140625" style="154" hidden="1" customWidth="1"/>
    <col min="35" max="35" width="36.5546875" style="154" customWidth="1"/>
    <col min="36" max="36" width="41" style="154" customWidth="1"/>
    <col min="37" max="37" width="42.44140625" style="154" customWidth="1"/>
    <col min="38" max="38" width="39.5546875" style="154" customWidth="1"/>
    <col min="39" max="40" width="41.44140625" style="154" customWidth="1"/>
    <col min="41" max="41" width="44.77734375" style="257" hidden="1" customWidth="1"/>
    <col min="42" max="42" width="58.6640625" style="154" hidden="1" customWidth="1"/>
    <col min="43" max="43" width="47.109375" style="154" hidden="1" customWidth="1"/>
    <col min="44" max="44" width="40.6640625" style="154" hidden="1" customWidth="1"/>
    <col min="45" max="45" width="46.44140625" style="154" hidden="1" customWidth="1"/>
    <col min="46" max="46" width="70.109375" style="154" hidden="1" customWidth="1"/>
    <col min="47" max="47" width="66.6640625" style="154" hidden="1" customWidth="1"/>
    <col min="48" max="48" width="59.33203125" style="154" hidden="1" customWidth="1"/>
    <col min="49" max="16384" width="14.44140625" style="154"/>
  </cols>
  <sheetData>
    <row r="1" spans="1:125" ht="18.600000000000001" thickBot="1" x14ac:dyDescent="0.4">
      <c r="A1" s="151"/>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214"/>
      <c r="AK1" s="214"/>
      <c r="AL1" s="214"/>
      <c r="AM1" s="606"/>
      <c r="AN1" s="606"/>
      <c r="AO1" s="215"/>
    </row>
    <row r="2" spans="1:125" s="300" customFormat="1" ht="222.6" customHeight="1" thickBot="1" x14ac:dyDescent="0.45">
      <c r="A2" s="294"/>
      <c r="B2" s="1529" t="s">
        <v>0</v>
      </c>
      <c r="C2" s="1530"/>
      <c r="D2" s="295" t="s">
        <v>1</v>
      </c>
      <c r="E2" s="296" t="s">
        <v>2</v>
      </c>
      <c r="F2" s="297" t="s">
        <v>3</v>
      </c>
      <c r="G2" s="297" t="s">
        <v>4</v>
      </c>
      <c r="H2" s="297" t="s">
        <v>1873</v>
      </c>
      <c r="I2" s="1009" t="s">
        <v>2527</v>
      </c>
      <c r="J2" s="297" t="s">
        <v>5</v>
      </c>
      <c r="K2" s="297" t="s">
        <v>1874</v>
      </c>
      <c r="L2" s="1009" t="s">
        <v>2526</v>
      </c>
      <c r="M2" s="1015" t="s">
        <v>6</v>
      </c>
      <c r="N2" s="1015" t="s">
        <v>1875</v>
      </c>
      <c r="O2" s="1421" t="s">
        <v>2549</v>
      </c>
      <c r="P2" s="1016" t="s">
        <v>1847</v>
      </c>
      <c r="Q2" s="1017" t="s">
        <v>1876</v>
      </c>
      <c r="R2" s="1017" t="s">
        <v>1878</v>
      </c>
      <c r="S2" s="1017" t="s">
        <v>1877</v>
      </c>
      <c r="T2" s="1017" t="s">
        <v>2431</v>
      </c>
      <c r="U2" s="1017" t="s">
        <v>2473</v>
      </c>
      <c r="V2" s="1017" t="s">
        <v>1879</v>
      </c>
      <c r="W2" s="1422" t="s">
        <v>2529</v>
      </c>
      <c r="X2" s="1009" t="s">
        <v>2528</v>
      </c>
      <c r="Y2" s="1009" t="s">
        <v>2530</v>
      </c>
      <c r="Z2" s="1009" t="s">
        <v>2531</v>
      </c>
      <c r="AA2" s="1018" t="s">
        <v>2532</v>
      </c>
      <c r="AB2" s="1019" t="s">
        <v>2533</v>
      </c>
      <c r="AC2" s="482" t="s">
        <v>7</v>
      </c>
      <c r="AD2" s="1007" t="s">
        <v>2534</v>
      </c>
      <c r="AE2" s="1019" t="s">
        <v>2546</v>
      </c>
      <c r="AF2" s="959" t="s">
        <v>8</v>
      </c>
      <c r="AG2" s="1022" t="s">
        <v>2535</v>
      </c>
      <c r="AH2" s="1421" t="s">
        <v>2547</v>
      </c>
      <c r="AI2" s="413" t="s">
        <v>1881</v>
      </c>
      <c r="AJ2" s="413" t="s">
        <v>2536</v>
      </c>
      <c r="AK2" s="1423" t="s">
        <v>2539</v>
      </c>
      <c r="AL2" s="1022" t="s">
        <v>1849</v>
      </c>
      <c r="AM2" s="959" t="s">
        <v>2550</v>
      </c>
      <c r="AN2" s="1421" t="s">
        <v>2541</v>
      </c>
      <c r="AO2" s="298" t="s">
        <v>2474</v>
      </c>
      <c r="AP2" s="533" t="s">
        <v>1882</v>
      </c>
      <c r="AQ2" s="534" t="s">
        <v>2290</v>
      </c>
      <c r="AR2" s="892" t="s">
        <v>2291</v>
      </c>
      <c r="AS2" s="893" t="s">
        <v>2342</v>
      </c>
      <c r="AT2" s="1133" t="s">
        <v>2432</v>
      </c>
      <c r="AU2" s="1142" t="s">
        <v>1880</v>
      </c>
      <c r="AV2" s="1143" t="s">
        <v>2540</v>
      </c>
      <c r="AW2" s="1141"/>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row>
    <row r="3" spans="1:125" s="263" customFormat="1" ht="138" customHeight="1" thickBot="1" x14ac:dyDescent="0.95">
      <c r="A3" s="258"/>
      <c r="B3" s="1572" t="s">
        <v>1801</v>
      </c>
      <c r="C3" s="1573"/>
      <c r="D3" s="259"/>
      <c r="E3" s="260">
        <v>0.25</v>
      </c>
      <c r="F3" s="261"/>
      <c r="G3" s="261"/>
      <c r="H3" s="261"/>
      <c r="I3" s="261"/>
      <c r="J3" s="536">
        <f>+(J4+J26+J37+J60+J82+J97+J135+J167)/7</f>
        <v>0.22385775913845282</v>
      </c>
      <c r="K3" s="536">
        <f>+(K4+K26+K37+K60+K82+K97+K135+K167)/8</f>
        <v>0.23066712604683681</v>
      </c>
      <c r="L3" s="538">
        <f>+(L4+L26+L37+L60+L82+L97+L135+L167)/8</f>
        <v>0.29164467050978948</v>
      </c>
      <c r="M3" s="537">
        <f>+(M4+M26+M37+M60+M82+M97+M135)/7</f>
        <v>0.19844971717901827</v>
      </c>
      <c r="N3" s="537">
        <f>+(N4+N26+N37+N60+N82+N97+N135+N167)/8</f>
        <v>0.20087091613383856</v>
      </c>
      <c r="O3" s="537">
        <f>+(O4+O26+O37+O60+O82+O97+O135+O167)/8</f>
        <v>0</v>
      </c>
      <c r="P3" s="262"/>
      <c r="Q3" s="262"/>
      <c r="R3" s="262"/>
      <c r="S3" s="262"/>
      <c r="T3" s="262"/>
      <c r="U3" s="262"/>
      <c r="V3" s="262"/>
      <c r="W3" s="262"/>
      <c r="X3" s="262"/>
      <c r="Y3" s="262"/>
      <c r="Z3" s="262"/>
      <c r="AA3" s="262"/>
      <c r="AB3" s="262"/>
      <c r="AC3" s="536">
        <f>+(AC4+AC26+AC37+AC60+AC82+AC97+AC135)/7</f>
        <v>0.80892636902467829</v>
      </c>
      <c r="AD3" s="536">
        <f>+(AD4+AD26+AD37+AD60+AD82+AD97+AD135+AD167)/8</f>
        <v>0.84012102824924451</v>
      </c>
      <c r="AE3" s="536">
        <f>+(AE4+AE26+AE37+AE60+AE82+AE97+AE135+AE167)/8</f>
        <v>0.20790903394659535</v>
      </c>
      <c r="AF3" s="537">
        <f>+F4+F26+F37+F60+F82+F97+F135+F167</f>
        <v>0.50590750648462857</v>
      </c>
      <c r="AG3" s="537">
        <f>+H4+H26+H37+H60+H82+H97+H135+H167</f>
        <v>0.57681251979401449</v>
      </c>
      <c r="AH3" s="537">
        <f>+I4+I26+I37+I60+I82+I97+I135+I167</f>
        <v>0.21010628547410204</v>
      </c>
      <c r="AI3" s="538">
        <f>+(AI4+AI26+AI37+AI60+AI82+AI97+AI135)/7</f>
        <v>0.22152387408750876</v>
      </c>
      <c r="AJ3" s="538">
        <v>0.48114752787939219</v>
      </c>
      <c r="AK3" s="538">
        <f>+(AK4+AK26+AK37+AK60+AK82+AK97+AK135+AK167)/7</f>
        <v>0.53358917072877365</v>
      </c>
      <c r="AL3" s="539">
        <f>+(AL4+AL26+AL37+AL60+AL82+AL97+AL135)/7</f>
        <v>0.18576863791395756</v>
      </c>
      <c r="AM3" s="539">
        <f>+(AM4*E4+AM26*E26+AM37*E37+AM60*E60+AM82*E82+AM97*E97+AM135*E135+AM167*E167)</f>
        <v>0.37052459010275579</v>
      </c>
      <c r="AN3" s="539">
        <f>+(AN4*E4+AN26*E26+AN37*E37+AN60*E60+AN82*E82+AN97*E97+AN135*E135+AN167*E167)</f>
        <v>0.43051012846917308</v>
      </c>
      <c r="AO3" s="911"/>
      <c r="AP3" s="540" t="s">
        <v>1887</v>
      </c>
      <c r="AQ3" s="261"/>
      <c r="AR3" s="261"/>
      <c r="AS3" s="261"/>
      <c r="AT3" s="1134"/>
      <c r="AU3" s="261"/>
      <c r="AV3" s="261"/>
    </row>
    <row r="4" spans="1:125" ht="78" customHeight="1" thickBot="1" x14ac:dyDescent="0.4">
      <c r="A4" s="155"/>
      <c r="B4" s="1561" t="s">
        <v>1802</v>
      </c>
      <c r="C4" s="1571"/>
      <c r="D4" s="216"/>
      <c r="E4" s="158">
        <v>0.2</v>
      </c>
      <c r="F4" s="159">
        <f>+E4*AF4</f>
        <v>0.13357444827586207</v>
      </c>
      <c r="G4" s="217"/>
      <c r="H4" s="159">
        <f>+E4*AG4</f>
        <v>0.14020864041867956</v>
      </c>
      <c r="I4" s="159">
        <f>+E4*AH4</f>
        <v>4.2281557108108325E-2</v>
      </c>
      <c r="J4" s="161">
        <f t="shared" ref="J4:O4" si="0">+(J5+J22)/2</f>
        <v>0.17442942942942941</v>
      </c>
      <c r="K4" s="161">
        <f t="shared" si="0"/>
        <v>0.23004504504504508</v>
      </c>
      <c r="L4" s="161">
        <f t="shared" si="0"/>
        <v>0.36019220779220779</v>
      </c>
      <c r="M4" s="162">
        <f t="shared" si="0"/>
        <v>0.18726443243243246</v>
      </c>
      <c r="N4" s="162">
        <f t="shared" si="0"/>
        <v>0.24209005405405412</v>
      </c>
      <c r="O4" s="162">
        <f t="shared" si="0"/>
        <v>0</v>
      </c>
      <c r="P4" s="218"/>
      <c r="Q4" s="218"/>
      <c r="R4" s="218"/>
      <c r="S4" s="218"/>
      <c r="T4" s="218"/>
      <c r="U4" s="218"/>
      <c r="V4" s="218"/>
      <c r="W4" s="218"/>
      <c r="X4" s="218"/>
      <c r="Y4" s="218"/>
      <c r="Z4" s="218"/>
      <c r="AA4" s="218"/>
      <c r="AB4" s="218"/>
      <c r="AC4" s="161">
        <f>+(AC5+AC22)/2</f>
        <v>0.95366379310344829</v>
      </c>
      <c r="AD4" s="161">
        <f>+(AD5+AD22)/2</f>
        <v>0.92518035426731082</v>
      </c>
      <c r="AE4" s="161">
        <f>+(AE5+AE22)/2</f>
        <v>0.17507481639349209</v>
      </c>
      <c r="AF4" s="162">
        <f>+AF5+AF22</f>
        <v>0.66787224137931034</v>
      </c>
      <c r="AG4" s="162">
        <f>+AG5+AG22</f>
        <v>0.70104320209339777</v>
      </c>
      <c r="AH4" s="162">
        <f>+AH5+AH22</f>
        <v>0.21140778554054163</v>
      </c>
      <c r="AI4" s="219">
        <f>(AI5+AI22)/2</f>
        <v>0.23386643243243244</v>
      </c>
      <c r="AJ4" s="219">
        <v>0.45684270833333329</v>
      </c>
      <c r="AK4" s="219">
        <f>(AK5+AK22)/2</f>
        <v>0.47285980158730168</v>
      </c>
      <c r="AL4" s="220">
        <f>+AL5+AL22</f>
        <v>0.22782968756756758</v>
      </c>
      <c r="AM4" s="220">
        <f>+AM5*E5+AM22*E22</f>
        <v>0.54951656666666659</v>
      </c>
      <c r="AN4" s="220">
        <f>+AN5*E5+AN22*E22</f>
        <v>0.57415549466666671</v>
      </c>
      <c r="AO4" s="912"/>
      <c r="AP4" s="535"/>
      <c r="AQ4" s="535"/>
      <c r="AR4" s="535"/>
      <c r="AS4" s="535"/>
      <c r="AT4" s="1135"/>
      <c r="AU4" s="535"/>
      <c r="AV4" s="535"/>
    </row>
    <row r="5" spans="1:125" ht="57" customHeight="1" thickBot="1" x14ac:dyDescent="0.4">
      <c r="A5" s="155"/>
      <c r="B5" s="1557" t="s">
        <v>1803</v>
      </c>
      <c r="C5" s="1571"/>
      <c r="D5" s="216"/>
      <c r="E5" s="221">
        <v>0.7</v>
      </c>
      <c r="F5" s="168"/>
      <c r="G5" s="168"/>
      <c r="H5" s="168"/>
      <c r="I5" s="168"/>
      <c r="J5" s="169">
        <f>+AVERAGE(J6:J21)</f>
        <v>0.21777777777777776</v>
      </c>
      <c r="K5" s="169">
        <f>+AVERAGE(K6:K21)</f>
        <v>0.27000000000000007</v>
      </c>
      <c r="L5" s="169">
        <f>+AVERAGE(L6:L21)</f>
        <v>0.31265714285714286</v>
      </c>
      <c r="M5" s="169">
        <f>+M6+M7+M8+M9+M10+M11+M12+M13+M14+M15+M16+M17+M18+M19+M20+M21</f>
        <v>0.28966400000000003</v>
      </c>
      <c r="N5" s="169">
        <f>+N6+N7+N8+N9+N10+N11+N12+N13+N14+N15+N16+N17+N18+N19+N20+N21</f>
        <v>0.31607200000000013</v>
      </c>
      <c r="O5" s="169">
        <f>+O6+O7+O8+O9+O10+O11+O12+O13+O14+O15+O16+O17+O18+O19+O20+O21</f>
        <v>0</v>
      </c>
      <c r="P5" s="168"/>
      <c r="Q5" s="168"/>
      <c r="R5" s="168"/>
      <c r="S5" s="168"/>
      <c r="T5" s="168"/>
      <c r="U5" s="168"/>
      <c r="V5" s="168"/>
      <c r="W5" s="168"/>
      <c r="X5" s="168"/>
      <c r="Y5" s="168"/>
      <c r="Z5" s="168"/>
      <c r="AA5" s="168"/>
      <c r="AB5" s="168"/>
      <c r="AC5" s="192">
        <f>+AVERAGE(AC6:AC21)</f>
        <v>0.90732758620689657</v>
      </c>
      <c r="AD5" s="192">
        <f>+AVERAGE(AD6:AD21)</f>
        <v>0.85036070853462165</v>
      </c>
      <c r="AE5" s="192">
        <f>+AVERAGE(AE6:AE21)</f>
        <v>9.9565713033897774E-2</v>
      </c>
      <c r="AF5" s="192">
        <f>+(AF6+AF7+AF8+AF9+AF10+AF11+AF12+AF13+AF14+AF15+AF16+AF17+AF18+AF19+AF20+AF21)*E5</f>
        <v>0.48787224137931029</v>
      </c>
      <c r="AG5" s="192">
        <f>+(AG6+AG7+AG8+AG9+AG10+AG11+AG12+AG13+AG14+AG15+AG16+AG17+AG18+AG19+AG20+AG21)*E5</f>
        <v>0.52104320209339772</v>
      </c>
      <c r="AH5" s="192">
        <f>+(AH6+AH7+AH8+AH9+AH10+AH11+AH12+AH13+AH14+AH15+AH16+AH17+AH18+AH19+AH20+AH21)*E5</f>
        <v>0.12675312998498606</v>
      </c>
      <c r="AI5" s="169">
        <f>+AVERAGE(AI6:AI21)</f>
        <v>0.22375</v>
      </c>
      <c r="AJ5" s="169">
        <v>0.34278541666666668</v>
      </c>
      <c r="AK5" s="169">
        <f>+AVERAGE(AK6:AK21)</f>
        <v>0.36656960317460324</v>
      </c>
      <c r="AL5" s="222">
        <f>+(AL6+AL7+AL8+AL9+AL10+AL11+AL12+AL13+AL14+AL15+AL16+AL17+AL18+AL19+AL20+AL21)*E5</f>
        <v>0.17677380000000001</v>
      </c>
      <c r="AM5" s="222">
        <f>+(AM6+AM7+AM8+AM9+AM10+AM11+AM12+AM13+AM14+AM15+AM16+AM17+AM18+AM19+AM20+AM21)</f>
        <v>0.55102366666666669</v>
      </c>
      <c r="AN5" s="222">
        <f>+(AN6+AN7+AN8+AN9+AN10+AN11+AN12+AN13+AN14+AN15+AN16+AN17+AN18+AN19+AN20+AN21)</f>
        <v>0.58407927809523807</v>
      </c>
      <c r="AO5" s="913"/>
      <c r="AP5" s="535"/>
      <c r="AQ5" s="535"/>
      <c r="AR5" s="535"/>
      <c r="AS5" s="535"/>
      <c r="AT5" s="1135"/>
      <c r="AU5" s="535"/>
      <c r="AV5" s="535"/>
    </row>
    <row r="6" spans="1:125" ht="105.6" customHeight="1" thickBot="1" x14ac:dyDescent="0.4">
      <c r="A6" s="155"/>
      <c r="B6" s="181" t="s">
        <v>799</v>
      </c>
      <c r="C6" s="235" t="s">
        <v>1262</v>
      </c>
      <c r="D6" s="224" t="s">
        <v>560</v>
      </c>
      <c r="E6" s="225">
        <v>0.5</v>
      </c>
      <c r="F6" s="226">
        <v>1</v>
      </c>
      <c r="G6" s="170">
        <v>0.28999999999999998</v>
      </c>
      <c r="H6" s="170">
        <v>0.46</v>
      </c>
      <c r="I6" s="170">
        <v>0.19700000000000001</v>
      </c>
      <c r="J6" s="176">
        <f t="shared" ref="J6:J18" si="1">+G6/F6</f>
        <v>0.28999999999999998</v>
      </c>
      <c r="K6" s="176">
        <f>+H6/F6</f>
        <v>0.46</v>
      </c>
      <c r="L6" s="176">
        <f>+I6/F6</f>
        <v>0.19700000000000001</v>
      </c>
      <c r="M6" s="176">
        <f>+(G6/F6)*E6</f>
        <v>0.14499999999999999</v>
      </c>
      <c r="N6" s="176">
        <f>+(H6/F6)*E6</f>
        <v>0.23</v>
      </c>
      <c r="O6" s="176"/>
      <c r="P6" s="170">
        <v>0.22</v>
      </c>
      <c r="Q6" s="541">
        <v>0.14299999999999999</v>
      </c>
      <c r="R6" s="541">
        <v>0.124</v>
      </c>
      <c r="S6" s="541">
        <v>3.9300000000000002E-2</v>
      </c>
      <c r="T6" s="541">
        <v>0.1066</v>
      </c>
      <c r="U6" s="541">
        <v>0.01</v>
      </c>
      <c r="V6" s="170">
        <f>+Q6+R6+S6+T6+U6</f>
        <v>0.42290000000000005</v>
      </c>
      <c r="W6" s="170">
        <f>+V6+P6+AB6</f>
        <v>0.69934000000000007</v>
      </c>
      <c r="X6" s="541">
        <v>5.6439999999999997E-2</v>
      </c>
      <c r="Y6" s="170"/>
      <c r="Z6" s="170"/>
      <c r="AA6" s="170"/>
      <c r="AB6" s="170">
        <f>+X6+Y6+Z6+AA6</f>
        <v>5.6439999999999997E-2</v>
      </c>
      <c r="AC6" s="194">
        <f>+(P6/G6)</f>
        <v>0.75862068965517249</v>
      </c>
      <c r="AD6" s="194">
        <f>+V6/H6</f>
        <v>0.91934782608695664</v>
      </c>
      <c r="AE6" s="194">
        <f>+AB6/I6</f>
        <v>0.28649746192893399</v>
      </c>
      <c r="AF6" s="194">
        <f>+AC6*E6</f>
        <v>0.37931034482758624</v>
      </c>
      <c r="AG6" s="194">
        <f>+AD6*E6</f>
        <v>0.45967391304347832</v>
      </c>
      <c r="AH6" s="194">
        <f>+AE6*E6</f>
        <v>0.143248730964467</v>
      </c>
      <c r="AI6" s="194">
        <f>+P6/F6</f>
        <v>0.22</v>
      </c>
      <c r="AJ6" s="230">
        <v>0.64290000000000003</v>
      </c>
      <c r="AK6" s="230">
        <f>+W6/F6</f>
        <v>0.69934000000000007</v>
      </c>
      <c r="AL6" s="227">
        <f>+AI6*E6</f>
        <v>0.11</v>
      </c>
      <c r="AM6" s="227">
        <f>+AJ6*E6</f>
        <v>0.32145000000000001</v>
      </c>
      <c r="AN6" s="230">
        <f>+AK6*E6</f>
        <v>0.34967000000000004</v>
      </c>
      <c r="AO6" s="566" t="s">
        <v>1850</v>
      </c>
      <c r="AP6" s="572" t="s">
        <v>1901</v>
      </c>
      <c r="AQ6" s="567" t="s">
        <v>2268</v>
      </c>
      <c r="AR6" s="567" t="s">
        <v>2288</v>
      </c>
      <c r="AS6" s="567" t="s">
        <v>2403</v>
      </c>
      <c r="AT6" s="1136" t="s">
        <v>2436</v>
      </c>
      <c r="AU6" s="567" t="s">
        <v>2496</v>
      </c>
      <c r="AV6" s="567" t="s">
        <v>1893</v>
      </c>
    </row>
    <row r="7" spans="1:125" ht="133.19999999999999" customHeight="1" thickBot="1" x14ac:dyDescent="0.4">
      <c r="A7" s="155"/>
      <c r="B7" s="181" t="s">
        <v>800</v>
      </c>
      <c r="C7" s="235" t="s">
        <v>1263</v>
      </c>
      <c r="D7" s="224" t="s">
        <v>560</v>
      </c>
      <c r="E7" s="228">
        <v>0.2</v>
      </c>
      <c r="F7" s="226">
        <v>1</v>
      </c>
      <c r="G7" s="170">
        <v>0.61</v>
      </c>
      <c r="H7" s="170">
        <v>0.27</v>
      </c>
      <c r="I7" s="170">
        <v>0.1</v>
      </c>
      <c r="J7" s="176">
        <f t="shared" si="1"/>
        <v>0.61</v>
      </c>
      <c r="K7" s="176">
        <f t="shared" ref="K7:K25" si="2">+H7/F7</f>
        <v>0.27</v>
      </c>
      <c r="L7" s="176">
        <f t="shared" ref="L7:L25" si="3">+I7/F7</f>
        <v>0.1</v>
      </c>
      <c r="M7" s="176">
        <f t="shared" ref="M7:M18" si="4">+(G7/F7)*E7</f>
        <v>0.122</v>
      </c>
      <c r="N7" s="176">
        <f t="shared" ref="N7:N25" si="5">+(H7/F7)*E7</f>
        <v>5.4000000000000006E-2</v>
      </c>
      <c r="O7" s="176"/>
      <c r="P7" s="170">
        <v>0.61</v>
      </c>
      <c r="Q7" s="541">
        <v>0.09</v>
      </c>
      <c r="R7" s="541">
        <v>0.11</v>
      </c>
      <c r="S7" s="541">
        <v>0.02</v>
      </c>
      <c r="T7" s="541">
        <v>0.01</v>
      </c>
      <c r="U7" s="541">
        <v>0.02</v>
      </c>
      <c r="V7" s="170">
        <f t="shared" ref="V7:V70" si="6">+Q7+R7+S7+T7+U7</f>
        <v>0.25</v>
      </c>
      <c r="W7" s="170">
        <f t="shared" ref="W7:W25" si="7">+V7+P7+AB7</f>
        <v>0.86899999999999999</v>
      </c>
      <c r="X7" s="541">
        <v>8.9999999999999993E-3</v>
      </c>
      <c r="Y7" s="170"/>
      <c r="Z7" s="170"/>
      <c r="AA7" s="170"/>
      <c r="AB7" s="170">
        <f t="shared" ref="AB7:AB25" si="8">+X7+Y7+Z7+AA7</f>
        <v>8.9999999999999993E-3</v>
      </c>
      <c r="AC7" s="176">
        <f>+(P7/G7)</f>
        <v>1</v>
      </c>
      <c r="AD7" s="194">
        <f>+V7/H7</f>
        <v>0.92592592592592582</v>
      </c>
      <c r="AE7" s="194">
        <f t="shared" ref="AE7:AE20" si="9">+AB7/I7</f>
        <v>8.9999999999999983E-2</v>
      </c>
      <c r="AF7" s="194">
        <f>+AC7*E7</f>
        <v>0.2</v>
      </c>
      <c r="AG7" s="194">
        <f>+AD7*E7</f>
        <v>0.18518518518518517</v>
      </c>
      <c r="AH7" s="194">
        <f t="shared" ref="AH7:AH20" si="10">+AE7*E7</f>
        <v>1.7999999999999999E-2</v>
      </c>
      <c r="AI7" s="194">
        <f>+P7/F7</f>
        <v>0.61</v>
      </c>
      <c r="AJ7" s="230">
        <v>0.86</v>
      </c>
      <c r="AK7" s="230">
        <f t="shared" ref="AK7:AK25" si="11">+W7/F7</f>
        <v>0.86899999999999999</v>
      </c>
      <c r="AL7" s="227">
        <f>+AI7*E7</f>
        <v>0.122</v>
      </c>
      <c r="AM7" s="227">
        <f>+AJ7*E7</f>
        <v>0.17200000000000001</v>
      </c>
      <c r="AN7" s="230">
        <f t="shared" ref="AN7:AN25" si="12">+AK7*E7</f>
        <v>0.17380000000000001</v>
      </c>
      <c r="AO7" s="566" t="s">
        <v>1850</v>
      </c>
      <c r="AP7" s="572" t="s">
        <v>1901</v>
      </c>
      <c r="AQ7" s="567" t="s">
        <v>2268</v>
      </c>
      <c r="AR7" s="567" t="s">
        <v>2288</v>
      </c>
      <c r="AS7" s="567" t="s">
        <v>2403</v>
      </c>
      <c r="AT7" s="1137" t="s">
        <v>1865</v>
      </c>
      <c r="AU7" s="567" t="s">
        <v>2496</v>
      </c>
      <c r="AV7" s="567" t="s">
        <v>1893</v>
      </c>
    </row>
    <row r="8" spans="1:125" ht="90" customHeight="1" thickBot="1" x14ac:dyDescent="0.4">
      <c r="A8" s="155"/>
      <c r="B8" s="181" t="s">
        <v>801</v>
      </c>
      <c r="C8" s="235" t="s">
        <v>1264</v>
      </c>
      <c r="D8" s="224" t="s">
        <v>802</v>
      </c>
      <c r="E8" s="229">
        <v>2.1999999999999999E-2</v>
      </c>
      <c r="F8" s="226">
        <v>1</v>
      </c>
      <c r="G8" s="170">
        <v>0</v>
      </c>
      <c r="H8" s="170">
        <v>0</v>
      </c>
      <c r="I8" s="170">
        <v>0.4</v>
      </c>
      <c r="J8" s="176"/>
      <c r="K8" s="176"/>
      <c r="L8" s="176">
        <f t="shared" si="3"/>
        <v>0.4</v>
      </c>
      <c r="M8" s="176"/>
      <c r="N8" s="176">
        <f t="shared" si="5"/>
        <v>0</v>
      </c>
      <c r="O8" s="176"/>
      <c r="P8" s="170"/>
      <c r="Q8" s="541"/>
      <c r="R8" s="541"/>
      <c r="S8" s="541"/>
      <c r="T8" s="541"/>
      <c r="U8" s="541"/>
      <c r="V8" s="170">
        <f t="shared" si="6"/>
        <v>0</v>
      </c>
      <c r="W8" s="170">
        <f t="shared" si="7"/>
        <v>0.1278</v>
      </c>
      <c r="X8" s="541">
        <v>0.1278</v>
      </c>
      <c r="Y8" s="170"/>
      <c r="Z8" s="170"/>
      <c r="AA8" s="170"/>
      <c r="AB8" s="170">
        <f t="shared" si="8"/>
        <v>0.1278</v>
      </c>
      <c r="AC8" s="177"/>
      <c r="AD8" s="176"/>
      <c r="AE8" s="194">
        <f t="shared" si="9"/>
        <v>0.31949999999999995</v>
      </c>
      <c r="AF8" s="194"/>
      <c r="AG8" s="194"/>
      <c r="AH8" s="194">
        <f t="shared" si="10"/>
        <v>7.0289999999999988E-3</v>
      </c>
      <c r="AI8" s="194"/>
      <c r="AJ8" s="230"/>
      <c r="AK8" s="230">
        <f t="shared" si="11"/>
        <v>0.1278</v>
      </c>
      <c r="AL8" s="227">
        <v>0</v>
      </c>
      <c r="AM8" s="227">
        <v>0</v>
      </c>
      <c r="AN8" s="230">
        <f t="shared" si="12"/>
        <v>2.8115999999999996E-3</v>
      </c>
      <c r="AO8" s="566" t="s">
        <v>1850</v>
      </c>
      <c r="AP8" s="572" t="s">
        <v>1901</v>
      </c>
      <c r="AQ8" s="567" t="s">
        <v>2268</v>
      </c>
      <c r="AR8" s="567" t="s">
        <v>2288</v>
      </c>
      <c r="AS8" s="567" t="s">
        <v>2403</v>
      </c>
      <c r="AT8" s="1137" t="s">
        <v>1865</v>
      </c>
      <c r="AU8" s="567" t="s">
        <v>2496</v>
      </c>
      <c r="AV8" s="567" t="s">
        <v>1893</v>
      </c>
    </row>
    <row r="9" spans="1:125" ht="81" customHeight="1" thickBot="1" x14ac:dyDescent="0.4">
      <c r="A9" s="155"/>
      <c r="B9" s="181" t="s">
        <v>803</v>
      </c>
      <c r="C9" s="235" t="s">
        <v>1265</v>
      </c>
      <c r="D9" s="224" t="s">
        <v>560</v>
      </c>
      <c r="E9" s="229">
        <v>2.1399999999999999E-2</v>
      </c>
      <c r="F9" s="226">
        <v>1</v>
      </c>
      <c r="G9" s="170">
        <v>0</v>
      </c>
      <c r="H9" s="170">
        <v>0</v>
      </c>
      <c r="I9" s="170">
        <v>0.4</v>
      </c>
      <c r="J9" s="176"/>
      <c r="K9" s="176"/>
      <c r="L9" s="176">
        <f t="shared" si="3"/>
        <v>0.4</v>
      </c>
      <c r="M9" s="176"/>
      <c r="N9" s="176">
        <f t="shared" si="5"/>
        <v>0</v>
      </c>
      <c r="O9" s="176"/>
      <c r="P9" s="170"/>
      <c r="Q9" s="541"/>
      <c r="R9" s="541"/>
      <c r="S9" s="541"/>
      <c r="T9" s="541"/>
      <c r="U9" s="541"/>
      <c r="V9" s="170">
        <f>+Q9+R9+S9+T9+U9</f>
        <v>0</v>
      </c>
      <c r="W9" s="170">
        <f t="shared" si="7"/>
        <v>0</v>
      </c>
      <c r="X9" s="541">
        <v>0</v>
      </c>
      <c r="Y9" s="170"/>
      <c r="Z9" s="170"/>
      <c r="AA9" s="170"/>
      <c r="AB9" s="170">
        <f t="shared" si="8"/>
        <v>0</v>
      </c>
      <c r="AC9" s="177"/>
      <c r="AD9" s="176"/>
      <c r="AE9" s="194">
        <f t="shared" si="9"/>
        <v>0</v>
      </c>
      <c r="AF9" s="194"/>
      <c r="AG9" s="194"/>
      <c r="AH9" s="194">
        <f t="shared" si="10"/>
        <v>0</v>
      </c>
      <c r="AI9" s="194"/>
      <c r="AJ9" s="230"/>
      <c r="AK9" s="230"/>
      <c r="AL9" s="227">
        <v>0</v>
      </c>
      <c r="AM9" s="227">
        <v>0</v>
      </c>
      <c r="AN9" s="230">
        <f t="shared" si="12"/>
        <v>0</v>
      </c>
      <c r="AO9" s="566" t="s">
        <v>1850</v>
      </c>
      <c r="AP9" s="572" t="s">
        <v>1901</v>
      </c>
      <c r="AQ9" s="567" t="s">
        <v>2268</v>
      </c>
      <c r="AR9" s="567" t="s">
        <v>2288</v>
      </c>
      <c r="AS9" s="567" t="s">
        <v>2403</v>
      </c>
      <c r="AT9" s="1137" t="s">
        <v>1865</v>
      </c>
      <c r="AU9" s="567" t="s">
        <v>2496</v>
      </c>
      <c r="AV9" s="567" t="s">
        <v>1893</v>
      </c>
    </row>
    <row r="10" spans="1:125" ht="127.8" customHeight="1" thickBot="1" x14ac:dyDescent="0.4">
      <c r="A10" s="155"/>
      <c r="B10" s="181" t="s">
        <v>804</v>
      </c>
      <c r="C10" s="235" t="s">
        <v>1266</v>
      </c>
      <c r="D10" s="224" t="s">
        <v>560</v>
      </c>
      <c r="E10" s="229">
        <v>2.1399999999999999E-2</v>
      </c>
      <c r="F10" s="226">
        <v>1</v>
      </c>
      <c r="G10" s="170">
        <v>0</v>
      </c>
      <c r="H10" s="170">
        <v>0</v>
      </c>
      <c r="I10" s="170">
        <v>0.4</v>
      </c>
      <c r="J10" s="176"/>
      <c r="K10" s="176"/>
      <c r="L10" s="176">
        <f t="shared" si="3"/>
        <v>0.4</v>
      </c>
      <c r="M10" s="176"/>
      <c r="N10" s="176">
        <f t="shared" si="5"/>
        <v>0</v>
      </c>
      <c r="O10" s="176"/>
      <c r="P10" s="170"/>
      <c r="Q10" s="541"/>
      <c r="R10" s="541"/>
      <c r="S10" s="541"/>
      <c r="T10" s="541"/>
      <c r="U10" s="541"/>
      <c r="V10" s="170">
        <f t="shared" si="6"/>
        <v>0</v>
      </c>
      <c r="W10" s="170">
        <f t="shared" si="7"/>
        <v>0</v>
      </c>
      <c r="X10" s="541">
        <v>0</v>
      </c>
      <c r="Y10" s="170"/>
      <c r="Z10" s="170"/>
      <c r="AA10" s="170"/>
      <c r="AB10" s="170">
        <f t="shared" si="8"/>
        <v>0</v>
      </c>
      <c r="AC10" s="177"/>
      <c r="AD10" s="176"/>
      <c r="AE10" s="194">
        <f t="shared" si="9"/>
        <v>0</v>
      </c>
      <c r="AF10" s="194"/>
      <c r="AG10" s="194"/>
      <c r="AH10" s="194">
        <f t="shared" si="10"/>
        <v>0</v>
      </c>
      <c r="AI10" s="194"/>
      <c r="AJ10" s="230"/>
      <c r="AK10" s="230"/>
      <c r="AL10" s="227">
        <v>0</v>
      </c>
      <c r="AM10" s="227">
        <v>0</v>
      </c>
      <c r="AN10" s="230">
        <f t="shared" si="12"/>
        <v>0</v>
      </c>
      <c r="AO10" s="566" t="s">
        <v>1850</v>
      </c>
      <c r="AP10" s="572" t="s">
        <v>1901</v>
      </c>
      <c r="AQ10" s="567" t="s">
        <v>2268</v>
      </c>
      <c r="AR10" s="567" t="s">
        <v>2288</v>
      </c>
      <c r="AS10" s="567" t="s">
        <v>2403</v>
      </c>
      <c r="AT10" s="1137" t="s">
        <v>1865</v>
      </c>
      <c r="AU10" s="567" t="s">
        <v>2496</v>
      </c>
      <c r="AV10" s="567" t="s">
        <v>1893</v>
      </c>
    </row>
    <row r="11" spans="1:125" ht="115.95" customHeight="1" thickBot="1" x14ac:dyDescent="0.4">
      <c r="A11" s="155"/>
      <c r="B11" s="790" t="s">
        <v>805</v>
      </c>
      <c r="C11" s="791" t="s">
        <v>1267</v>
      </c>
      <c r="D11" s="224" t="s">
        <v>560</v>
      </c>
      <c r="E11" s="229">
        <v>2.1399999999999999E-2</v>
      </c>
      <c r="F11" s="226">
        <v>2</v>
      </c>
      <c r="G11" s="170">
        <v>0</v>
      </c>
      <c r="H11" s="170">
        <v>0</v>
      </c>
      <c r="I11" s="170">
        <v>1</v>
      </c>
      <c r="J11" s="176"/>
      <c r="K11" s="176"/>
      <c r="L11" s="176">
        <f t="shared" si="3"/>
        <v>0.5</v>
      </c>
      <c r="M11" s="176"/>
      <c r="N11" s="176">
        <f t="shared" si="5"/>
        <v>0</v>
      </c>
      <c r="O11" s="176"/>
      <c r="P11" s="170"/>
      <c r="Q11" s="541"/>
      <c r="R11" s="541"/>
      <c r="S11" s="541"/>
      <c r="T11" s="541"/>
      <c r="U11" s="541"/>
      <c r="V11" s="170">
        <f t="shared" si="6"/>
        <v>0</v>
      </c>
      <c r="W11" s="170">
        <f t="shared" si="7"/>
        <v>0</v>
      </c>
      <c r="X11" s="541">
        <v>0</v>
      </c>
      <c r="Y11" s="170"/>
      <c r="Z11" s="170"/>
      <c r="AA11" s="170"/>
      <c r="AB11" s="170">
        <f t="shared" si="8"/>
        <v>0</v>
      </c>
      <c r="AC11" s="177"/>
      <c r="AD11" s="176"/>
      <c r="AE11" s="194"/>
      <c r="AF11" s="194"/>
      <c r="AG11" s="194"/>
      <c r="AH11" s="194"/>
      <c r="AI11" s="194"/>
      <c r="AJ11" s="230"/>
      <c r="AK11" s="230"/>
      <c r="AL11" s="227">
        <v>0</v>
      </c>
      <c r="AM11" s="227">
        <v>0</v>
      </c>
      <c r="AN11" s="230">
        <f t="shared" si="12"/>
        <v>0</v>
      </c>
      <c r="AO11" s="566" t="s">
        <v>1850</v>
      </c>
      <c r="AP11" s="572" t="s">
        <v>1901</v>
      </c>
      <c r="AQ11" s="567" t="s">
        <v>2268</v>
      </c>
      <c r="AR11" s="567" t="s">
        <v>2288</v>
      </c>
      <c r="AS11" s="567" t="s">
        <v>2403</v>
      </c>
      <c r="AT11" s="1137" t="s">
        <v>1865</v>
      </c>
      <c r="AU11" s="567" t="s">
        <v>2496</v>
      </c>
      <c r="AV11" s="1137" t="s">
        <v>1865</v>
      </c>
    </row>
    <row r="12" spans="1:125" ht="94.95" customHeight="1" thickBot="1" x14ac:dyDescent="0.4">
      <c r="A12" s="155"/>
      <c r="B12" s="181" t="s">
        <v>806</v>
      </c>
      <c r="C12" s="235" t="s">
        <v>1268</v>
      </c>
      <c r="D12" s="224" t="s">
        <v>560</v>
      </c>
      <c r="E12" s="229">
        <v>2.1299999999999999E-2</v>
      </c>
      <c r="F12" s="226">
        <v>1</v>
      </c>
      <c r="G12" s="170">
        <v>0</v>
      </c>
      <c r="H12" s="170">
        <v>0.1</v>
      </c>
      <c r="I12" s="170">
        <v>0.5</v>
      </c>
      <c r="J12" s="176"/>
      <c r="K12" s="176">
        <f t="shared" si="2"/>
        <v>0.1</v>
      </c>
      <c r="L12" s="176">
        <f t="shared" si="3"/>
        <v>0.5</v>
      </c>
      <c r="M12" s="176"/>
      <c r="N12" s="176">
        <f t="shared" si="5"/>
        <v>2.1299999999999999E-3</v>
      </c>
      <c r="O12" s="176"/>
      <c r="P12" s="170"/>
      <c r="Q12" s="541"/>
      <c r="R12" s="541"/>
      <c r="S12" s="542">
        <v>0.1</v>
      </c>
      <c r="T12" s="541">
        <v>0</v>
      </c>
      <c r="U12" s="541">
        <v>0</v>
      </c>
      <c r="V12" s="170">
        <f t="shared" si="6"/>
        <v>0.1</v>
      </c>
      <c r="W12" s="170">
        <f t="shared" si="7"/>
        <v>0.1</v>
      </c>
      <c r="X12" s="541">
        <v>0</v>
      </c>
      <c r="Y12" s="170"/>
      <c r="Z12" s="170"/>
      <c r="AA12" s="170"/>
      <c r="AB12" s="170">
        <f t="shared" si="8"/>
        <v>0</v>
      </c>
      <c r="AC12" s="177"/>
      <c r="AD12" s="176">
        <f>+V12/H12</f>
        <v>1</v>
      </c>
      <c r="AE12" s="194">
        <f t="shared" si="9"/>
        <v>0</v>
      </c>
      <c r="AF12" s="194"/>
      <c r="AG12" s="194">
        <f t="shared" ref="AG12:AG18" si="13">+AD12*E12</f>
        <v>2.1299999999999999E-2</v>
      </c>
      <c r="AH12" s="194">
        <f t="shared" si="10"/>
        <v>0</v>
      </c>
      <c r="AI12" s="194"/>
      <c r="AJ12" s="230">
        <v>0.1</v>
      </c>
      <c r="AK12" s="230">
        <f t="shared" si="11"/>
        <v>0.1</v>
      </c>
      <c r="AL12" s="227">
        <v>0</v>
      </c>
      <c r="AM12" s="227">
        <v>0</v>
      </c>
      <c r="AN12" s="230">
        <f>+AK12*E12</f>
        <v>2.1299999999999999E-3</v>
      </c>
      <c r="AO12" s="566" t="s">
        <v>1850</v>
      </c>
      <c r="AP12" s="572" t="s">
        <v>1901</v>
      </c>
      <c r="AQ12" s="567" t="s">
        <v>2268</v>
      </c>
      <c r="AR12" s="567" t="s">
        <v>2288</v>
      </c>
      <c r="AS12" s="687" t="s">
        <v>2370</v>
      </c>
      <c r="AT12" s="1137" t="s">
        <v>1865</v>
      </c>
      <c r="AU12" s="567" t="s">
        <v>2496</v>
      </c>
      <c r="AV12" s="567" t="s">
        <v>1893</v>
      </c>
    </row>
    <row r="13" spans="1:125" ht="69.599999999999994" customHeight="1" thickBot="1" x14ac:dyDescent="0.4">
      <c r="A13" s="155"/>
      <c r="B13" s="181" t="s">
        <v>807</v>
      </c>
      <c r="C13" s="235" t="s">
        <v>1269</v>
      </c>
      <c r="D13" s="224" t="s">
        <v>560</v>
      </c>
      <c r="E13" s="229">
        <v>2.1299999999999999E-2</v>
      </c>
      <c r="F13" s="226">
        <v>1</v>
      </c>
      <c r="G13" s="170">
        <v>0.2</v>
      </c>
      <c r="H13" s="170">
        <v>0.18</v>
      </c>
      <c r="I13" s="170">
        <v>0.3</v>
      </c>
      <c r="J13" s="176">
        <f t="shared" si="1"/>
        <v>0.2</v>
      </c>
      <c r="K13" s="176">
        <f t="shared" si="2"/>
        <v>0.18</v>
      </c>
      <c r="L13" s="176">
        <f t="shared" si="3"/>
        <v>0.3</v>
      </c>
      <c r="M13" s="176">
        <f t="shared" si="4"/>
        <v>4.2599999999999999E-3</v>
      </c>
      <c r="N13" s="176">
        <f t="shared" si="5"/>
        <v>3.8339999999999997E-3</v>
      </c>
      <c r="O13" s="176"/>
      <c r="P13" s="170">
        <v>0.1</v>
      </c>
      <c r="Q13" s="575">
        <v>0.02</v>
      </c>
      <c r="R13" s="575">
        <v>2.33333333333333E-2</v>
      </c>
      <c r="S13" s="542">
        <v>9.6666666666666706E-2</v>
      </c>
      <c r="T13" s="542">
        <v>0.02</v>
      </c>
      <c r="U13" s="542">
        <v>0.02</v>
      </c>
      <c r="V13" s="206">
        <f t="shared" si="6"/>
        <v>0.18</v>
      </c>
      <c r="W13" s="170">
        <f t="shared" si="7"/>
        <v>0.30000000000000004</v>
      </c>
      <c r="X13" s="542">
        <v>0.02</v>
      </c>
      <c r="Y13" s="206"/>
      <c r="Z13" s="206"/>
      <c r="AA13" s="206"/>
      <c r="AB13" s="170">
        <f t="shared" si="8"/>
        <v>0.02</v>
      </c>
      <c r="AC13" s="176">
        <f t="shared" ref="AC13:AC18" si="14">+(P13/G13)</f>
        <v>0.5</v>
      </c>
      <c r="AD13" s="176">
        <f>+V13/H13</f>
        <v>1</v>
      </c>
      <c r="AE13" s="194">
        <f t="shared" si="9"/>
        <v>6.6666666666666666E-2</v>
      </c>
      <c r="AF13" s="194">
        <f t="shared" ref="AF13:AF18" si="15">+AC13*E13</f>
        <v>1.065E-2</v>
      </c>
      <c r="AG13" s="194">
        <f t="shared" si="13"/>
        <v>2.1299999999999999E-2</v>
      </c>
      <c r="AH13" s="194">
        <f t="shared" si="10"/>
        <v>1.42E-3</v>
      </c>
      <c r="AI13" s="194">
        <f t="shared" ref="AI13:AI18" si="16">+P13/F13</f>
        <v>0.1</v>
      </c>
      <c r="AJ13" s="230">
        <v>0.28000000000000003</v>
      </c>
      <c r="AK13" s="230">
        <f t="shared" si="11"/>
        <v>0.30000000000000004</v>
      </c>
      <c r="AL13" s="230">
        <f t="shared" ref="AL13:AL18" si="17">+AI13*E13</f>
        <v>2.1299999999999999E-3</v>
      </c>
      <c r="AM13" s="230">
        <f t="shared" ref="AM13:AM21" si="18">+AJ13*E13</f>
        <v>5.9640000000000006E-3</v>
      </c>
      <c r="AN13" s="230">
        <f t="shared" si="12"/>
        <v>6.3900000000000007E-3</v>
      </c>
      <c r="AO13" s="566" t="s">
        <v>1850</v>
      </c>
      <c r="AP13" s="572" t="s">
        <v>1901</v>
      </c>
      <c r="AQ13" s="567" t="s">
        <v>2268</v>
      </c>
      <c r="AR13" s="567" t="s">
        <v>2288</v>
      </c>
      <c r="AS13" s="567" t="s">
        <v>2403</v>
      </c>
      <c r="AT13" s="1137" t="s">
        <v>1865</v>
      </c>
      <c r="AU13" s="567" t="s">
        <v>2496</v>
      </c>
      <c r="AV13" s="567" t="s">
        <v>1893</v>
      </c>
    </row>
    <row r="14" spans="1:125" ht="66" customHeight="1" thickBot="1" x14ac:dyDescent="0.4">
      <c r="A14" s="155"/>
      <c r="B14" s="790" t="s">
        <v>808</v>
      </c>
      <c r="C14" s="791" t="s">
        <v>1270</v>
      </c>
      <c r="D14" s="224" t="s">
        <v>560</v>
      </c>
      <c r="E14" s="229">
        <v>2.1399999999999999E-2</v>
      </c>
      <c r="F14" s="226">
        <v>2</v>
      </c>
      <c r="G14" s="170">
        <v>0.2</v>
      </c>
      <c r="H14" s="170">
        <v>0.4</v>
      </c>
      <c r="I14" s="170">
        <v>0.36</v>
      </c>
      <c r="J14" s="176">
        <f t="shared" si="1"/>
        <v>0.1</v>
      </c>
      <c r="K14" s="176">
        <v>0.4</v>
      </c>
      <c r="L14" s="176">
        <f t="shared" si="3"/>
        <v>0.18</v>
      </c>
      <c r="M14" s="176">
        <f t="shared" si="4"/>
        <v>2.14E-3</v>
      </c>
      <c r="N14" s="176">
        <f t="shared" si="5"/>
        <v>4.28E-3</v>
      </c>
      <c r="O14" s="176"/>
      <c r="P14" s="170">
        <v>0.2</v>
      </c>
      <c r="Q14" s="575">
        <v>0.05</v>
      </c>
      <c r="R14" s="575">
        <v>0.06</v>
      </c>
      <c r="S14" s="575">
        <v>8.3333333333333301E-2</v>
      </c>
      <c r="T14" s="575">
        <v>3.3300000000000003E-2</v>
      </c>
      <c r="U14" s="575">
        <v>3.6700000000000003E-2</v>
      </c>
      <c r="V14" s="206">
        <f t="shared" si="6"/>
        <v>0.26333333333333331</v>
      </c>
      <c r="W14" s="170">
        <f t="shared" si="7"/>
        <v>0.46333333333333332</v>
      </c>
      <c r="X14" s="542">
        <v>0</v>
      </c>
      <c r="Y14" s="206"/>
      <c r="Z14" s="206"/>
      <c r="AA14" s="206"/>
      <c r="AB14" s="170">
        <f t="shared" si="8"/>
        <v>0</v>
      </c>
      <c r="AC14" s="176">
        <f t="shared" si="14"/>
        <v>1</v>
      </c>
      <c r="AD14" s="176">
        <f>+V14/H14</f>
        <v>0.65833333333333321</v>
      </c>
      <c r="AE14" s="194"/>
      <c r="AF14" s="194">
        <f t="shared" si="15"/>
        <v>2.1399999999999999E-2</v>
      </c>
      <c r="AG14" s="194">
        <f t="shared" si="13"/>
        <v>1.4088333333333329E-2</v>
      </c>
      <c r="AH14" s="194">
        <f t="shared" si="10"/>
        <v>0</v>
      </c>
      <c r="AI14" s="194">
        <f t="shared" si="16"/>
        <v>0.1</v>
      </c>
      <c r="AJ14" s="230">
        <v>0.23166666666666666</v>
      </c>
      <c r="AK14" s="230">
        <f t="shared" si="11"/>
        <v>0.23166666666666666</v>
      </c>
      <c r="AL14" s="230">
        <f t="shared" si="17"/>
        <v>2.14E-3</v>
      </c>
      <c r="AM14" s="230">
        <f t="shared" si="18"/>
        <v>4.9576666666666666E-3</v>
      </c>
      <c r="AN14" s="230">
        <f t="shared" si="12"/>
        <v>4.9576666666666666E-3</v>
      </c>
      <c r="AO14" s="566" t="s">
        <v>1850</v>
      </c>
      <c r="AP14" s="572" t="s">
        <v>1901</v>
      </c>
      <c r="AQ14" s="567" t="s">
        <v>2268</v>
      </c>
      <c r="AR14" s="567" t="s">
        <v>2288</v>
      </c>
      <c r="AS14" s="567" t="s">
        <v>2403</v>
      </c>
      <c r="AT14" s="1137" t="s">
        <v>1865</v>
      </c>
      <c r="AU14" s="567" t="s">
        <v>2496</v>
      </c>
      <c r="AV14" s="1137" t="s">
        <v>1865</v>
      </c>
    </row>
    <row r="15" spans="1:125" ht="127.2" customHeight="1" thickBot="1" x14ac:dyDescent="0.4">
      <c r="A15" s="155"/>
      <c r="B15" s="181" t="s">
        <v>809</v>
      </c>
      <c r="C15" s="235" t="s">
        <v>1271</v>
      </c>
      <c r="D15" s="224" t="s">
        <v>560</v>
      </c>
      <c r="E15" s="229">
        <v>2.1399999999999999E-2</v>
      </c>
      <c r="F15" s="226">
        <v>1</v>
      </c>
      <c r="G15" s="170">
        <v>0.2</v>
      </c>
      <c r="H15" s="170">
        <v>0</v>
      </c>
      <c r="I15" s="170">
        <v>0.2</v>
      </c>
      <c r="J15" s="176">
        <f t="shared" si="1"/>
        <v>0.2</v>
      </c>
      <c r="K15" s="176"/>
      <c r="L15" s="176">
        <f t="shared" si="3"/>
        <v>0.2</v>
      </c>
      <c r="M15" s="176">
        <f t="shared" si="4"/>
        <v>4.28E-3</v>
      </c>
      <c r="N15" s="176">
        <f t="shared" si="5"/>
        <v>0</v>
      </c>
      <c r="O15" s="176"/>
      <c r="P15" s="170">
        <v>0.2</v>
      </c>
      <c r="Q15" s="541"/>
      <c r="R15" s="541"/>
      <c r="S15" s="541"/>
      <c r="T15" s="541"/>
      <c r="U15" s="541"/>
      <c r="V15" s="170">
        <f t="shared" si="6"/>
        <v>0</v>
      </c>
      <c r="W15" s="170">
        <f t="shared" si="7"/>
        <v>0.2</v>
      </c>
      <c r="X15" s="542">
        <v>0</v>
      </c>
      <c r="Y15" s="170"/>
      <c r="Z15" s="170"/>
      <c r="AA15" s="170"/>
      <c r="AB15" s="170">
        <f t="shared" si="8"/>
        <v>0</v>
      </c>
      <c r="AC15" s="176">
        <f t="shared" si="14"/>
        <v>1</v>
      </c>
      <c r="AD15" s="176"/>
      <c r="AE15" s="194">
        <f t="shared" si="9"/>
        <v>0</v>
      </c>
      <c r="AF15" s="194">
        <f t="shared" si="15"/>
        <v>2.1399999999999999E-2</v>
      </c>
      <c r="AG15" s="194">
        <f t="shared" si="13"/>
        <v>0</v>
      </c>
      <c r="AH15" s="194">
        <f t="shared" si="10"/>
        <v>0</v>
      </c>
      <c r="AI15" s="194">
        <f t="shared" si="16"/>
        <v>0.2</v>
      </c>
      <c r="AJ15" s="230">
        <v>0.2</v>
      </c>
      <c r="AK15" s="230">
        <f t="shared" si="11"/>
        <v>0.2</v>
      </c>
      <c r="AL15" s="230">
        <f t="shared" si="17"/>
        <v>4.28E-3</v>
      </c>
      <c r="AM15" s="230">
        <f t="shared" si="18"/>
        <v>4.28E-3</v>
      </c>
      <c r="AN15" s="230">
        <f t="shared" si="12"/>
        <v>4.28E-3</v>
      </c>
      <c r="AO15" s="566" t="s">
        <v>1850</v>
      </c>
      <c r="AP15" s="572" t="s">
        <v>1901</v>
      </c>
      <c r="AQ15" s="567" t="s">
        <v>2268</v>
      </c>
      <c r="AR15" s="567" t="s">
        <v>2288</v>
      </c>
      <c r="AS15" s="567" t="s">
        <v>2403</v>
      </c>
      <c r="AT15" s="1137" t="s">
        <v>1865</v>
      </c>
      <c r="AU15" s="567" t="s">
        <v>2496</v>
      </c>
      <c r="AV15" s="567" t="s">
        <v>1893</v>
      </c>
    </row>
    <row r="16" spans="1:125" ht="70.2" customHeight="1" thickBot="1" x14ac:dyDescent="0.4">
      <c r="A16" s="155"/>
      <c r="B16" s="181" t="s">
        <v>810</v>
      </c>
      <c r="C16" s="235" t="s">
        <v>1272</v>
      </c>
      <c r="D16" s="224" t="s">
        <v>811</v>
      </c>
      <c r="E16" s="229">
        <v>2.1399999999999999E-2</v>
      </c>
      <c r="F16" s="226">
        <v>1</v>
      </c>
      <c r="G16" s="170">
        <v>0.2</v>
      </c>
      <c r="H16" s="170">
        <v>0</v>
      </c>
      <c r="I16" s="170">
        <v>0.2</v>
      </c>
      <c r="J16" s="176">
        <f t="shared" si="1"/>
        <v>0.2</v>
      </c>
      <c r="K16" s="176"/>
      <c r="L16" s="176">
        <f t="shared" si="3"/>
        <v>0.2</v>
      </c>
      <c r="M16" s="176">
        <f t="shared" si="4"/>
        <v>4.28E-3</v>
      </c>
      <c r="N16" s="176">
        <f t="shared" si="5"/>
        <v>0</v>
      </c>
      <c r="O16" s="176"/>
      <c r="P16" s="170">
        <v>0.2</v>
      </c>
      <c r="Q16" s="541"/>
      <c r="R16" s="541"/>
      <c r="S16" s="541"/>
      <c r="T16" s="541"/>
      <c r="U16" s="541"/>
      <c r="V16" s="170">
        <f t="shared" si="6"/>
        <v>0</v>
      </c>
      <c r="W16" s="170">
        <f t="shared" si="7"/>
        <v>0.2</v>
      </c>
      <c r="X16" s="542">
        <v>0</v>
      </c>
      <c r="Y16" s="170"/>
      <c r="Z16" s="170"/>
      <c r="AA16" s="170"/>
      <c r="AB16" s="170">
        <f t="shared" si="8"/>
        <v>0</v>
      </c>
      <c r="AC16" s="176">
        <f t="shared" si="14"/>
        <v>1</v>
      </c>
      <c r="AD16" s="176"/>
      <c r="AE16" s="194">
        <f t="shared" si="9"/>
        <v>0</v>
      </c>
      <c r="AF16" s="194">
        <f t="shared" si="15"/>
        <v>2.1399999999999999E-2</v>
      </c>
      <c r="AG16" s="194">
        <f t="shared" si="13"/>
        <v>0</v>
      </c>
      <c r="AH16" s="194">
        <f t="shared" si="10"/>
        <v>0</v>
      </c>
      <c r="AI16" s="194">
        <f t="shared" si="16"/>
        <v>0.2</v>
      </c>
      <c r="AJ16" s="230">
        <v>0.2</v>
      </c>
      <c r="AK16" s="230">
        <f t="shared" si="11"/>
        <v>0.2</v>
      </c>
      <c r="AL16" s="230">
        <f t="shared" si="17"/>
        <v>4.28E-3</v>
      </c>
      <c r="AM16" s="230">
        <f t="shared" si="18"/>
        <v>4.28E-3</v>
      </c>
      <c r="AN16" s="230">
        <f t="shared" si="12"/>
        <v>4.28E-3</v>
      </c>
      <c r="AO16" s="566" t="s">
        <v>1850</v>
      </c>
      <c r="AP16" s="572" t="s">
        <v>1901</v>
      </c>
      <c r="AQ16" s="567" t="s">
        <v>2268</v>
      </c>
      <c r="AR16" s="567" t="s">
        <v>2288</v>
      </c>
      <c r="AS16" s="567" t="s">
        <v>2403</v>
      </c>
      <c r="AT16" s="1137" t="s">
        <v>1865</v>
      </c>
      <c r="AU16" s="567" t="s">
        <v>2496</v>
      </c>
      <c r="AV16" s="567" t="s">
        <v>1893</v>
      </c>
    </row>
    <row r="17" spans="1:48" ht="70.2" customHeight="1" thickBot="1" x14ac:dyDescent="0.4">
      <c r="A17" s="155"/>
      <c r="B17" s="181" t="s">
        <v>812</v>
      </c>
      <c r="C17" s="235" t="s">
        <v>1273</v>
      </c>
      <c r="D17" s="224" t="s">
        <v>811</v>
      </c>
      <c r="E17" s="229">
        <v>2.1399999999999999E-2</v>
      </c>
      <c r="F17" s="226">
        <v>1</v>
      </c>
      <c r="G17" s="170">
        <v>0.25</v>
      </c>
      <c r="H17" s="170">
        <v>0.25</v>
      </c>
      <c r="I17" s="170">
        <v>0.25</v>
      </c>
      <c r="J17" s="176">
        <f t="shared" si="1"/>
        <v>0.25</v>
      </c>
      <c r="K17" s="176">
        <f t="shared" si="2"/>
        <v>0.25</v>
      </c>
      <c r="L17" s="176">
        <f t="shared" si="3"/>
        <v>0.25</v>
      </c>
      <c r="M17" s="176">
        <f t="shared" si="4"/>
        <v>5.3499999999999997E-3</v>
      </c>
      <c r="N17" s="176">
        <f t="shared" si="5"/>
        <v>5.3499999999999997E-3</v>
      </c>
      <c r="O17" s="176"/>
      <c r="P17" s="170">
        <v>0.25</v>
      </c>
      <c r="Q17" s="541">
        <v>6.25E-2</v>
      </c>
      <c r="R17" s="541">
        <v>6.25E-2</v>
      </c>
      <c r="S17" s="541">
        <v>6.25E-2</v>
      </c>
      <c r="T17" s="541">
        <v>2.0800000000000013E-2</v>
      </c>
      <c r="U17" s="541">
        <v>4.1699999999999987E-2</v>
      </c>
      <c r="V17" s="170">
        <f t="shared" si="6"/>
        <v>0.25</v>
      </c>
      <c r="W17" s="170">
        <f t="shared" si="7"/>
        <v>0.5625</v>
      </c>
      <c r="X17" s="542">
        <v>6.25E-2</v>
      </c>
      <c r="Y17" s="170"/>
      <c r="Z17" s="170"/>
      <c r="AA17" s="170"/>
      <c r="AB17" s="170">
        <f t="shared" si="8"/>
        <v>6.25E-2</v>
      </c>
      <c r="AC17" s="176">
        <f t="shared" si="14"/>
        <v>1</v>
      </c>
      <c r="AD17" s="194">
        <f>+V17/H17</f>
        <v>1</v>
      </c>
      <c r="AE17" s="194">
        <f t="shared" si="9"/>
        <v>0.25</v>
      </c>
      <c r="AF17" s="194">
        <f t="shared" si="15"/>
        <v>2.1399999999999999E-2</v>
      </c>
      <c r="AG17" s="194">
        <f t="shared" si="13"/>
        <v>2.1399999999999999E-2</v>
      </c>
      <c r="AH17" s="194">
        <f t="shared" si="10"/>
        <v>5.3499999999999997E-3</v>
      </c>
      <c r="AI17" s="194">
        <f t="shared" si="16"/>
        <v>0.25</v>
      </c>
      <c r="AJ17" s="230">
        <v>0.5</v>
      </c>
      <c r="AK17" s="230">
        <f t="shared" si="11"/>
        <v>0.5625</v>
      </c>
      <c r="AL17" s="230">
        <f t="shared" si="17"/>
        <v>5.3499999999999997E-3</v>
      </c>
      <c r="AM17" s="230">
        <f t="shared" si="18"/>
        <v>1.0699999999999999E-2</v>
      </c>
      <c r="AN17" s="230">
        <f t="shared" si="12"/>
        <v>1.20375E-2</v>
      </c>
      <c r="AO17" s="566" t="s">
        <v>1850</v>
      </c>
      <c r="AP17" s="572" t="s">
        <v>1901</v>
      </c>
      <c r="AQ17" s="567" t="s">
        <v>2268</v>
      </c>
      <c r="AR17" s="567" t="s">
        <v>2288</v>
      </c>
      <c r="AS17" s="567" t="s">
        <v>2403</v>
      </c>
      <c r="AT17" s="1137" t="s">
        <v>1865</v>
      </c>
      <c r="AU17" s="567" t="s">
        <v>2496</v>
      </c>
      <c r="AV17" s="567" t="s">
        <v>1893</v>
      </c>
    </row>
    <row r="18" spans="1:48" ht="55.2" customHeight="1" thickBot="1" x14ac:dyDescent="0.4">
      <c r="A18" s="155"/>
      <c r="B18" s="181" t="s">
        <v>813</v>
      </c>
      <c r="C18" s="235" t="s">
        <v>1274</v>
      </c>
      <c r="D18" s="224" t="s">
        <v>811</v>
      </c>
      <c r="E18" s="229">
        <v>2.1399999999999999E-2</v>
      </c>
      <c r="F18" s="226">
        <v>1</v>
      </c>
      <c r="G18" s="170">
        <v>0.11</v>
      </c>
      <c r="H18" s="170">
        <v>0.32</v>
      </c>
      <c r="I18" s="170">
        <v>0.36</v>
      </c>
      <c r="J18" s="176">
        <f t="shared" si="1"/>
        <v>0.11</v>
      </c>
      <c r="K18" s="176">
        <f t="shared" si="2"/>
        <v>0.32</v>
      </c>
      <c r="L18" s="176">
        <f t="shared" si="3"/>
        <v>0.36</v>
      </c>
      <c r="M18" s="176">
        <f t="shared" si="4"/>
        <v>2.3539999999999998E-3</v>
      </c>
      <c r="N18" s="176">
        <f t="shared" si="5"/>
        <v>6.8479999999999999E-3</v>
      </c>
      <c r="O18" s="176"/>
      <c r="P18" s="170">
        <v>0.11</v>
      </c>
      <c r="Q18" s="541">
        <v>5.5E-2</v>
      </c>
      <c r="R18" s="541">
        <v>0.105</v>
      </c>
      <c r="S18" s="541">
        <v>9.5000000000000001E-2</v>
      </c>
      <c r="T18" s="541">
        <v>3.2000000000000001E-2</v>
      </c>
      <c r="U18" s="541">
        <v>3.3000000000000002E-2</v>
      </c>
      <c r="V18" s="243">
        <f t="shared" si="6"/>
        <v>0.32000000000000006</v>
      </c>
      <c r="W18" s="170">
        <f t="shared" si="7"/>
        <v>0.43000000000000005</v>
      </c>
      <c r="X18" s="542">
        <v>0</v>
      </c>
      <c r="Y18" s="243"/>
      <c r="Z18" s="243"/>
      <c r="AA18" s="243"/>
      <c r="AB18" s="170">
        <f t="shared" si="8"/>
        <v>0</v>
      </c>
      <c r="AC18" s="176">
        <f t="shared" si="14"/>
        <v>1</v>
      </c>
      <c r="AD18" s="194">
        <f>+V18/H18</f>
        <v>1.0000000000000002</v>
      </c>
      <c r="AE18" s="194">
        <f t="shared" si="9"/>
        <v>0</v>
      </c>
      <c r="AF18" s="194">
        <f t="shared" si="15"/>
        <v>2.1399999999999999E-2</v>
      </c>
      <c r="AG18" s="194">
        <f t="shared" si="13"/>
        <v>2.1400000000000002E-2</v>
      </c>
      <c r="AH18" s="194">
        <f t="shared" si="10"/>
        <v>0</v>
      </c>
      <c r="AI18" s="194">
        <f t="shared" si="16"/>
        <v>0.11</v>
      </c>
      <c r="AJ18" s="230">
        <v>0.43000000000000005</v>
      </c>
      <c r="AK18" s="230">
        <f t="shared" si="11"/>
        <v>0.43000000000000005</v>
      </c>
      <c r="AL18" s="230">
        <f t="shared" si="17"/>
        <v>2.3539999999999998E-3</v>
      </c>
      <c r="AM18" s="230">
        <f t="shared" si="18"/>
        <v>9.2020000000000001E-3</v>
      </c>
      <c r="AN18" s="230">
        <f t="shared" si="12"/>
        <v>9.2020000000000001E-3</v>
      </c>
      <c r="AO18" s="566" t="s">
        <v>1850</v>
      </c>
      <c r="AP18" s="572" t="s">
        <v>1901</v>
      </c>
      <c r="AQ18" s="567" t="s">
        <v>2268</v>
      </c>
      <c r="AR18" s="567" t="s">
        <v>2288</v>
      </c>
      <c r="AS18" s="567" t="s">
        <v>2403</v>
      </c>
      <c r="AT18" s="1137" t="s">
        <v>1865</v>
      </c>
      <c r="AU18" s="567" t="s">
        <v>2496</v>
      </c>
      <c r="AV18" s="567" t="s">
        <v>1893</v>
      </c>
    </row>
    <row r="19" spans="1:48" ht="120.6" customHeight="1" thickBot="1" x14ac:dyDescent="0.4">
      <c r="A19" s="155"/>
      <c r="B19" s="181" t="s">
        <v>814</v>
      </c>
      <c r="C19" s="235" t="s">
        <v>1275</v>
      </c>
      <c r="D19" s="224" t="s">
        <v>811</v>
      </c>
      <c r="E19" s="229">
        <v>2.1399999999999999E-2</v>
      </c>
      <c r="F19" s="226">
        <v>1</v>
      </c>
      <c r="G19" s="170">
        <v>0</v>
      </c>
      <c r="H19" s="170">
        <v>0</v>
      </c>
      <c r="I19" s="170">
        <v>0.20285714285714287</v>
      </c>
      <c r="J19" s="176"/>
      <c r="K19" s="176"/>
      <c r="L19" s="176">
        <f t="shared" si="3"/>
        <v>0.20285714285714287</v>
      </c>
      <c r="M19" s="176"/>
      <c r="N19" s="176">
        <f t="shared" si="5"/>
        <v>0</v>
      </c>
      <c r="O19" s="176"/>
      <c r="P19" s="170"/>
      <c r="Q19" s="541"/>
      <c r="R19" s="541"/>
      <c r="S19" s="541"/>
      <c r="T19" s="541"/>
      <c r="U19" s="541">
        <v>0.29709999999999998</v>
      </c>
      <c r="V19" s="170">
        <f>+Q19+R19+S19+T19+U19</f>
        <v>0.29709999999999998</v>
      </c>
      <c r="W19" s="170">
        <f t="shared" si="7"/>
        <v>0.30352857142857143</v>
      </c>
      <c r="X19" s="1188">
        <v>6.4285714285714302E-3</v>
      </c>
      <c r="Y19" s="170"/>
      <c r="Z19" s="170"/>
      <c r="AA19" s="170"/>
      <c r="AB19" s="1499">
        <f t="shared" si="8"/>
        <v>6.4285714285714302E-3</v>
      </c>
      <c r="AC19" s="177"/>
      <c r="AD19" s="194">
        <v>1</v>
      </c>
      <c r="AE19" s="194">
        <f t="shared" si="9"/>
        <v>3.1690140845070429E-2</v>
      </c>
      <c r="AF19" s="194"/>
      <c r="AG19" s="194"/>
      <c r="AH19" s="194">
        <f t="shared" si="10"/>
        <v>6.7816901408450717E-4</v>
      </c>
      <c r="AI19" s="194"/>
      <c r="AJ19" s="230">
        <v>0.6</v>
      </c>
      <c r="AK19" s="230">
        <f t="shared" si="11"/>
        <v>0.30352857142857143</v>
      </c>
      <c r="AL19" s="230">
        <v>0</v>
      </c>
      <c r="AM19" s="230">
        <f t="shared" si="18"/>
        <v>1.2839999999999999E-2</v>
      </c>
      <c r="AN19" s="230">
        <f t="shared" si="12"/>
        <v>6.4955114285714282E-3</v>
      </c>
      <c r="AO19" s="566" t="s">
        <v>1850</v>
      </c>
      <c r="AP19" s="572" t="s">
        <v>1901</v>
      </c>
      <c r="AQ19" s="567" t="s">
        <v>2268</v>
      </c>
      <c r="AR19" s="567" t="s">
        <v>2288</v>
      </c>
      <c r="AS19" s="567" t="s">
        <v>2403</v>
      </c>
      <c r="AT19" s="1137" t="s">
        <v>1865</v>
      </c>
      <c r="AU19" s="540" t="s">
        <v>2503</v>
      </c>
      <c r="AV19" s="567" t="s">
        <v>1893</v>
      </c>
    </row>
    <row r="20" spans="1:48" ht="102" customHeight="1" thickBot="1" x14ac:dyDescent="0.4">
      <c r="A20" s="155"/>
      <c r="B20" s="181" t="s">
        <v>815</v>
      </c>
      <c r="C20" s="235" t="s">
        <v>1276</v>
      </c>
      <c r="D20" s="224" t="s">
        <v>560</v>
      </c>
      <c r="E20" s="229">
        <v>2.1399999999999999E-2</v>
      </c>
      <c r="F20" s="226">
        <v>4</v>
      </c>
      <c r="G20" s="170">
        <v>0</v>
      </c>
      <c r="H20" s="170">
        <v>1</v>
      </c>
      <c r="I20" s="170">
        <v>2</v>
      </c>
      <c r="J20" s="176"/>
      <c r="K20" s="176">
        <f t="shared" si="2"/>
        <v>0.25</v>
      </c>
      <c r="L20" s="176">
        <f t="shared" si="3"/>
        <v>0.5</v>
      </c>
      <c r="M20" s="176"/>
      <c r="N20" s="176">
        <f t="shared" si="5"/>
        <v>5.3499999999999997E-3</v>
      </c>
      <c r="O20" s="176"/>
      <c r="P20" s="170"/>
      <c r="Q20" s="541">
        <v>0</v>
      </c>
      <c r="R20" s="541">
        <v>0.2</v>
      </c>
      <c r="S20" s="541">
        <v>0.5</v>
      </c>
      <c r="T20" s="541"/>
      <c r="U20" s="541">
        <v>0.3</v>
      </c>
      <c r="V20" s="170">
        <f t="shared" si="6"/>
        <v>1</v>
      </c>
      <c r="W20" s="170">
        <f t="shared" si="7"/>
        <v>1.5</v>
      </c>
      <c r="X20" s="1188">
        <v>0.5</v>
      </c>
      <c r="Y20" s="170"/>
      <c r="Z20" s="170"/>
      <c r="AA20" s="170"/>
      <c r="AB20" s="170">
        <f t="shared" si="8"/>
        <v>0.5</v>
      </c>
      <c r="AC20" s="177"/>
      <c r="AD20" s="194">
        <f>+V20/H20</f>
        <v>1</v>
      </c>
      <c r="AE20" s="194">
        <f t="shared" si="9"/>
        <v>0.25</v>
      </c>
      <c r="AF20" s="194"/>
      <c r="AG20" s="194"/>
      <c r="AH20" s="194">
        <f t="shared" si="10"/>
        <v>5.3499999999999997E-3</v>
      </c>
      <c r="AI20" s="194"/>
      <c r="AJ20" s="230">
        <v>0.25</v>
      </c>
      <c r="AK20" s="230">
        <f t="shared" si="11"/>
        <v>0.375</v>
      </c>
      <c r="AL20" s="230">
        <f>+AI20*E20</f>
        <v>0</v>
      </c>
      <c r="AM20" s="230">
        <f t="shared" si="18"/>
        <v>5.3499999999999997E-3</v>
      </c>
      <c r="AN20" s="230">
        <f t="shared" si="12"/>
        <v>8.0249999999999991E-3</v>
      </c>
      <c r="AO20" s="566" t="s">
        <v>1850</v>
      </c>
      <c r="AP20" s="572" t="s">
        <v>1901</v>
      </c>
      <c r="AQ20" s="567" t="s">
        <v>2268</v>
      </c>
      <c r="AR20" s="567" t="s">
        <v>2288</v>
      </c>
      <c r="AS20" s="687" t="s">
        <v>2371</v>
      </c>
      <c r="AT20" s="1137" t="s">
        <v>1865</v>
      </c>
      <c r="AU20" s="567" t="s">
        <v>2496</v>
      </c>
      <c r="AV20" s="567" t="s">
        <v>1893</v>
      </c>
    </row>
    <row r="21" spans="1:48" ht="87.6" customHeight="1" thickBot="1" x14ac:dyDescent="0.4">
      <c r="A21" s="155"/>
      <c r="B21" s="181" t="s">
        <v>816</v>
      </c>
      <c r="C21" s="235" t="s">
        <v>1277</v>
      </c>
      <c r="D21" s="224" t="s">
        <v>560</v>
      </c>
      <c r="E21" s="229">
        <v>2.1399999999999999E-2</v>
      </c>
      <c r="F21" s="226">
        <v>1</v>
      </c>
      <c r="G21" s="170">
        <v>0</v>
      </c>
      <c r="H21" s="170">
        <v>0.2</v>
      </c>
      <c r="I21" s="170">
        <v>0</v>
      </c>
      <c r="J21" s="176">
        <v>0</v>
      </c>
      <c r="K21" s="176">
        <f t="shared" si="2"/>
        <v>0.2</v>
      </c>
      <c r="L21" s="176"/>
      <c r="M21" s="176"/>
      <c r="N21" s="176">
        <f t="shared" si="5"/>
        <v>4.28E-3</v>
      </c>
      <c r="O21" s="176"/>
      <c r="P21" s="170"/>
      <c r="Q21" s="541">
        <v>0</v>
      </c>
      <c r="R21" s="541"/>
      <c r="S21" s="541"/>
      <c r="T21" s="541"/>
      <c r="U21" s="541"/>
      <c r="V21" s="170">
        <f t="shared" si="6"/>
        <v>0</v>
      </c>
      <c r="W21" s="170">
        <f t="shared" si="7"/>
        <v>0</v>
      </c>
      <c r="X21" s="170"/>
      <c r="Y21" s="170"/>
      <c r="Z21" s="170"/>
      <c r="AA21" s="170"/>
      <c r="AB21" s="170">
        <f t="shared" si="8"/>
        <v>0</v>
      </c>
      <c r="AC21" s="177"/>
      <c r="AD21" s="194">
        <f>+V21/H21</f>
        <v>0</v>
      </c>
      <c r="AE21" s="194"/>
      <c r="AF21" s="194"/>
      <c r="AG21" s="194">
        <f>+AD21*E21</f>
        <v>0</v>
      </c>
      <c r="AH21" s="194">
        <f>+AE21*E21</f>
        <v>0</v>
      </c>
      <c r="AI21" s="194"/>
      <c r="AJ21" s="230">
        <v>0</v>
      </c>
      <c r="AK21" s="230"/>
      <c r="AL21" s="230">
        <v>0</v>
      </c>
      <c r="AM21" s="230">
        <f t="shared" si="18"/>
        <v>0</v>
      </c>
      <c r="AN21" s="230">
        <f t="shared" si="12"/>
        <v>0</v>
      </c>
      <c r="AO21" s="566" t="s">
        <v>1850</v>
      </c>
      <c r="AP21" s="644" t="s">
        <v>1919</v>
      </c>
      <c r="AQ21" s="644" t="s">
        <v>2282</v>
      </c>
      <c r="AR21" s="567" t="s">
        <v>2288</v>
      </c>
      <c r="AS21" s="687" t="s">
        <v>2372</v>
      </c>
      <c r="AT21" s="1137" t="s">
        <v>1865</v>
      </c>
      <c r="AU21" s="567" t="s">
        <v>2496</v>
      </c>
      <c r="AV21" s="567" t="s">
        <v>1893</v>
      </c>
    </row>
    <row r="22" spans="1:48" ht="57" customHeight="1" thickBot="1" x14ac:dyDescent="0.4">
      <c r="A22" s="155"/>
      <c r="B22" s="1557" t="s">
        <v>1724</v>
      </c>
      <c r="C22" s="1571"/>
      <c r="D22" s="231"/>
      <c r="E22" s="232">
        <v>0.3</v>
      </c>
      <c r="F22" s="233"/>
      <c r="G22" s="163"/>
      <c r="H22" s="163"/>
      <c r="I22" s="163"/>
      <c r="J22" s="169">
        <f>+AVERAGE(J23:J25)</f>
        <v>0.13108108108108107</v>
      </c>
      <c r="K22" s="169">
        <f>+AVERAGE(K23:K25)</f>
        <v>0.19009009009009006</v>
      </c>
      <c r="L22" s="169">
        <f>+AVERAGE(L23:L25)</f>
        <v>0.40772727272727272</v>
      </c>
      <c r="M22" s="169">
        <f>+M23+M24+M25</f>
        <v>8.4864864864864872E-2</v>
      </c>
      <c r="N22" s="169">
        <f>+N23+N24+N25</f>
        <v>0.16810810810810811</v>
      </c>
      <c r="O22" s="169"/>
      <c r="P22" s="168"/>
      <c r="Q22" s="168"/>
      <c r="R22" s="168"/>
      <c r="S22" s="168"/>
      <c r="T22" s="168"/>
      <c r="U22" s="168"/>
      <c r="V22" s="170"/>
      <c r="W22" s="170">
        <f t="shared" si="7"/>
        <v>0</v>
      </c>
      <c r="X22" s="168"/>
      <c r="Y22" s="168"/>
      <c r="Z22" s="168"/>
      <c r="AA22" s="168"/>
      <c r="AB22" s="168"/>
      <c r="AC22" s="192">
        <f>+AVERAGE(AC23:AC25)</f>
        <v>1</v>
      </c>
      <c r="AD22" s="192">
        <f>+AVERAGE(AD23:AD25)</f>
        <v>1</v>
      </c>
      <c r="AE22" s="192">
        <f>+AVERAGE(AE23:AE25)</f>
        <v>0.25058391975308641</v>
      </c>
      <c r="AF22" s="192">
        <f>+(AF23+AF24+AF25)*E22</f>
        <v>0.18000000000000002</v>
      </c>
      <c r="AG22" s="192">
        <f>+(AG23+AG24+AG25)*E22</f>
        <v>0.18000000000000002</v>
      </c>
      <c r="AH22" s="192">
        <f>+(AH23+AH24+AH25)*E22</f>
        <v>8.4654655555555569E-2</v>
      </c>
      <c r="AI22" s="169">
        <f>+AVERAGE(AI23:AI25)</f>
        <v>0.24398286486486487</v>
      </c>
      <c r="AJ22" s="169">
        <v>0.57089999999999996</v>
      </c>
      <c r="AK22" s="169">
        <f>+(AK23*0.33)+(AK24*0.33)+(AK25*0.33)</f>
        <v>0.57915000000000005</v>
      </c>
      <c r="AL22" s="222">
        <f>+(AL23+AL24+AL25)*E22</f>
        <v>5.1055887567567564E-2</v>
      </c>
      <c r="AM22" s="222">
        <f>+(AM23+AM24+AM25)</f>
        <v>0.54600000000000004</v>
      </c>
      <c r="AN22" s="222">
        <f>+(AN23+AN24+AN25)</f>
        <v>0.55100000000000005</v>
      </c>
      <c r="AO22" s="913"/>
      <c r="AP22" s="535"/>
      <c r="AQ22" s="535"/>
      <c r="AR22" s="535"/>
      <c r="AS22" s="535"/>
      <c r="AT22" s="1135"/>
      <c r="AU22" s="535"/>
      <c r="AV22" s="535"/>
    </row>
    <row r="23" spans="1:48" ht="102.6" customHeight="1" thickBot="1" x14ac:dyDescent="0.4">
      <c r="A23" s="155"/>
      <c r="B23" s="181" t="s">
        <v>817</v>
      </c>
      <c r="C23" s="235" t="s">
        <v>1278</v>
      </c>
      <c r="D23" s="231" t="s">
        <v>1540</v>
      </c>
      <c r="E23" s="228">
        <v>0.4</v>
      </c>
      <c r="F23" s="226">
        <v>185000</v>
      </c>
      <c r="G23" s="170">
        <v>30000</v>
      </c>
      <c r="H23" s="170">
        <v>50000</v>
      </c>
      <c r="I23" s="170">
        <v>60000</v>
      </c>
      <c r="J23" s="176">
        <f>+G23/F23</f>
        <v>0.16216216216216217</v>
      </c>
      <c r="K23" s="176">
        <f t="shared" si="2"/>
        <v>0.27027027027027029</v>
      </c>
      <c r="L23" s="176"/>
      <c r="M23" s="176">
        <f>+(G23/F23)*E23</f>
        <v>6.4864864864864868E-2</v>
      </c>
      <c r="N23" s="176">
        <f t="shared" si="5"/>
        <v>0.10810810810810811</v>
      </c>
      <c r="O23" s="176"/>
      <c r="P23" s="170">
        <v>67148.66</v>
      </c>
      <c r="Q23" s="541">
        <v>14768.91</v>
      </c>
      <c r="R23" s="541">
        <v>58387.23</v>
      </c>
      <c r="S23" s="541">
        <v>81238.960000000006</v>
      </c>
      <c r="T23" s="541">
        <v>57428.480000000003</v>
      </c>
      <c r="U23" s="541">
        <v>0</v>
      </c>
      <c r="V23" s="170">
        <f t="shared" si="6"/>
        <v>211823.58000000002</v>
      </c>
      <c r="W23" s="1500">
        <f>+V23+P23+AB23</f>
        <v>318521.78999999998</v>
      </c>
      <c r="X23" s="544">
        <v>39549.550000000003</v>
      </c>
      <c r="Y23" s="249"/>
      <c r="Z23" s="249"/>
      <c r="AA23" s="249"/>
      <c r="AB23" s="170">
        <f>+X23+Y23+Z23+AA23</f>
        <v>39549.550000000003</v>
      </c>
      <c r="AC23" s="194">
        <v>1</v>
      </c>
      <c r="AD23" s="194">
        <v>1</v>
      </c>
      <c r="AE23" s="194">
        <f t="shared" ref="AE23:AE25" si="19">+AB23/I23</f>
        <v>0.65915916666666674</v>
      </c>
      <c r="AF23" s="194">
        <f>+AC23*E23</f>
        <v>0.4</v>
      </c>
      <c r="AG23" s="194">
        <f>+AD23*E23</f>
        <v>0.4</v>
      </c>
      <c r="AH23" s="194">
        <f>+AE23*E23</f>
        <v>0.26366366666666669</v>
      </c>
      <c r="AI23" s="194">
        <f>+P23/F23</f>
        <v>0.36296572972972974</v>
      </c>
      <c r="AJ23" s="230">
        <v>1</v>
      </c>
      <c r="AK23" s="230">
        <v>1</v>
      </c>
      <c r="AL23" s="230">
        <f>+AI23*E23</f>
        <v>0.14518629189189189</v>
      </c>
      <c r="AM23" s="230">
        <f>+AJ23*E23</f>
        <v>0.4</v>
      </c>
      <c r="AN23" s="230">
        <f t="shared" si="12"/>
        <v>0.4</v>
      </c>
      <c r="AO23" s="566" t="s">
        <v>1850</v>
      </c>
      <c r="AP23" s="567" t="s">
        <v>1892</v>
      </c>
      <c r="AQ23" s="567" t="s">
        <v>2268</v>
      </c>
      <c r="AR23" s="567" t="s">
        <v>2288</v>
      </c>
      <c r="AS23" s="568" t="s">
        <v>2413</v>
      </c>
      <c r="AT23" s="1136" t="s">
        <v>2437</v>
      </c>
      <c r="AU23" s="567" t="s">
        <v>2496</v>
      </c>
      <c r="AV23" s="567" t="s">
        <v>1893</v>
      </c>
    </row>
    <row r="24" spans="1:48" ht="78" customHeight="1" thickBot="1" x14ac:dyDescent="0.4">
      <c r="A24" s="155"/>
      <c r="B24" s="173" t="s">
        <v>819</v>
      </c>
      <c r="C24" s="223" t="s">
        <v>1279</v>
      </c>
      <c r="D24" s="231" t="s">
        <v>1540</v>
      </c>
      <c r="E24" s="228">
        <v>0.4</v>
      </c>
      <c r="F24" s="226">
        <v>11000</v>
      </c>
      <c r="G24" s="170">
        <v>0</v>
      </c>
      <c r="H24" s="170">
        <v>0</v>
      </c>
      <c r="I24" s="170">
        <v>6000</v>
      </c>
      <c r="J24" s="176"/>
      <c r="K24" s="176">
        <f t="shared" si="2"/>
        <v>0</v>
      </c>
      <c r="L24" s="176">
        <f t="shared" si="3"/>
        <v>0.54545454545454541</v>
      </c>
      <c r="M24" s="176"/>
      <c r="N24" s="176">
        <f t="shared" si="5"/>
        <v>0</v>
      </c>
      <c r="O24" s="176"/>
      <c r="P24" s="170"/>
      <c r="Q24" s="541"/>
      <c r="R24" s="541"/>
      <c r="S24" s="541"/>
      <c r="T24" s="541"/>
      <c r="U24" s="541"/>
      <c r="V24" s="170">
        <f t="shared" si="6"/>
        <v>0</v>
      </c>
      <c r="W24" s="170">
        <f t="shared" si="7"/>
        <v>0</v>
      </c>
      <c r="X24" s="541">
        <v>0</v>
      </c>
      <c r="Y24" s="170"/>
      <c r="Z24" s="170"/>
      <c r="AA24" s="170"/>
      <c r="AB24" s="170">
        <f t="shared" si="8"/>
        <v>0</v>
      </c>
      <c r="AC24" s="194"/>
      <c r="AD24" s="194"/>
      <c r="AE24" s="194">
        <f t="shared" si="19"/>
        <v>0</v>
      </c>
      <c r="AF24" s="194"/>
      <c r="AG24" s="194">
        <f>+AD24*E24</f>
        <v>0</v>
      </c>
      <c r="AH24" s="194">
        <f t="shared" ref="AH24:AH25" si="20">+AE24*E24</f>
        <v>0</v>
      </c>
      <c r="AI24" s="194"/>
      <c r="AJ24" s="230">
        <v>0</v>
      </c>
      <c r="AK24" s="230">
        <f t="shared" si="11"/>
        <v>0</v>
      </c>
      <c r="AL24" s="230"/>
      <c r="AM24" s="230">
        <f>+AJ24*E24</f>
        <v>0</v>
      </c>
      <c r="AN24" s="230">
        <f t="shared" si="12"/>
        <v>0</v>
      </c>
      <c r="AO24" s="566" t="s">
        <v>1850</v>
      </c>
      <c r="AP24" s="644" t="s">
        <v>1919</v>
      </c>
      <c r="AQ24" s="567" t="s">
        <v>2268</v>
      </c>
      <c r="AR24" s="567" t="s">
        <v>2288</v>
      </c>
      <c r="AS24" s="540" t="s">
        <v>2365</v>
      </c>
      <c r="AT24" s="1136" t="s">
        <v>2437</v>
      </c>
      <c r="AU24" s="567" t="s">
        <v>2496</v>
      </c>
      <c r="AV24" s="567" t="s">
        <v>1893</v>
      </c>
    </row>
    <row r="25" spans="1:48" ht="88.95" customHeight="1" thickBot="1" x14ac:dyDescent="0.4">
      <c r="A25" s="155"/>
      <c r="B25" s="181" t="s">
        <v>820</v>
      </c>
      <c r="C25" s="235" t="s">
        <v>1280</v>
      </c>
      <c r="D25" s="231" t="s">
        <v>1540</v>
      </c>
      <c r="E25" s="228">
        <v>0.2</v>
      </c>
      <c r="F25" s="226">
        <v>200</v>
      </c>
      <c r="G25" s="170">
        <v>20</v>
      </c>
      <c r="H25" s="170">
        <v>60</v>
      </c>
      <c r="I25" s="170">
        <v>54</v>
      </c>
      <c r="J25" s="176">
        <f>+G25/F25</f>
        <v>0.1</v>
      </c>
      <c r="K25" s="176">
        <f t="shared" si="2"/>
        <v>0.3</v>
      </c>
      <c r="L25" s="176">
        <f t="shared" si="3"/>
        <v>0.27</v>
      </c>
      <c r="M25" s="176">
        <f>+(G25/F25)*E25</f>
        <v>2.0000000000000004E-2</v>
      </c>
      <c r="N25" s="176">
        <f t="shared" si="5"/>
        <v>0.06</v>
      </c>
      <c r="O25" s="176"/>
      <c r="P25" s="170">
        <v>25</v>
      </c>
      <c r="Q25" s="541">
        <v>0</v>
      </c>
      <c r="R25" s="541">
        <v>55</v>
      </c>
      <c r="S25" s="541">
        <v>60</v>
      </c>
      <c r="T25" s="541">
        <v>6</v>
      </c>
      <c r="U25" s="541">
        <v>0</v>
      </c>
      <c r="V25" s="170">
        <f t="shared" si="6"/>
        <v>121</v>
      </c>
      <c r="W25" s="170">
        <f t="shared" si="7"/>
        <v>151</v>
      </c>
      <c r="X25" s="541">
        <v>5</v>
      </c>
      <c r="Y25" s="170"/>
      <c r="Z25" s="170"/>
      <c r="AA25" s="170"/>
      <c r="AB25" s="170">
        <f t="shared" si="8"/>
        <v>5</v>
      </c>
      <c r="AC25" s="194">
        <v>1</v>
      </c>
      <c r="AD25" s="194">
        <v>1</v>
      </c>
      <c r="AE25" s="194">
        <f t="shared" si="19"/>
        <v>9.2592592592592587E-2</v>
      </c>
      <c r="AF25" s="194">
        <f>+AC25*E25</f>
        <v>0.2</v>
      </c>
      <c r="AG25" s="194">
        <f>+AD25*E25</f>
        <v>0.2</v>
      </c>
      <c r="AH25" s="194">
        <f t="shared" si="20"/>
        <v>1.8518518518518517E-2</v>
      </c>
      <c r="AI25" s="194">
        <f>+P25/F25</f>
        <v>0.125</v>
      </c>
      <c r="AJ25" s="230">
        <v>0.73</v>
      </c>
      <c r="AK25" s="230">
        <f t="shared" si="11"/>
        <v>0.755</v>
      </c>
      <c r="AL25" s="230">
        <f>+AI25*E25</f>
        <v>2.5000000000000001E-2</v>
      </c>
      <c r="AM25" s="230">
        <f>+AJ25*E25</f>
        <v>0.14599999999999999</v>
      </c>
      <c r="AN25" s="230">
        <f t="shared" si="12"/>
        <v>0.15100000000000002</v>
      </c>
      <c r="AO25" s="566" t="s">
        <v>1850</v>
      </c>
      <c r="AP25" s="567" t="s">
        <v>1892</v>
      </c>
      <c r="AQ25" s="567" t="s">
        <v>2268</v>
      </c>
      <c r="AR25" s="567" t="s">
        <v>2288</v>
      </c>
      <c r="AS25" s="568" t="s">
        <v>2413</v>
      </c>
      <c r="AT25" s="1136" t="s">
        <v>2437</v>
      </c>
      <c r="AU25" s="567" t="s">
        <v>2496</v>
      </c>
      <c r="AV25" s="567" t="s">
        <v>1893</v>
      </c>
    </row>
    <row r="26" spans="1:48" ht="62.25" customHeight="1" thickBot="1" x14ac:dyDescent="0.4">
      <c r="A26" s="155"/>
      <c r="B26" s="1561" t="s">
        <v>1804</v>
      </c>
      <c r="C26" s="1571"/>
      <c r="D26" s="231"/>
      <c r="E26" s="234">
        <v>0.05</v>
      </c>
      <c r="F26" s="158">
        <f>+E26*AF26</f>
        <v>3.4375000000000003E-2</v>
      </c>
      <c r="G26" s="163"/>
      <c r="H26" s="159">
        <f>+E26*AG26</f>
        <v>1.3750000000000002E-2</v>
      </c>
      <c r="I26" s="159">
        <f>+E26*AH26</f>
        <v>3.0307555483028728E-2</v>
      </c>
      <c r="J26" s="161">
        <f>+(J27+J33)/2</f>
        <v>0.15714285714285714</v>
      </c>
      <c r="K26" s="161">
        <f>+(K27+K33)/2</f>
        <v>0.12238095238095237</v>
      </c>
      <c r="L26" s="161">
        <f>+(L27+L33)/2</f>
        <v>0.20559523809523811</v>
      </c>
      <c r="M26" s="162">
        <f>+(M27+M33)/2</f>
        <v>0.24285714285714285</v>
      </c>
      <c r="N26" s="162">
        <f>+(N27+N33)/2</f>
        <v>0.20867857142857144</v>
      </c>
      <c r="O26" s="162"/>
      <c r="P26" s="163"/>
      <c r="Q26" s="163"/>
      <c r="R26" s="163"/>
      <c r="S26" s="163"/>
      <c r="T26" s="163"/>
      <c r="U26" s="163"/>
      <c r="V26" s="967"/>
      <c r="W26" s="163"/>
      <c r="X26" s="163"/>
      <c r="Y26" s="163"/>
      <c r="Z26" s="163"/>
      <c r="AA26" s="163"/>
      <c r="AB26" s="163"/>
      <c r="AC26" s="161">
        <f>+(AC27+AC33)/2</f>
        <v>1</v>
      </c>
      <c r="AD26" s="161">
        <f>+(AD27+AD33)/2</f>
        <v>0.875</v>
      </c>
      <c r="AE26" s="161">
        <f>+(AE27+AE33)/2</f>
        <v>0.31092036553524804</v>
      </c>
      <c r="AF26" s="162">
        <f>+AF27+AF33</f>
        <v>0.6875</v>
      </c>
      <c r="AG26" s="162">
        <f>+AG27+AG33</f>
        <v>0.27500000000000002</v>
      </c>
      <c r="AH26" s="162">
        <f>+AH27+AH33</f>
        <v>0.60615110966057451</v>
      </c>
      <c r="AI26" s="161">
        <f>(AI27+AI33)/2</f>
        <v>0.16672619047619047</v>
      </c>
      <c r="AJ26" s="161">
        <v>0.40500089285714286</v>
      </c>
      <c r="AK26" s="161">
        <f>(AK27+AK33)/2</f>
        <v>0.50546964285714291</v>
      </c>
      <c r="AL26" s="220">
        <f>+AL27+AL33</f>
        <v>0.31105357142857143</v>
      </c>
      <c r="AM26" s="220">
        <f>+AM27*E27+AM33*E33</f>
        <v>0.4337455357142857</v>
      </c>
      <c r="AN26" s="220">
        <f>+AN27*E27+AN33*E33</f>
        <v>0.73821428571428582</v>
      </c>
      <c r="AO26" s="912"/>
      <c r="AP26" s="535"/>
      <c r="AQ26" s="535"/>
      <c r="AR26" s="535"/>
      <c r="AS26" s="535"/>
      <c r="AT26" s="1135"/>
      <c r="AU26" s="535"/>
      <c r="AV26" s="535"/>
    </row>
    <row r="27" spans="1:48" ht="86.25" customHeight="1" thickBot="1" x14ac:dyDescent="0.4">
      <c r="A27" s="155"/>
      <c r="B27" s="1557" t="s">
        <v>1725</v>
      </c>
      <c r="C27" s="1571"/>
      <c r="D27" s="231"/>
      <c r="E27" s="232">
        <v>0.75</v>
      </c>
      <c r="F27" s="226"/>
      <c r="G27" s="163"/>
      <c r="H27" s="163"/>
      <c r="I27" s="163"/>
      <c r="J27" s="169">
        <f>+AVERAGE(J28:J32)*0.2</f>
        <v>0.1</v>
      </c>
      <c r="K27" s="169">
        <f>+AVERAGE(K28:K32)*0.2</f>
        <v>6.9999999999999993E-2</v>
      </c>
      <c r="L27" s="169">
        <f>+AVERAGE(L28:L32)*0.2</f>
        <v>6.9999999999999993E-2</v>
      </c>
      <c r="M27" s="169">
        <f>+M28+M29+M30+M31+M32</f>
        <v>0.375</v>
      </c>
      <c r="N27" s="169">
        <f>+N28+N29+N30+N31+N32</f>
        <v>0.28749999999999998</v>
      </c>
      <c r="O27" s="169"/>
      <c r="P27" s="168"/>
      <c r="Q27" s="168"/>
      <c r="R27" s="168"/>
      <c r="S27" s="168"/>
      <c r="T27" s="168"/>
      <c r="U27" s="168"/>
      <c r="V27" s="170"/>
      <c r="W27" s="168"/>
      <c r="X27" s="168"/>
      <c r="Y27" s="168"/>
      <c r="Z27" s="168"/>
      <c r="AA27" s="168"/>
      <c r="AB27" s="168"/>
      <c r="AC27" s="192">
        <f>+AVERAGE(AC28:AC32)</f>
        <v>1</v>
      </c>
      <c r="AD27" s="192">
        <f>+AVERAGE(AD28:AD32)</f>
        <v>0.75</v>
      </c>
      <c r="AE27" s="192">
        <f>+AVERAGE(AE28:AE32)</f>
        <v>0.5</v>
      </c>
      <c r="AF27" s="192">
        <f>+(AF28+AF29+AF30+AF31+AF32)*E27</f>
        <v>0.5625</v>
      </c>
      <c r="AG27" s="192">
        <f>+(AG28+AG29+AG30+AG31+AG32)*E27</f>
        <v>0.15000000000000002</v>
      </c>
      <c r="AH27" s="192">
        <f>+(AH28+AH29+AH30+AH31+AH32)*E27</f>
        <v>0.58125000000000004</v>
      </c>
      <c r="AI27" s="169">
        <f>+AVERAGE(AI28:AI32)*0.2</f>
        <v>0.1</v>
      </c>
      <c r="AJ27" s="169">
        <v>0.38</v>
      </c>
      <c r="AK27" s="169">
        <f>+AVERAGE(AK28:AK32)</f>
        <v>0.55000000000000004</v>
      </c>
      <c r="AL27" s="222">
        <f>+(AL28+AL29+AL30+AL31+AL32)*E27</f>
        <v>0.28125</v>
      </c>
      <c r="AM27" s="222">
        <f>+(AM28+AM29+AM30+AM31+AM32)</f>
        <v>0.46499999999999997</v>
      </c>
      <c r="AN27" s="222">
        <f>+(AN28+AN29+AN30+AN31+AN32)</f>
        <v>0.86250000000000004</v>
      </c>
      <c r="AO27" s="913"/>
      <c r="AP27" s="535"/>
      <c r="AQ27" s="535"/>
      <c r="AR27" s="535"/>
      <c r="AS27" s="535"/>
      <c r="AT27" s="1135"/>
      <c r="AU27" s="535"/>
      <c r="AV27" s="535"/>
    </row>
    <row r="28" spans="1:48" ht="94.95" customHeight="1" thickBot="1" x14ac:dyDescent="0.4">
      <c r="A28" s="155"/>
      <c r="B28" s="173" t="s">
        <v>821</v>
      </c>
      <c r="C28" s="223" t="s">
        <v>1281</v>
      </c>
      <c r="D28" s="224" t="s">
        <v>560</v>
      </c>
      <c r="E28" s="228">
        <v>0.1</v>
      </c>
      <c r="F28" s="226">
        <v>1</v>
      </c>
      <c r="G28" s="170">
        <v>0</v>
      </c>
      <c r="H28" s="170">
        <v>0.5</v>
      </c>
      <c r="I28" s="170">
        <v>0.5</v>
      </c>
      <c r="J28" s="176"/>
      <c r="K28" s="176">
        <f>+H28/F28</f>
        <v>0.5</v>
      </c>
      <c r="L28" s="176">
        <f>+I28/F28</f>
        <v>0.5</v>
      </c>
      <c r="M28" s="176"/>
      <c r="N28" s="176">
        <f t="shared" ref="N28:N32" si="21">+(H28/F28)*E28</f>
        <v>0.05</v>
      </c>
      <c r="O28" s="176"/>
      <c r="P28" s="170"/>
      <c r="Q28" s="541">
        <v>0</v>
      </c>
      <c r="R28" s="541">
        <v>0.1</v>
      </c>
      <c r="S28" s="541">
        <v>0.05</v>
      </c>
      <c r="T28" s="541">
        <v>0.2</v>
      </c>
      <c r="U28" s="541">
        <v>0.15</v>
      </c>
      <c r="V28" s="170">
        <f t="shared" si="6"/>
        <v>0.5</v>
      </c>
      <c r="W28" s="170">
        <f>+V28+P28+AB28</f>
        <v>0.5</v>
      </c>
      <c r="X28" s="541">
        <v>0</v>
      </c>
      <c r="Y28" s="170"/>
      <c r="Z28" s="170"/>
      <c r="AA28" s="170"/>
      <c r="AB28" s="170">
        <f t="shared" ref="AB28:AB32" si="22">+X28+Y28+Z28+AA28</f>
        <v>0</v>
      </c>
      <c r="AC28" s="194"/>
      <c r="AD28" s="194">
        <f>+V28/H28</f>
        <v>1</v>
      </c>
      <c r="AE28" s="194"/>
      <c r="AF28" s="194"/>
      <c r="AG28" s="194">
        <f>+AD28*E28</f>
        <v>0.1</v>
      </c>
      <c r="AH28" s="194">
        <f t="shared" ref="AH28:AH36" si="23">+AE28*E28</f>
        <v>0</v>
      </c>
      <c r="AI28" s="194"/>
      <c r="AJ28" s="230">
        <v>0.4</v>
      </c>
      <c r="AK28" s="230">
        <f t="shared" ref="AK28:AK35" si="24">+W28/F28</f>
        <v>0.5</v>
      </c>
      <c r="AL28" s="252">
        <v>0</v>
      </c>
      <c r="AM28" s="252">
        <f>+AJ28*E28</f>
        <v>4.0000000000000008E-2</v>
      </c>
      <c r="AN28" s="252">
        <f t="shared" ref="AN28:AN36" si="25">+AK28*E28</f>
        <v>0.05</v>
      </c>
      <c r="AO28" s="566" t="s">
        <v>1850</v>
      </c>
      <c r="AP28" s="644" t="s">
        <v>1919</v>
      </c>
      <c r="AQ28" s="644" t="s">
        <v>2278</v>
      </c>
      <c r="AR28" s="567" t="s">
        <v>2288</v>
      </c>
      <c r="AS28" s="687" t="s">
        <v>2371</v>
      </c>
      <c r="AT28" s="1136" t="s">
        <v>2437</v>
      </c>
      <c r="AU28" s="567" t="s">
        <v>2496</v>
      </c>
      <c r="AV28" s="567" t="s">
        <v>1893</v>
      </c>
    </row>
    <row r="29" spans="1:48" ht="105.6" customHeight="1" thickBot="1" x14ac:dyDescent="0.4">
      <c r="A29" s="155"/>
      <c r="B29" s="173" t="s">
        <v>822</v>
      </c>
      <c r="C29" s="223" t="s">
        <v>1282</v>
      </c>
      <c r="D29" s="224" t="s">
        <v>560</v>
      </c>
      <c r="E29" s="228">
        <v>0.05</v>
      </c>
      <c r="F29" s="226">
        <v>2</v>
      </c>
      <c r="G29" s="170">
        <v>0</v>
      </c>
      <c r="H29" s="170">
        <v>1</v>
      </c>
      <c r="I29" s="170">
        <v>1</v>
      </c>
      <c r="J29" s="176"/>
      <c r="K29" s="176">
        <f t="shared" ref="K29:K32" si="26">+H29/F29</f>
        <v>0.5</v>
      </c>
      <c r="L29" s="176">
        <f t="shared" ref="L29:L36" si="27">+I29/F29</f>
        <v>0.5</v>
      </c>
      <c r="M29" s="176"/>
      <c r="N29" s="176">
        <f t="shared" si="21"/>
        <v>2.5000000000000001E-2</v>
      </c>
      <c r="O29" s="176"/>
      <c r="P29" s="170"/>
      <c r="Q29" s="541">
        <v>0</v>
      </c>
      <c r="R29" s="541">
        <v>1</v>
      </c>
      <c r="S29" s="541">
        <v>0</v>
      </c>
      <c r="T29" s="541">
        <v>0</v>
      </c>
      <c r="U29" s="541">
        <v>0</v>
      </c>
      <c r="V29" s="170">
        <f t="shared" si="6"/>
        <v>1</v>
      </c>
      <c r="W29" s="170">
        <f t="shared" ref="W29:W35" si="28">+V29+P29+AB29</f>
        <v>1.5</v>
      </c>
      <c r="X29" s="541">
        <v>0.5</v>
      </c>
      <c r="Y29" s="170"/>
      <c r="Z29" s="170"/>
      <c r="AA29" s="170"/>
      <c r="AB29" s="170">
        <f t="shared" si="22"/>
        <v>0.5</v>
      </c>
      <c r="AC29" s="194"/>
      <c r="AD29" s="194">
        <f>+V29/H29</f>
        <v>1</v>
      </c>
      <c r="AE29" s="194">
        <f t="shared" ref="AE29:AE36" si="29">+AB29/I29</f>
        <v>0.5</v>
      </c>
      <c r="AF29" s="194"/>
      <c r="AG29" s="194">
        <f>+AD29*E29</f>
        <v>0.05</v>
      </c>
      <c r="AH29" s="194">
        <f t="shared" si="23"/>
        <v>2.5000000000000001E-2</v>
      </c>
      <c r="AI29" s="194"/>
      <c r="AJ29" s="230">
        <v>0.5</v>
      </c>
      <c r="AK29" s="230">
        <f t="shared" si="24"/>
        <v>0.75</v>
      </c>
      <c r="AL29" s="252">
        <v>0</v>
      </c>
      <c r="AM29" s="252">
        <f>+AJ29*E29</f>
        <v>2.5000000000000001E-2</v>
      </c>
      <c r="AN29" s="252">
        <f t="shared" si="25"/>
        <v>3.7500000000000006E-2</v>
      </c>
      <c r="AO29" s="566" t="s">
        <v>1850</v>
      </c>
      <c r="AP29" s="644" t="s">
        <v>1919</v>
      </c>
      <c r="AQ29" s="644" t="s">
        <v>2279</v>
      </c>
      <c r="AR29" s="567" t="s">
        <v>2288</v>
      </c>
      <c r="AS29" s="687" t="s">
        <v>2371</v>
      </c>
      <c r="AT29" s="1136" t="s">
        <v>2437</v>
      </c>
      <c r="AU29" s="567" t="s">
        <v>2496</v>
      </c>
      <c r="AV29" s="567" t="s">
        <v>1893</v>
      </c>
    </row>
    <row r="30" spans="1:48" ht="81.599999999999994" customHeight="1" thickBot="1" x14ac:dyDescent="0.4">
      <c r="A30" s="155"/>
      <c r="B30" s="173" t="s">
        <v>823</v>
      </c>
      <c r="C30" s="223" t="s">
        <v>1283</v>
      </c>
      <c r="D30" s="224" t="s">
        <v>560</v>
      </c>
      <c r="E30" s="228">
        <v>0.05</v>
      </c>
      <c r="F30" s="226">
        <v>1</v>
      </c>
      <c r="G30" s="170">
        <v>0</v>
      </c>
      <c r="H30" s="170">
        <v>0.5</v>
      </c>
      <c r="I30" s="170">
        <v>0.5</v>
      </c>
      <c r="J30" s="176"/>
      <c r="K30" s="176">
        <f t="shared" si="26"/>
        <v>0.5</v>
      </c>
      <c r="L30" s="176">
        <f t="shared" si="27"/>
        <v>0.5</v>
      </c>
      <c r="M30" s="176"/>
      <c r="N30" s="176">
        <f t="shared" si="21"/>
        <v>2.5000000000000001E-2</v>
      </c>
      <c r="O30" s="176"/>
      <c r="P30" s="170"/>
      <c r="Q30" s="541">
        <v>0</v>
      </c>
      <c r="R30" s="541">
        <v>0.1</v>
      </c>
      <c r="S30" s="541">
        <v>0</v>
      </c>
      <c r="T30" s="541">
        <v>0.4</v>
      </c>
      <c r="U30" s="541">
        <v>0</v>
      </c>
      <c r="V30" s="170">
        <f t="shared" si="6"/>
        <v>0.5</v>
      </c>
      <c r="W30" s="170">
        <f t="shared" si="28"/>
        <v>0.5</v>
      </c>
      <c r="X30" s="541">
        <v>0</v>
      </c>
      <c r="Y30" s="170"/>
      <c r="Z30" s="170"/>
      <c r="AA30" s="170"/>
      <c r="AB30" s="170">
        <f t="shared" si="22"/>
        <v>0</v>
      </c>
      <c r="AC30" s="194"/>
      <c r="AD30" s="194">
        <f>+V30/H30</f>
        <v>1</v>
      </c>
      <c r="AE30" s="194">
        <f t="shared" si="29"/>
        <v>0</v>
      </c>
      <c r="AF30" s="194"/>
      <c r="AG30" s="194">
        <f>+AD30*E30</f>
        <v>0.05</v>
      </c>
      <c r="AH30" s="194">
        <f t="shared" si="23"/>
        <v>0</v>
      </c>
      <c r="AI30" s="194"/>
      <c r="AJ30" s="230">
        <v>0.5</v>
      </c>
      <c r="AK30" s="230">
        <f t="shared" si="24"/>
        <v>0.5</v>
      </c>
      <c r="AL30" s="252">
        <v>0</v>
      </c>
      <c r="AM30" s="252">
        <f>+AJ30*E30</f>
        <v>2.5000000000000001E-2</v>
      </c>
      <c r="AN30" s="252">
        <f t="shared" si="25"/>
        <v>2.5000000000000001E-2</v>
      </c>
      <c r="AO30" s="566" t="s">
        <v>1850</v>
      </c>
      <c r="AP30" s="644" t="s">
        <v>1919</v>
      </c>
      <c r="AQ30" s="644" t="s">
        <v>2280</v>
      </c>
      <c r="AR30" s="567" t="s">
        <v>2288</v>
      </c>
      <c r="AS30" s="687" t="s">
        <v>2371</v>
      </c>
      <c r="AT30" s="1136" t="s">
        <v>2437</v>
      </c>
      <c r="AU30" s="567" t="s">
        <v>2496</v>
      </c>
      <c r="AV30" s="567" t="s">
        <v>1893</v>
      </c>
    </row>
    <row r="31" spans="1:48" ht="92.4" customHeight="1" thickBot="1" x14ac:dyDescent="0.4">
      <c r="A31" s="155"/>
      <c r="B31" s="173" t="s">
        <v>824</v>
      </c>
      <c r="C31" s="223" t="s">
        <v>1284</v>
      </c>
      <c r="D31" s="224" t="s">
        <v>825</v>
      </c>
      <c r="E31" s="228">
        <v>0.75</v>
      </c>
      <c r="F31" s="226">
        <v>8</v>
      </c>
      <c r="G31" s="170">
        <v>4</v>
      </c>
      <c r="H31" s="170">
        <v>2</v>
      </c>
      <c r="I31" s="170">
        <v>2</v>
      </c>
      <c r="J31" s="176">
        <f>+G31/F31</f>
        <v>0.5</v>
      </c>
      <c r="K31" s="176">
        <f t="shared" si="26"/>
        <v>0.25</v>
      </c>
      <c r="L31" s="176">
        <f t="shared" si="27"/>
        <v>0.25</v>
      </c>
      <c r="M31" s="176">
        <f>+(G31/F31)*E31</f>
        <v>0.375</v>
      </c>
      <c r="N31" s="176">
        <f t="shared" si="21"/>
        <v>0.1875</v>
      </c>
      <c r="O31" s="176"/>
      <c r="P31" s="170">
        <v>4</v>
      </c>
      <c r="Q31" s="541">
        <v>0</v>
      </c>
      <c r="R31" s="541">
        <v>0</v>
      </c>
      <c r="S31" s="541">
        <v>0</v>
      </c>
      <c r="T31" s="541">
        <v>0</v>
      </c>
      <c r="U31" s="541">
        <v>0</v>
      </c>
      <c r="V31" s="170">
        <f t="shared" si="6"/>
        <v>0</v>
      </c>
      <c r="W31" s="170">
        <f t="shared" si="28"/>
        <v>16</v>
      </c>
      <c r="X31" s="541">
        <v>12</v>
      </c>
      <c r="Y31" s="170"/>
      <c r="Z31" s="170"/>
      <c r="AA31" s="170"/>
      <c r="AB31" s="170">
        <f t="shared" si="22"/>
        <v>12</v>
      </c>
      <c r="AC31" s="194">
        <v>1</v>
      </c>
      <c r="AD31" s="194">
        <f>+V31/H31</f>
        <v>0</v>
      </c>
      <c r="AE31" s="194">
        <v>1</v>
      </c>
      <c r="AF31" s="194">
        <f>+AC31*E31</f>
        <v>0.75</v>
      </c>
      <c r="AG31" s="194">
        <f>+AD31*E31</f>
        <v>0</v>
      </c>
      <c r="AH31" s="194">
        <f t="shared" si="23"/>
        <v>0.75</v>
      </c>
      <c r="AI31" s="194">
        <f>+P31/F31</f>
        <v>0.5</v>
      </c>
      <c r="AJ31" s="230">
        <v>0.5</v>
      </c>
      <c r="AK31" s="230">
        <v>1</v>
      </c>
      <c r="AL31" s="252">
        <f>+AI31*E31</f>
        <v>0.375</v>
      </c>
      <c r="AM31" s="252">
        <f>+AJ31*E31</f>
        <v>0.375</v>
      </c>
      <c r="AN31" s="252">
        <f t="shared" si="25"/>
        <v>0.75</v>
      </c>
      <c r="AO31" s="566" t="s">
        <v>1850</v>
      </c>
      <c r="AP31" s="567" t="s">
        <v>1892</v>
      </c>
      <c r="AQ31" s="567" t="s">
        <v>2268</v>
      </c>
      <c r="AR31" s="567" t="s">
        <v>2288</v>
      </c>
      <c r="AS31" s="571" t="s">
        <v>2403</v>
      </c>
      <c r="AT31" s="1136" t="s">
        <v>2437</v>
      </c>
      <c r="AU31" s="567" t="s">
        <v>2496</v>
      </c>
      <c r="AV31" s="567" t="s">
        <v>1893</v>
      </c>
    </row>
    <row r="32" spans="1:48" ht="97.95" customHeight="1" thickBot="1" x14ac:dyDescent="0.4">
      <c r="A32" s="155"/>
      <c r="B32" s="790" t="s">
        <v>826</v>
      </c>
      <c r="C32" s="791" t="s">
        <v>1285</v>
      </c>
      <c r="D32" s="224" t="s">
        <v>560</v>
      </c>
      <c r="E32" s="228">
        <v>0.05</v>
      </c>
      <c r="F32" s="226">
        <v>1</v>
      </c>
      <c r="G32" s="170">
        <v>0</v>
      </c>
      <c r="H32" s="170">
        <v>0</v>
      </c>
      <c r="I32" s="170"/>
      <c r="J32" s="176"/>
      <c r="K32" s="176">
        <f t="shared" si="26"/>
        <v>0</v>
      </c>
      <c r="L32" s="176">
        <f t="shared" si="27"/>
        <v>0</v>
      </c>
      <c r="M32" s="176"/>
      <c r="N32" s="176">
        <f t="shared" si="21"/>
        <v>0</v>
      </c>
      <c r="O32" s="176"/>
      <c r="P32" s="170"/>
      <c r="Q32" s="541"/>
      <c r="R32" s="170"/>
      <c r="S32" s="170"/>
      <c r="T32" s="170"/>
      <c r="U32" s="170"/>
      <c r="V32" s="170">
        <f t="shared" si="6"/>
        <v>0</v>
      </c>
      <c r="W32" s="170">
        <f t="shared" si="28"/>
        <v>0</v>
      </c>
      <c r="X32" s="170"/>
      <c r="Y32" s="170"/>
      <c r="Z32" s="170"/>
      <c r="AA32" s="170"/>
      <c r="AB32" s="170">
        <f t="shared" si="22"/>
        <v>0</v>
      </c>
      <c r="AC32" s="194"/>
      <c r="AD32" s="194"/>
      <c r="AE32" s="194"/>
      <c r="AF32" s="194"/>
      <c r="AG32" s="194"/>
      <c r="AH32" s="194">
        <f t="shared" si="23"/>
        <v>0</v>
      </c>
      <c r="AI32" s="194"/>
      <c r="AJ32" s="230">
        <v>0</v>
      </c>
      <c r="AK32" s="230">
        <f t="shared" si="24"/>
        <v>0</v>
      </c>
      <c r="AL32" s="252">
        <v>0</v>
      </c>
      <c r="AM32" s="252">
        <f>+AJ32*E32</f>
        <v>0</v>
      </c>
      <c r="AN32" s="252">
        <f t="shared" si="25"/>
        <v>0</v>
      </c>
      <c r="AO32" s="566" t="s">
        <v>1850</v>
      </c>
      <c r="AP32" s="540" t="s">
        <v>1902</v>
      </c>
      <c r="AQ32" s="567" t="s">
        <v>2268</v>
      </c>
      <c r="AR32" s="540" t="s">
        <v>1902</v>
      </c>
      <c r="AS32" s="540" t="s">
        <v>1902</v>
      </c>
      <c r="AT32" s="1137" t="s">
        <v>1865</v>
      </c>
      <c r="AU32" s="540" t="s">
        <v>1902</v>
      </c>
      <c r="AV32" s="540" t="s">
        <v>1902</v>
      </c>
    </row>
    <row r="33" spans="1:48" ht="70.95" customHeight="1" thickBot="1" x14ac:dyDescent="0.4">
      <c r="A33" s="155"/>
      <c r="B33" s="1557" t="s">
        <v>1726</v>
      </c>
      <c r="C33" s="1571"/>
      <c r="D33" s="231"/>
      <c r="E33" s="232">
        <v>0.25</v>
      </c>
      <c r="F33" s="226"/>
      <c r="G33" s="163"/>
      <c r="H33" s="163"/>
      <c r="I33" s="163"/>
      <c r="J33" s="169">
        <f>+AVERAGE(J34:J36)</f>
        <v>0.2142857142857143</v>
      </c>
      <c r="K33" s="169">
        <f>+AVERAGE(K34:K36)</f>
        <v>0.17476190476190476</v>
      </c>
      <c r="L33" s="169">
        <f>+AVERAGE(L34:L36)</f>
        <v>0.34119047619047621</v>
      </c>
      <c r="M33" s="169">
        <f>+M34+M35+M36</f>
        <v>0.11071428571428571</v>
      </c>
      <c r="N33" s="169">
        <f>+N34+N35+N36</f>
        <v>0.12985714285714287</v>
      </c>
      <c r="O33" s="169"/>
      <c r="P33" s="168"/>
      <c r="Q33" s="168"/>
      <c r="R33" s="168"/>
      <c r="S33" s="168"/>
      <c r="T33" s="168"/>
      <c r="U33" s="168"/>
      <c r="V33" s="170"/>
      <c r="W33" s="170"/>
      <c r="X33" s="168"/>
      <c r="Y33" s="168"/>
      <c r="Z33" s="168"/>
      <c r="AA33" s="168"/>
      <c r="AB33" s="168"/>
      <c r="AC33" s="192">
        <f>+AVERAGE(AC34:AC36)</f>
        <v>1</v>
      </c>
      <c r="AD33" s="192">
        <f>+AVERAGE(AD34:AD36)</f>
        <v>1</v>
      </c>
      <c r="AE33" s="192">
        <f>+AVERAGE(AE34:AE36)</f>
        <v>0.12184073107049609</v>
      </c>
      <c r="AF33" s="192">
        <f>+(AF34+AF35+AF36)*E33</f>
        <v>0.125</v>
      </c>
      <c r="AG33" s="192">
        <f>+(AG34+AG35+AG36)*E33</f>
        <v>0.125</v>
      </c>
      <c r="AH33" s="192">
        <f>+(AH34+AH35+AH36)*E33</f>
        <v>2.4901109660574412E-2</v>
      </c>
      <c r="AI33" s="169">
        <f>+AVERAGE(AI34:AI36)</f>
        <v>0.23345238095238097</v>
      </c>
      <c r="AJ33" s="169">
        <v>0.43000178571428571</v>
      </c>
      <c r="AK33" s="169">
        <f>+(AK34*0.33)+(AK36*0.33)</f>
        <v>0.46093928571428572</v>
      </c>
      <c r="AL33" s="222">
        <f>+(AL34+AL35+AL36)*E33</f>
        <v>2.9803571428571429E-2</v>
      </c>
      <c r="AM33" s="222">
        <f>+(AM34+AM35+AM36)</f>
        <v>0.33998214285714284</v>
      </c>
      <c r="AN33" s="222">
        <f>+(AN34+AN35+AN36)</f>
        <v>0.36535714285714288</v>
      </c>
      <c r="AO33" s="913"/>
      <c r="AP33" s="535"/>
      <c r="AQ33" s="535"/>
      <c r="AR33" s="535"/>
      <c r="AS33" s="535"/>
      <c r="AT33" s="1135"/>
      <c r="AU33" s="535"/>
      <c r="AV33" s="535"/>
    </row>
    <row r="34" spans="1:48" ht="87.6" customHeight="1" thickBot="1" x14ac:dyDescent="0.4">
      <c r="A34" s="155"/>
      <c r="B34" s="181" t="s">
        <v>827</v>
      </c>
      <c r="C34" s="235" t="s">
        <v>1286</v>
      </c>
      <c r="D34" s="224" t="s">
        <v>560</v>
      </c>
      <c r="E34" s="228">
        <v>0.2</v>
      </c>
      <c r="F34" s="226">
        <v>2800</v>
      </c>
      <c r="G34" s="170">
        <v>500</v>
      </c>
      <c r="H34" s="170">
        <v>768</v>
      </c>
      <c r="I34" s="170">
        <v>766</v>
      </c>
      <c r="J34" s="176">
        <f>+G34/F34</f>
        <v>0.17857142857142858</v>
      </c>
      <c r="K34" s="176">
        <f t="shared" ref="K34:K36" si="30">+H34/F34</f>
        <v>0.2742857142857143</v>
      </c>
      <c r="L34" s="176">
        <f>+I34/F34</f>
        <v>0.27357142857142858</v>
      </c>
      <c r="M34" s="176">
        <f>+(G34/F34)*E34</f>
        <v>3.5714285714285719E-2</v>
      </c>
      <c r="N34" s="176">
        <f t="shared" ref="N34:N36" si="31">+(H34/F34)*E34</f>
        <v>5.4857142857142861E-2</v>
      </c>
      <c r="O34" s="176"/>
      <c r="P34" s="236">
        <v>584</v>
      </c>
      <c r="Q34" s="541">
        <v>67</v>
      </c>
      <c r="R34" s="541">
        <v>318</v>
      </c>
      <c r="S34" s="541">
        <v>316</v>
      </c>
      <c r="T34" s="541">
        <v>141</v>
      </c>
      <c r="U34" s="541">
        <v>0</v>
      </c>
      <c r="V34" s="236">
        <f t="shared" si="6"/>
        <v>842</v>
      </c>
      <c r="W34" s="170">
        <f>+V34+P34+AB34</f>
        <v>1503</v>
      </c>
      <c r="X34" s="541">
        <v>77</v>
      </c>
      <c r="Y34" s="236"/>
      <c r="Z34" s="236"/>
      <c r="AA34" s="236"/>
      <c r="AB34" s="236">
        <f t="shared" ref="AB34:AB36" si="32">+X34+Y34+Z34+AA34</f>
        <v>77</v>
      </c>
      <c r="AC34" s="194">
        <v>1</v>
      </c>
      <c r="AD34" s="194">
        <v>1</v>
      </c>
      <c r="AE34" s="194">
        <f t="shared" si="29"/>
        <v>0.10052219321148825</v>
      </c>
      <c r="AF34" s="194">
        <f>+AC34*E34</f>
        <v>0.2</v>
      </c>
      <c r="AG34" s="194">
        <f>+AD34*E34</f>
        <v>0.2</v>
      </c>
      <c r="AH34" s="194">
        <f t="shared" si="23"/>
        <v>2.0104438642297651E-2</v>
      </c>
      <c r="AI34" s="194">
        <f>+P34/F34</f>
        <v>0.20857142857142857</v>
      </c>
      <c r="AJ34" s="230">
        <v>0.50928571428571423</v>
      </c>
      <c r="AK34" s="230">
        <f t="shared" si="24"/>
        <v>0.53678571428571431</v>
      </c>
      <c r="AL34" s="230">
        <f>+AI34*E34</f>
        <v>4.1714285714285718E-2</v>
      </c>
      <c r="AM34" s="230">
        <f>+AJ34*E34</f>
        <v>0.10185714285714285</v>
      </c>
      <c r="AN34" s="230">
        <f t="shared" si="25"/>
        <v>0.10735714285714287</v>
      </c>
      <c r="AO34" s="566" t="s">
        <v>1850</v>
      </c>
      <c r="AP34" s="567" t="s">
        <v>1892</v>
      </c>
      <c r="AQ34" s="567" t="s">
        <v>2268</v>
      </c>
      <c r="AR34" s="567" t="s">
        <v>2288</v>
      </c>
      <c r="AS34" s="571" t="s">
        <v>2403</v>
      </c>
      <c r="AT34" s="1136" t="s">
        <v>2437</v>
      </c>
      <c r="AU34" s="567" t="s">
        <v>2496</v>
      </c>
      <c r="AV34" s="567" t="s">
        <v>1893</v>
      </c>
    </row>
    <row r="35" spans="1:48" ht="98.4" customHeight="1" thickBot="1" x14ac:dyDescent="0.4">
      <c r="A35" s="155"/>
      <c r="B35" s="173" t="s">
        <v>828</v>
      </c>
      <c r="C35" s="223" t="s">
        <v>1287</v>
      </c>
      <c r="D35" s="224" t="s">
        <v>560</v>
      </c>
      <c r="E35" s="228">
        <v>0.5</v>
      </c>
      <c r="F35" s="226">
        <v>6</v>
      </c>
      <c r="G35" s="170">
        <v>0</v>
      </c>
      <c r="H35" s="170">
        <v>0</v>
      </c>
      <c r="I35" s="170">
        <v>3</v>
      </c>
      <c r="J35" s="176"/>
      <c r="K35" s="176">
        <f t="shared" si="30"/>
        <v>0</v>
      </c>
      <c r="L35" s="176">
        <f t="shared" si="27"/>
        <v>0.5</v>
      </c>
      <c r="M35" s="176"/>
      <c r="N35" s="176">
        <f t="shared" si="31"/>
        <v>0</v>
      </c>
      <c r="O35" s="176"/>
      <c r="P35" s="170"/>
      <c r="Q35" s="541">
        <v>0</v>
      </c>
      <c r="R35" s="541"/>
      <c r="S35" s="541"/>
      <c r="T35" s="541"/>
      <c r="U35" s="541"/>
      <c r="V35" s="170">
        <f t="shared" si="6"/>
        <v>0</v>
      </c>
      <c r="W35" s="170">
        <f t="shared" si="28"/>
        <v>0</v>
      </c>
      <c r="X35" s="541">
        <v>0</v>
      </c>
      <c r="Y35" s="170"/>
      <c r="Z35" s="170"/>
      <c r="AA35" s="170"/>
      <c r="AB35" s="170">
        <f t="shared" si="32"/>
        <v>0</v>
      </c>
      <c r="AC35" s="194"/>
      <c r="AD35" s="194"/>
      <c r="AE35" s="194">
        <f>+AB35/I35</f>
        <v>0</v>
      </c>
      <c r="AF35" s="194"/>
      <c r="AG35" s="194">
        <f>+AD35*E35</f>
        <v>0</v>
      </c>
      <c r="AH35" s="194">
        <f t="shared" si="23"/>
        <v>0</v>
      </c>
      <c r="AI35" s="194"/>
      <c r="AJ35" s="230"/>
      <c r="AK35" s="230">
        <f t="shared" si="24"/>
        <v>0</v>
      </c>
      <c r="AL35" s="230">
        <v>0</v>
      </c>
      <c r="AM35" s="230">
        <f>+AJ35*E35</f>
        <v>0</v>
      </c>
      <c r="AN35" s="230">
        <f t="shared" si="25"/>
        <v>0</v>
      </c>
      <c r="AO35" s="566" t="s">
        <v>1850</v>
      </c>
      <c r="AP35" s="644" t="s">
        <v>1919</v>
      </c>
      <c r="AQ35" s="644" t="s">
        <v>2281</v>
      </c>
      <c r="AR35" s="567" t="s">
        <v>2288</v>
      </c>
      <c r="AS35" s="540" t="s">
        <v>2371</v>
      </c>
      <c r="AT35" s="1136" t="s">
        <v>2437</v>
      </c>
      <c r="AU35" s="567" t="s">
        <v>2496</v>
      </c>
      <c r="AV35" s="567" t="s">
        <v>1893</v>
      </c>
    </row>
    <row r="36" spans="1:48" ht="75" customHeight="1" thickBot="1" x14ac:dyDescent="0.4">
      <c r="A36" s="155"/>
      <c r="B36" s="173" t="s">
        <v>829</v>
      </c>
      <c r="C36" s="223" t="s">
        <v>1288</v>
      </c>
      <c r="D36" s="224" t="s">
        <v>560</v>
      </c>
      <c r="E36" s="228">
        <v>0.3</v>
      </c>
      <c r="F36" s="226">
        <v>2400</v>
      </c>
      <c r="G36" s="170">
        <v>600</v>
      </c>
      <c r="H36" s="170">
        <v>600</v>
      </c>
      <c r="I36" s="170">
        <v>600</v>
      </c>
      <c r="J36" s="176">
        <f>+G36/F36</f>
        <v>0.25</v>
      </c>
      <c r="K36" s="176">
        <f t="shared" si="30"/>
        <v>0.25</v>
      </c>
      <c r="L36" s="176">
        <f t="shared" si="27"/>
        <v>0.25</v>
      </c>
      <c r="M36" s="176">
        <f>+(G36/F36)*E36</f>
        <v>7.4999999999999997E-2</v>
      </c>
      <c r="N36" s="176">
        <f t="shared" si="31"/>
        <v>7.4999999999999997E-2</v>
      </c>
      <c r="O36" s="176"/>
      <c r="P36" s="236">
        <v>620</v>
      </c>
      <c r="Q36" s="541">
        <v>270</v>
      </c>
      <c r="R36" s="541">
        <v>97</v>
      </c>
      <c r="S36" s="541">
        <v>454</v>
      </c>
      <c r="T36" s="236">
        <v>220</v>
      </c>
      <c r="U36" s="236">
        <v>244</v>
      </c>
      <c r="V36" s="236">
        <f t="shared" si="6"/>
        <v>1285</v>
      </c>
      <c r="W36" s="170">
        <f>+V36+P36+AB36</f>
        <v>2064</v>
      </c>
      <c r="X36" s="541">
        <v>159</v>
      </c>
      <c r="Y36" s="236"/>
      <c r="Z36" s="236"/>
      <c r="AA36" s="236"/>
      <c r="AB36" s="236">
        <f t="shared" si="32"/>
        <v>159</v>
      </c>
      <c r="AC36" s="194">
        <v>1</v>
      </c>
      <c r="AD36" s="194">
        <v>1</v>
      </c>
      <c r="AE36" s="194">
        <f t="shared" si="29"/>
        <v>0.26500000000000001</v>
      </c>
      <c r="AF36" s="194">
        <f>+AC36*E36</f>
        <v>0.3</v>
      </c>
      <c r="AG36" s="194">
        <f>+AD36*E36</f>
        <v>0.3</v>
      </c>
      <c r="AH36" s="194">
        <f t="shared" si="23"/>
        <v>7.9500000000000001E-2</v>
      </c>
      <c r="AI36" s="194">
        <f>+P36/F36</f>
        <v>0.25833333333333336</v>
      </c>
      <c r="AJ36" s="230">
        <v>0.79374999999999996</v>
      </c>
      <c r="AK36" s="230">
        <f>+W36/F36</f>
        <v>0.86</v>
      </c>
      <c r="AL36" s="230">
        <f>+AI36*E36</f>
        <v>7.7499999999999999E-2</v>
      </c>
      <c r="AM36" s="230">
        <f>+AJ36*E36</f>
        <v>0.23812499999999998</v>
      </c>
      <c r="AN36" s="230">
        <f t="shared" si="25"/>
        <v>0.25800000000000001</v>
      </c>
      <c r="AO36" s="566" t="s">
        <v>1850</v>
      </c>
      <c r="AP36" s="567" t="s">
        <v>1892</v>
      </c>
      <c r="AQ36" s="567" t="s">
        <v>2268</v>
      </c>
      <c r="AR36" s="567" t="s">
        <v>2288</v>
      </c>
      <c r="AS36" s="571" t="s">
        <v>2403</v>
      </c>
      <c r="AT36" s="1136" t="s">
        <v>2437</v>
      </c>
      <c r="AU36" s="567" t="s">
        <v>2496</v>
      </c>
      <c r="AV36" s="567" t="s">
        <v>1893</v>
      </c>
    </row>
    <row r="37" spans="1:48" ht="61.2" customHeight="1" thickBot="1" x14ac:dyDescent="0.4">
      <c r="A37" s="155"/>
      <c r="B37" s="1561" t="s">
        <v>1805</v>
      </c>
      <c r="C37" s="1571"/>
      <c r="D37" s="231"/>
      <c r="E37" s="234">
        <v>0.15</v>
      </c>
      <c r="F37" s="158">
        <f>+E37*AF37</f>
        <v>6.8925749999999994E-2</v>
      </c>
      <c r="G37" s="163"/>
      <c r="H37" s="159">
        <f>+E37*AG37</f>
        <v>6.6137041443108238E-2</v>
      </c>
      <c r="I37" s="159">
        <f>+E37*AH37</f>
        <v>1.0973807142857145E-2</v>
      </c>
      <c r="J37" s="161">
        <f>+(J38+J46+J50+J53+J57)/5</f>
        <v>0.17888888888888888</v>
      </c>
      <c r="K37" s="161">
        <f>+(K38+K46+K50+K53+K57)/5</f>
        <v>0.28274305555555557</v>
      </c>
      <c r="L37" s="161">
        <f>+(L38+L46+L50+L53+L57)/5</f>
        <v>0.31627777777777777</v>
      </c>
      <c r="M37" s="162">
        <f>+(M38+M46+M50+M53+M57)/5</f>
        <v>0.13083333333333333</v>
      </c>
      <c r="N37" s="162">
        <f>+(N38+N46+N50+N53+N57)/5</f>
        <v>0.19008333333333333</v>
      </c>
      <c r="O37" s="162"/>
      <c r="P37" s="163"/>
      <c r="Q37" s="163"/>
      <c r="R37" s="163"/>
      <c r="S37" s="163"/>
      <c r="T37" s="163"/>
      <c r="U37" s="163"/>
      <c r="V37" s="967"/>
      <c r="W37" s="163"/>
      <c r="X37" s="163"/>
      <c r="Y37" s="163"/>
      <c r="Z37" s="163"/>
      <c r="AA37" s="163"/>
      <c r="AB37" s="163"/>
      <c r="AC37" s="161">
        <f>+(AC38+AC46+AC50+AC53+AC57)/5</f>
        <v>0.75614000000000003</v>
      </c>
      <c r="AD37" s="161">
        <f>+(AD38+AD46+AD50+AD53+AD57)/5</f>
        <v>0.78964986740672216</v>
      </c>
      <c r="AE37" s="161">
        <f>+(AE38+AE46+AE50+AE53+AE57)/5</f>
        <v>0.12107485714285715</v>
      </c>
      <c r="AF37" s="162">
        <f>+AF38+AF46+AF50+AF53+AF57</f>
        <v>0.45950499999999994</v>
      </c>
      <c r="AG37" s="162">
        <f>+AG38+AG46+AG50+AG53+AG57</f>
        <v>0.44091360962072157</v>
      </c>
      <c r="AH37" s="162">
        <f>+AH38+AH46+AH50+AH53+AH57</f>
        <v>7.3158714285714299E-2</v>
      </c>
      <c r="AI37" s="219">
        <f>(AI38+AI46+AI50+AI53+AI57)/5</f>
        <v>0.13760416666666669</v>
      </c>
      <c r="AJ37" s="219">
        <v>0.37340679841269842</v>
      </c>
      <c r="AK37" s="219">
        <f>(AK38+AK46+AK50+AK53+AK57)/5</f>
        <v>0.47124168730158733</v>
      </c>
      <c r="AL37" s="220">
        <f>+(AL38+AL46+AL50+AL53+AL57)</f>
        <v>8.7734791666666673E-2</v>
      </c>
      <c r="AM37" s="220">
        <f>+(AM38*E38+AM46*E46+AM50*E50+AM53*E53+AM57*E57)</f>
        <v>0.27470192500000001</v>
      </c>
      <c r="AN37" s="220">
        <f>+(AN38*E38+AN46*E46+AN50*E50+AN53*F53+AN57*E57)</f>
        <v>0.29058750833333336</v>
      </c>
      <c r="AO37" s="912"/>
      <c r="AP37" s="535"/>
      <c r="AQ37" s="535"/>
      <c r="AR37" s="535"/>
      <c r="AS37" s="535"/>
      <c r="AT37" s="1135"/>
      <c r="AU37" s="535"/>
      <c r="AV37" s="535"/>
    </row>
    <row r="38" spans="1:48" ht="42.75" customHeight="1" thickBot="1" x14ac:dyDescent="0.4">
      <c r="A38" s="155"/>
      <c r="B38" s="1557" t="s">
        <v>1727</v>
      </c>
      <c r="C38" s="1571"/>
      <c r="D38" s="231"/>
      <c r="E38" s="232">
        <v>0.25</v>
      </c>
      <c r="F38" s="226"/>
      <c r="G38" s="163"/>
      <c r="H38" s="163"/>
      <c r="I38" s="163"/>
      <c r="J38" s="169">
        <f>+AVERAGE(J39:J45)</f>
        <v>0.23611111111111108</v>
      </c>
      <c r="K38" s="169">
        <f>+AVERAGE(K39:K45)</f>
        <v>0.30260416666666662</v>
      </c>
      <c r="L38" s="169">
        <f>+AVERAGE(L39:L45)</f>
        <v>0.27027777777777778</v>
      </c>
      <c r="M38" s="169">
        <f>+M39+M40+M41+M42+M43+M44+M45</f>
        <v>6.5833333333333327E-2</v>
      </c>
      <c r="N38" s="169">
        <f>+N39+N40+N41+N42+N43+N44+N45</f>
        <v>8.9583333333333334E-2</v>
      </c>
      <c r="O38" s="169"/>
      <c r="P38" s="168"/>
      <c r="Q38" s="168"/>
      <c r="R38" s="168"/>
      <c r="S38" s="168"/>
      <c r="T38" s="168"/>
      <c r="U38" s="168"/>
      <c r="V38" s="170"/>
      <c r="W38" s="168"/>
      <c r="X38" s="168"/>
      <c r="Y38" s="168"/>
      <c r="Z38" s="168"/>
      <c r="AA38" s="168"/>
      <c r="AB38" s="168"/>
      <c r="AC38" s="192">
        <f>+AVERAGE(AC39:AC45)</f>
        <v>0.66469999999999996</v>
      </c>
      <c r="AD38" s="192">
        <f>+AVERAGE(AD39:AD45)</f>
        <v>0.66946382978723407</v>
      </c>
      <c r="AE38" s="192">
        <f>+AVERAGE(AE39:AE45)</f>
        <v>0</v>
      </c>
      <c r="AF38" s="192">
        <f>+(AF39+AF40+AF41+AF42+AF43+AF44+AF45)*E38</f>
        <v>5.7204999999999999E-2</v>
      </c>
      <c r="AG38" s="192">
        <f>+(AG39+AG40+AG41+AG42+AG43+AG44+AG45)*E38</f>
        <v>3.2365957446808508E-2</v>
      </c>
      <c r="AH38" s="192">
        <f>+(AH39+AH40+AH41+AH42+AH43+AH44+AH45)*E38</f>
        <v>0</v>
      </c>
      <c r="AI38" s="169">
        <f>+AVERAGE(AI39:AI45)</f>
        <v>0.12475416666666667</v>
      </c>
      <c r="AJ38" s="169">
        <v>0.29423154761904763</v>
      </c>
      <c r="AK38" s="169">
        <f>+AVERAGE(AK39:AK45)</f>
        <v>0.29423154761904763</v>
      </c>
      <c r="AL38" s="222">
        <f>+(AL39+AL40+AL41+AL42+AL43+AL44+AL45)*E38</f>
        <v>8.0881249999999998E-3</v>
      </c>
      <c r="AM38" s="222">
        <f>+(AM39+AM40+AM41+AM42+AM43+AM44+AM45)</f>
        <v>0.17025750000000001</v>
      </c>
      <c r="AN38" s="222">
        <f>+(AN39+AN40+AN41+AN42+AN43+AN44+AN45)</f>
        <v>0.17025750000000001</v>
      </c>
      <c r="AO38" s="913"/>
      <c r="AP38" s="535"/>
      <c r="AQ38" s="535"/>
      <c r="AR38" s="535"/>
      <c r="AS38" s="535"/>
      <c r="AT38" s="1135"/>
      <c r="AU38" s="535"/>
      <c r="AV38" s="535"/>
    </row>
    <row r="39" spans="1:48" ht="88.2" customHeight="1" thickBot="1" x14ac:dyDescent="0.4">
      <c r="A39" s="155"/>
      <c r="B39" s="173" t="s">
        <v>830</v>
      </c>
      <c r="C39" s="223" t="s">
        <v>1289</v>
      </c>
      <c r="D39" s="224" t="s">
        <v>767</v>
      </c>
      <c r="E39" s="228">
        <v>0.03</v>
      </c>
      <c r="F39" s="226">
        <f>12*4</f>
        <v>48</v>
      </c>
      <c r="G39" s="170">
        <v>12</v>
      </c>
      <c r="H39" s="170">
        <v>12</v>
      </c>
      <c r="I39" s="170">
        <v>12</v>
      </c>
      <c r="J39" s="176">
        <f t="shared" ref="J39:J45" si="33">+G39/F39</f>
        <v>0.25</v>
      </c>
      <c r="K39" s="176">
        <f t="shared" ref="K39:K43" si="34">+H39/F39</f>
        <v>0.25</v>
      </c>
      <c r="L39" s="176">
        <f t="shared" ref="L39:L44" si="35">+I39/F39</f>
        <v>0.25</v>
      </c>
      <c r="M39" s="176">
        <f t="shared" ref="M39:M45" si="36">+(G39/F39)*E39</f>
        <v>7.4999999999999997E-3</v>
      </c>
      <c r="N39" s="176">
        <f t="shared" ref="N39:N43" si="37">+(H39/F39)*E39</f>
        <v>7.4999999999999997E-3</v>
      </c>
      <c r="O39" s="176"/>
      <c r="P39" s="170">
        <v>12</v>
      </c>
      <c r="Q39" s="541">
        <v>0</v>
      </c>
      <c r="R39" s="541">
        <v>3</v>
      </c>
      <c r="S39" s="541">
        <v>2</v>
      </c>
      <c r="T39" s="541">
        <v>5</v>
      </c>
      <c r="U39" s="541">
        <v>2</v>
      </c>
      <c r="V39" s="170">
        <f t="shared" si="6"/>
        <v>12</v>
      </c>
      <c r="W39" s="170">
        <f>+V39+P39+AB39</f>
        <v>24</v>
      </c>
      <c r="X39" s="541">
        <v>0</v>
      </c>
      <c r="Y39" s="170"/>
      <c r="Z39" s="170"/>
      <c r="AA39" s="170"/>
      <c r="AB39" s="170">
        <f t="shared" ref="AB39:AB58" si="38">+X39+Y39+Z39+AA39</f>
        <v>0</v>
      </c>
      <c r="AC39" s="176">
        <f>+(P39/G39)</f>
        <v>1</v>
      </c>
      <c r="AD39" s="194">
        <f>+V39/H39</f>
        <v>1</v>
      </c>
      <c r="AE39" s="194">
        <f t="shared" ref="AE39:AE56" si="39">+AB39/I39</f>
        <v>0</v>
      </c>
      <c r="AF39" s="194">
        <f>+AC39*E39</f>
        <v>0.03</v>
      </c>
      <c r="AG39" s="194">
        <f>+AD39*E39</f>
        <v>0.03</v>
      </c>
      <c r="AH39" s="194">
        <f t="shared" ref="AH39:AH45" si="40">+AE39*E39</f>
        <v>0</v>
      </c>
      <c r="AI39" s="194">
        <f>+P39/F39</f>
        <v>0.25</v>
      </c>
      <c r="AJ39" s="230">
        <v>0.5</v>
      </c>
      <c r="AK39" s="230">
        <f t="shared" ref="AK39:AK59" si="41">+W39/F39</f>
        <v>0.5</v>
      </c>
      <c r="AL39" s="230">
        <f>+AI39*E39</f>
        <v>7.4999999999999997E-3</v>
      </c>
      <c r="AM39" s="230">
        <f t="shared" ref="AM39:AM45" si="42">+AJ39*E39</f>
        <v>1.4999999999999999E-2</v>
      </c>
      <c r="AN39" s="230">
        <f t="shared" ref="AN39:AN45" si="43">+AK39*E39</f>
        <v>1.4999999999999999E-2</v>
      </c>
      <c r="AO39" s="566" t="s">
        <v>1850</v>
      </c>
      <c r="AP39" s="567" t="s">
        <v>1892</v>
      </c>
      <c r="AQ39" s="567" t="s">
        <v>2268</v>
      </c>
      <c r="AR39" s="567" t="s">
        <v>2288</v>
      </c>
      <c r="AS39" s="567" t="s">
        <v>2403</v>
      </c>
      <c r="AT39" s="1136" t="s">
        <v>2437</v>
      </c>
      <c r="AU39" s="567" t="s">
        <v>2496</v>
      </c>
      <c r="AV39" s="567" t="s">
        <v>1893</v>
      </c>
    </row>
    <row r="40" spans="1:48" ht="77.400000000000006" customHeight="1" thickBot="1" x14ac:dyDescent="0.4">
      <c r="A40" s="155"/>
      <c r="B40" s="181" t="s">
        <v>831</v>
      </c>
      <c r="C40" s="235" t="s">
        <v>1290</v>
      </c>
      <c r="D40" s="224" t="s">
        <v>767</v>
      </c>
      <c r="E40" s="228">
        <v>0.2</v>
      </c>
      <c r="F40" s="226">
        <v>80000</v>
      </c>
      <c r="G40" s="170">
        <v>10000</v>
      </c>
      <c r="H40" s="170">
        <v>23500</v>
      </c>
      <c r="I40" s="170">
        <v>12000</v>
      </c>
      <c r="J40" s="176">
        <f t="shared" si="33"/>
        <v>0.125</v>
      </c>
      <c r="K40" s="176">
        <f t="shared" si="34"/>
        <v>0.29375000000000001</v>
      </c>
      <c r="L40" s="176">
        <f t="shared" si="35"/>
        <v>0.15</v>
      </c>
      <c r="M40" s="176">
        <f t="shared" si="36"/>
        <v>2.5000000000000001E-2</v>
      </c>
      <c r="N40" s="176">
        <f t="shared" si="37"/>
        <v>5.8750000000000004E-2</v>
      </c>
      <c r="O40" s="176"/>
      <c r="P40" s="170">
        <v>9941</v>
      </c>
      <c r="Q40" s="541">
        <v>395</v>
      </c>
      <c r="R40" s="541">
        <v>2208</v>
      </c>
      <c r="S40" s="541">
        <v>1193</v>
      </c>
      <c r="T40" s="541">
        <v>1517</v>
      </c>
      <c r="U40" s="541">
        <v>2849</v>
      </c>
      <c r="V40" s="170">
        <f t="shared" si="6"/>
        <v>8162</v>
      </c>
      <c r="W40" s="170">
        <f t="shared" ref="W40:W45" si="44">+V40+P40+AB40</f>
        <v>18103</v>
      </c>
      <c r="X40" s="541">
        <v>0</v>
      </c>
      <c r="Y40" s="170"/>
      <c r="Z40" s="170"/>
      <c r="AA40" s="170"/>
      <c r="AB40" s="170">
        <f t="shared" si="38"/>
        <v>0</v>
      </c>
      <c r="AC40" s="176">
        <f>+(P40/G40)</f>
        <v>0.99409999999999998</v>
      </c>
      <c r="AD40" s="194">
        <f>+V40/H40</f>
        <v>0.34731914893617022</v>
      </c>
      <c r="AE40" s="194">
        <f t="shared" si="39"/>
        <v>0</v>
      </c>
      <c r="AF40" s="194">
        <f>+AC40*E40</f>
        <v>0.19882</v>
      </c>
      <c r="AG40" s="194">
        <f>+AD40*E40</f>
        <v>6.9463829787234047E-2</v>
      </c>
      <c r="AH40" s="194">
        <f t="shared" si="40"/>
        <v>0</v>
      </c>
      <c r="AI40" s="194">
        <f>+P40/F40</f>
        <v>0.1242625</v>
      </c>
      <c r="AJ40" s="230">
        <v>0.2262875</v>
      </c>
      <c r="AK40" s="230">
        <f t="shared" si="41"/>
        <v>0.2262875</v>
      </c>
      <c r="AL40" s="230">
        <f>+AI40*E40</f>
        <v>2.48525E-2</v>
      </c>
      <c r="AM40" s="230">
        <f t="shared" si="42"/>
        <v>4.5257500000000006E-2</v>
      </c>
      <c r="AN40" s="230">
        <f t="shared" si="43"/>
        <v>4.5257500000000006E-2</v>
      </c>
      <c r="AO40" s="566" t="s">
        <v>1850</v>
      </c>
      <c r="AP40" s="567" t="s">
        <v>1892</v>
      </c>
      <c r="AQ40" s="567" t="s">
        <v>2268</v>
      </c>
      <c r="AR40" s="567" t="s">
        <v>2288</v>
      </c>
      <c r="AS40" s="567" t="s">
        <v>2403</v>
      </c>
      <c r="AT40" s="1136" t="s">
        <v>2437</v>
      </c>
      <c r="AU40" s="567" t="s">
        <v>2496</v>
      </c>
      <c r="AV40" s="567" t="s">
        <v>1893</v>
      </c>
    </row>
    <row r="41" spans="1:48" ht="81" customHeight="1" thickBot="1" x14ac:dyDescent="0.4">
      <c r="A41" s="155"/>
      <c r="B41" s="173" t="s">
        <v>832</v>
      </c>
      <c r="C41" s="223" t="s">
        <v>1291</v>
      </c>
      <c r="D41" s="224" t="s">
        <v>767</v>
      </c>
      <c r="E41" s="228">
        <v>0.03</v>
      </c>
      <c r="F41" s="226">
        <v>3</v>
      </c>
      <c r="G41" s="170">
        <v>0</v>
      </c>
      <c r="H41" s="170">
        <v>1</v>
      </c>
      <c r="I41" s="170">
        <v>1</v>
      </c>
      <c r="J41" s="176"/>
      <c r="K41" s="176">
        <f t="shared" si="34"/>
        <v>0.33333333333333331</v>
      </c>
      <c r="L41" s="176">
        <f t="shared" si="35"/>
        <v>0.33333333333333331</v>
      </c>
      <c r="M41" s="176"/>
      <c r="N41" s="176">
        <f t="shared" si="37"/>
        <v>9.9999999999999985E-3</v>
      </c>
      <c r="O41" s="176"/>
      <c r="P41" s="170"/>
      <c r="Q41" s="541">
        <v>0</v>
      </c>
      <c r="R41" s="541">
        <v>1</v>
      </c>
      <c r="S41" s="541">
        <v>0</v>
      </c>
      <c r="T41" s="541">
        <v>0</v>
      </c>
      <c r="U41" s="541">
        <v>0</v>
      </c>
      <c r="V41" s="170">
        <f t="shared" si="6"/>
        <v>1</v>
      </c>
      <c r="W41" s="170">
        <f t="shared" si="44"/>
        <v>1</v>
      </c>
      <c r="X41" s="541">
        <v>0</v>
      </c>
      <c r="Y41" s="170"/>
      <c r="Z41" s="170"/>
      <c r="AA41" s="170"/>
      <c r="AB41" s="170">
        <f t="shared" si="38"/>
        <v>0</v>
      </c>
      <c r="AC41" s="176"/>
      <c r="AD41" s="194">
        <f>+V41/H41</f>
        <v>1</v>
      </c>
      <c r="AE41" s="194">
        <f t="shared" si="39"/>
        <v>0</v>
      </c>
      <c r="AF41" s="194"/>
      <c r="AG41" s="194">
        <f>+AD41*E41</f>
        <v>0.03</v>
      </c>
      <c r="AH41" s="194">
        <f t="shared" si="40"/>
        <v>0</v>
      </c>
      <c r="AI41" s="194"/>
      <c r="AJ41" s="230">
        <v>0.33333333333333331</v>
      </c>
      <c r="AK41" s="230">
        <f t="shared" si="41"/>
        <v>0.33333333333333331</v>
      </c>
      <c r="AL41" s="230"/>
      <c r="AM41" s="230">
        <f t="shared" si="42"/>
        <v>9.9999999999999985E-3</v>
      </c>
      <c r="AN41" s="230">
        <f t="shared" si="43"/>
        <v>9.9999999999999985E-3</v>
      </c>
      <c r="AO41" s="566" t="s">
        <v>1850</v>
      </c>
      <c r="AP41" s="644" t="s">
        <v>1919</v>
      </c>
      <c r="AQ41" s="567" t="s">
        <v>2268</v>
      </c>
      <c r="AR41" s="567" t="s">
        <v>2288</v>
      </c>
      <c r="AS41" s="567" t="s">
        <v>2403</v>
      </c>
      <c r="AT41" s="1136" t="s">
        <v>2437</v>
      </c>
      <c r="AU41" s="567" t="s">
        <v>2496</v>
      </c>
      <c r="AV41" s="567" t="s">
        <v>1893</v>
      </c>
    </row>
    <row r="42" spans="1:48" ht="89.4" customHeight="1" thickBot="1" x14ac:dyDescent="0.4">
      <c r="A42" s="155"/>
      <c r="B42" s="173" t="s">
        <v>833</v>
      </c>
      <c r="C42" s="223" t="s">
        <v>1292</v>
      </c>
      <c r="D42" s="224" t="s">
        <v>767</v>
      </c>
      <c r="E42" s="228">
        <v>0.1</v>
      </c>
      <c r="F42" s="226">
        <v>100000</v>
      </c>
      <c r="G42" s="170">
        <v>0</v>
      </c>
      <c r="H42" s="170">
        <v>0</v>
      </c>
      <c r="I42" s="170">
        <v>5500</v>
      </c>
      <c r="J42" s="176"/>
      <c r="K42" s="176"/>
      <c r="L42" s="176">
        <f t="shared" si="35"/>
        <v>5.5E-2</v>
      </c>
      <c r="M42" s="176"/>
      <c r="N42" s="176"/>
      <c r="O42" s="176"/>
      <c r="P42" s="170"/>
      <c r="Q42" s="541"/>
      <c r="R42" s="541"/>
      <c r="S42" s="541">
        <v>0</v>
      </c>
      <c r="T42" s="541">
        <v>0</v>
      </c>
      <c r="U42" s="541">
        <v>0</v>
      </c>
      <c r="V42" s="170">
        <f t="shared" si="6"/>
        <v>0</v>
      </c>
      <c r="W42" s="170">
        <f t="shared" si="44"/>
        <v>0</v>
      </c>
      <c r="X42" s="541">
        <v>0</v>
      </c>
      <c r="Y42" s="170"/>
      <c r="Z42" s="170"/>
      <c r="AA42" s="170"/>
      <c r="AB42" s="170">
        <f t="shared" si="38"/>
        <v>0</v>
      </c>
      <c r="AC42" s="176"/>
      <c r="AD42" s="194"/>
      <c r="AE42" s="194">
        <f t="shared" si="39"/>
        <v>0</v>
      </c>
      <c r="AF42" s="194"/>
      <c r="AG42" s="194"/>
      <c r="AH42" s="194">
        <f t="shared" si="40"/>
        <v>0</v>
      </c>
      <c r="AI42" s="194"/>
      <c r="AJ42" s="230">
        <v>0</v>
      </c>
      <c r="AK42" s="230">
        <f t="shared" si="41"/>
        <v>0</v>
      </c>
      <c r="AL42" s="230"/>
      <c r="AM42" s="230">
        <f t="shared" si="42"/>
        <v>0</v>
      </c>
      <c r="AN42" s="230">
        <f t="shared" si="43"/>
        <v>0</v>
      </c>
      <c r="AO42" s="566" t="s">
        <v>1850</v>
      </c>
      <c r="AP42" s="567" t="s">
        <v>1892</v>
      </c>
      <c r="AQ42" s="567" t="s">
        <v>2268</v>
      </c>
      <c r="AR42" s="567" t="s">
        <v>2288</v>
      </c>
      <c r="AS42" s="567" t="s">
        <v>2403</v>
      </c>
      <c r="AT42" s="1136" t="s">
        <v>2437</v>
      </c>
      <c r="AU42" s="567" t="s">
        <v>2496</v>
      </c>
      <c r="AV42" s="567" t="s">
        <v>1893</v>
      </c>
    </row>
    <row r="43" spans="1:48" ht="96" customHeight="1" thickBot="1" x14ac:dyDescent="0.4">
      <c r="A43" s="155"/>
      <c r="B43" s="173" t="s">
        <v>834</v>
      </c>
      <c r="C43" s="223" t="s">
        <v>1293</v>
      </c>
      <c r="D43" s="224" t="s">
        <v>767</v>
      </c>
      <c r="E43" s="228">
        <v>0.04</v>
      </c>
      <c r="F43" s="226">
        <v>3</v>
      </c>
      <c r="G43" s="170">
        <v>0</v>
      </c>
      <c r="H43" s="170">
        <v>1</v>
      </c>
      <c r="I43" s="170">
        <v>1</v>
      </c>
      <c r="J43" s="176"/>
      <c r="K43" s="176">
        <f t="shared" si="34"/>
        <v>0.33333333333333331</v>
      </c>
      <c r="L43" s="176">
        <f t="shared" si="35"/>
        <v>0.33333333333333331</v>
      </c>
      <c r="M43" s="176"/>
      <c r="N43" s="176">
        <f t="shared" si="37"/>
        <v>1.3333333333333332E-2</v>
      </c>
      <c r="O43" s="176"/>
      <c r="P43" s="170"/>
      <c r="Q43" s="541">
        <v>0</v>
      </c>
      <c r="R43" s="541">
        <v>0</v>
      </c>
      <c r="S43" s="541">
        <v>0</v>
      </c>
      <c r="T43" s="541">
        <v>0</v>
      </c>
      <c r="U43" s="541">
        <v>0</v>
      </c>
      <c r="V43" s="170">
        <f t="shared" si="6"/>
        <v>0</v>
      </c>
      <c r="W43" s="170">
        <f t="shared" si="44"/>
        <v>0</v>
      </c>
      <c r="X43" s="541">
        <v>0</v>
      </c>
      <c r="Y43" s="170"/>
      <c r="Z43" s="170"/>
      <c r="AA43" s="170"/>
      <c r="AB43" s="170">
        <f>+X43+Y43+Z43+AA43</f>
        <v>0</v>
      </c>
      <c r="AC43" s="176"/>
      <c r="AD43" s="194">
        <f>+V43/H43</f>
        <v>0</v>
      </c>
      <c r="AE43" s="194">
        <f t="shared" si="39"/>
        <v>0</v>
      </c>
      <c r="AF43" s="194"/>
      <c r="AG43" s="194">
        <f>+AD43*E43</f>
        <v>0</v>
      </c>
      <c r="AH43" s="194">
        <f t="shared" si="40"/>
        <v>0</v>
      </c>
      <c r="AI43" s="194"/>
      <c r="AJ43" s="230">
        <v>0</v>
      </c>
      <c r="AK43" s="230">
        <f t="shared" si="41"/>
        <v>0</v>
      </c>
      <c r="AL43" s="230"/>
      <c r="AM43" s="230">
        <f t="shared" si="42"/>
        <v>0</v>
      </c>
      <c r="AN43" s="230">
        <f t="shared" si="43"/>
        <v>0</v>
      </c>
      <c r="AO43" s="566" t="s">
        <v>1850</v>
      </c>
      <c r="AP43" s="644" t="s">
        <v>1919</v>
      </c>
      <c r="AQ43" s="567" t="s">
        <v>2268</v>
      </c>
      <c r="AR43" s="567" t="s">
        <v>2288</v>
      </c>
      <c r="AS43" s="567" t="s">
        <v>2403</v>
      </c>
      <c r="AT43" s="1136" t="s">
        <v>2437</v>
      </c>
      <c r="AU43" s="567" t="s">
        <v>2496</v>
      </c>
      <c r="AV43" s="567" t="s">
        <v>1893</v>
      </c>
    </row>
    <row r="44" spans="1:48" ht="72.599999999999994" customHeight="1" thickBot="1" x14ac:dyDescent="0.4">
      <c r="A44" s="155"/>
      <c r="B44" s="173" t="s">
        <v>835</v>
      </c>
      <c r="C44" s="223" t="s">
        <v>1294</v>
      </c>
      <c r="D44" s="224" t="s">
        <v>836</v>
      </c>
      <c r="E44" s="228">
        <v>0.5</v>
      </c>
      <c r="F44" s="226">
        <v>1</v>
      </c>
      <c r="G44" s="170">
        <v>0</v>
      </c>
      <c r="H44" s="170">
        <v>0</v>
      </c>
      <c r="I44" s="170">
        <v>0.5</v>
      </c>
      <c r="J44" s="176"/>
      <c r="K44" s="176"/>
      <c r="L44" s="176">
        <f t="shared" si="35"/>
        <v>0.5</v>
      </c>
      <c r="M44" s="176"/>
      <c r="N44" s="176"/>
      <c r="O44" s="176"/>
      <c r="P44" s="170"/>
      <c r="Q44" s="541"/>
      <c r="R44" s="541"/>
      <c r="S44" s="541">
        <v>0</v>
      </c>
      <c r="T44" s="541"/>
      <c r="U44" s="541">
        <v>0</v>
      </c>
      <c r="V44" s="170">
        <f t="shared" si="6"/>
        <v>0</v>
      </c>
      <c r="W44" s="170">
        <f t="shared" si="44"/>
        <v>0</v>
      </c>
      <c r="X44" s="541">
        <v>0</v>
      </c>
      <c r="Y44" s="170"/>
      <c r="Z44" s="170"/>
      <c r="AA44" s="170"/>
      <c r="AB44" s="170">
        <f t="shared" si="38"/>
        <v>0</v>
      </c>
      <c r="AC44" s="176"/>
      <c r="AD44" s="194"/>
      <c r="AE44" s="194">
        <f t="shared" si="39"/>
        <v>0</v>
      </c>
      <c r="AF44" s="194"/>
      <c r="AG44" s="194"/>
      <c r="AH44" s="194">
        <f t="shared" si="40"/>
        <v>0</v>
      </c>
      <c r="AI44" s="194"/>
      <c r="AJ44" s="230">
        <v>0</v>
      </c>
      <c r="AK44" s="230">
        <f t="shared" si="41"/>
        <v>0</v>
      </c>
      <c r="AL44" s="230"/>
      <c r="AM44" s="230">
        <f t="shared" si="42"/>
        <v>0</v>
      </c>
      <c r="AN44" s="230">
        <f t="shared" si="43"/>
        <v>0</v>
      </c>
      <c r="AO44" s="566" t="s">
        <v>1850</v>
      </c>
      <c r="AP44" s="567" t="s">
        <v>1892</v>
      </c>
      <c r="AQ44" s="567" t="s">
        <v>2268</v>
      </c>
      <c r="AR44" s="567" t="s">
        <v>2288</v>
      </c>
      <c r="AS44" s="567" t="s">
        <v>2403</v>
      </c>
      <c r="AT44" s="1136" t="s">
        <v>2437</v>
      </c>
      <c r="AU44" s="567" t="s">
        <v>2496</v>
      </c>
      <c r="AV44" s="567" t="s">
        <v>1893</v>
      </c>
    </row>
    <row r="45" spans="1:48" ht="63" customHeight="1" thickBot="1" x14ac:dyDescent="0.4">
      <c r="A45" s="155"/>
      <c r="B45" s="173" t="s">
        <v>837</v>
      </c>
      <c r="C45" s="223" t="s">
        <v>1295</v>
      </c>
      <c r="D45" s="224" t="s">
        <v>838</v>
      </c>
      <c r="E45" s="228">
        <v>0.1</v>
      </c>
      <c r="F45" s="226">
        <v>3</v>
      </c>
      <c r="G45" s="170">
        <v>1</v>
      </c>
      <c r="H45" s="170">
        <v>0</v>
      </c>
      <c r="I45" s="170">
        <v>0</v>
      </c>
      <c r="J45" s="176">
        <f t="shared" si="33"/>
        <v>0.33333333333333331</v>
      </c>
      <c r="K45" s="176"/>
      <c r="L45" s="176"/>
      <c r="M45" s="176">
        <f t="shared" si="36"/>
        <v>3.3333333333333333E-2</v>
      </c>
      <c r="N45" s="176"/>
      <c r="O45" s="176"/>
      <c r="P45" s="170">
        <v>0</v>
      </c>
      <c r="Q45" s="541"/>
      <c r="R45" s="541"/>
      <c r="S45" s="541">
        <v>1</v>
      </c>
      <c r="T45" s="541"/>
      <c r="U45" s="236">
        <v>2</v>
      </c>
      <c r="V45" s="170">
        <f t="shared" si="6"/>
        <v>3</v>
      </c>
      <c r="W45" s="170">
        <f t="shared" si="44"/>
        <v>3</v>
      </c>
      <c r="X45" s="170"/>
      <c r="Y45" s="170"/>
      <c r="Z45" s="170"/>
      <c r="AA45" s="170"/>
      <c r="AB45" s="170">
        <f t="shared" si="38"/>
        <v>0</v>
      </c>
      <c r="AC45" s="176">
        <f>+(P45/G45)</f>
        <v>0</v>
      </c>
      <c r="AD45" s="194">
        <v>1</v>
      </c>
      <c r="AE45" s="194"/>
      <c r="AF45" s="194">
        <f>+AC45*E45</f>
        <v>0</v>
      </c>
      <c r="AG45" s="194"/>
      <c r="AH45" s="194">
        <f t="shared" si="40"/>
        <v>0</v>
      </c>
      <c r="AI45" s="194">
        <f>+P45/F45</f>
        <v>0</v>
      </c>
      <c r="AJ45" s="230">
        <v>1</v>
      </c>
      <c r="AK45" s="230">
        <f t="shared" si="41"/>
        <v>1</v>
      </c>
      <c r="AL45" s="230">
        <f>+AI45*E45</f>
        <v>0</v>
      </c>
      <c r="AM45" s="230">
        <f t="shared" si="42"/>
        <v>0.1</v>
      </c>
      <c r="AN45" s="230">
        <f t="shared" si="43"/>
        <v>0.1</v>
      </c>
      <c r="AO45" s="914" t="s">
        <v>1846</v>
      </c>
      <c r="AP45" s="535"/>
      <c r="AQ45" s="535"/>
      <c r="AR45" s="535"/>
      <c r="AS45" s="567" t="s">
        <v>2403</v>
      </c>
      <c r="AT45" s="1136" t="s">
        <v>2437</v>
      </c>
      <c r="AU45" s="644" t="s">
        <v>2525</v>
      </c>
      <c r="AV45" s="535"/>
    </row>
    <row r="46" spans="1:48" ht="57" customHeight="1" thickBot="1" x14ac:dyDescent="0.4">
      <c r="A46" s="155"/>
      <c r="B46" s="1557" t="s">
        <v>1728</v>
      </c>
      <c r="C46" s="1571"/>
      <c r="D46" s="231"/>
      <c r="E46" s="232">
        <v>0.25</v>
      </c>
      <c r="F46" s="226"/>
      <c r="G46" s="163"/>
      <c r="H46" s="163"/>
      <c r="I46" s="163"/>
      <c r="J46" s="169">
        <f>+AVERAGE(J47:J49)</f>
        <v>0.15833333333333333</v>
      </c>
      <c r="K46" s="169">
        <f>+AVERAGE(K47:K49)</f>
        <v>0.33611111111111108</v>
      </c>
      <c r="L46" s="169">
        <f>+AVERAGE(L47:L49)</f>
        <v>0.21111111111111111</v>
      </c>
      <c r="M46" s="169">
        <f>+M47+M48+M49</f>
        <v>0.15250000000000002</v>
      </c>
      <c r="N46" s="169">
        <f>+N47+N48+N49</f>
        <v>0.34083333333333338</v>
      </c>
      <c r="O46" s="169"/>
      <c r="P46" s="168"/>
      <c r="Q46" s="168"/>
      <c r="R46" s="168"/>
      <c r="S46" s="168"/>
      <c r="T46" s="168"/>
      <c r="U46" s="987"/>
      <c r="V46" s="170"/>
      <c r="W46" s="168"/>
      <c r="X46" s="168"/>
      <c r="Y46" s="168"/>
      <c r="Z46" s="168"/>
      <c r="AA46" s="168"/>
      <c r="AB46" s="170"/>
      <c r="AC46" s="192">
        <f>+AVERAGE(AC47:AC49)</f>
        <v>0.61599999999999999</v>
      </c>
      <c r="AD46" s="192">
        <f>+AVERAGE(AD47:AD49)</f>
        <v>0.69265217391304346</v>
      </c>
      <c r="AE46" s="192">
        <f>+AVERAGE(AE47:AE49)</f>
        <v>0.10115999999999999</v>
      </c>
      <c r="AF46" s="192">
        <f>+(AF47+AF48+AF49)*E46</f>
        <v>0.14229999999999998</v>
      </c>
      <c r="AG46" s="192">
        <f>+(AG47+AG48+AG49)*E46</f>
        <v>0.15779565217391306</v>
      </c>
      <c r="AH46" s="192">
        <f>+(AH47+AH48+AH49)*E46</f>
        <v>2.3473000000000001E-2</v>
      </c>
      <c r="AI46" s="169">
        <f>+AVERAGE(AI47:AI49)</f>
        <v>0.10493333333333332</v>
      </c>
      <c r="AJ46" s="169">
        <v>0.3803111111111111</v>
      </c>
      <c r="AK46" s="169">
        <f>+AVERAGE(AK47:AK49)</f>
        <v>0.40735222222222217</v>
      </c>
      <c r="AL46" s="222">
        <f>+(AL47+AL48+AL49)*E46</f>
        <v>2.3980000000000001E-2</v>
      </c>
      <c r="AM46" s="222">
        <f>+(AM47+AM48+AM49)</f>
        <v>0.34674833333333333</v>
      </c>
      <c r="AN46" s="222">
        <f>+(AN47+AN48+AN49)</f>
        <v>0.37132266666666669</v>
      </c>
      <c r="AO46" s="913"/>
      <c r="AP46" s="535"/>
      <c r="AQ46" s="535"/>
      <c r="AR46" s="535"/>
      <c r="AS46" s="535"/>
      <c r="AT46" s="1135"/>
      <c r="AU46" s="535"/>
      <c r="AV46" s="535"/>
    </row>
    <row r="47" spans="1:48" ht="70.95" customHeight="1" thickBot="1" x14ac:dyDescent="0.4">
      <c r="A47" s="155"/>
      <c r="B47" s="173" t="s">
        <v>839</v>
      </c>
      <c r="C47" s="223" t="s">
        <v>1296</v>
      </c>
      <c r="D47" s="224" t="s">
        <v>790</v>
      </c>
      <c r="E47" s="228">
        <v>0.4</v>
      </c>
      <c r="F47" s="226">
        <v>300000</v>
      </c>
      <c r="G47" s="170">
        <v>30000</v>
      </c>
      <c r="H47" s="170">
        <v>115000</v>
      </c>
      <c r="I47" s="170">
        <v>25000</v>
      </c>
      <c r="J47" s="177">
        <f>+G47/F47</f>
        <v>0.1</v>
      </c>
      <c r="K47" s="176">
        <f t="shared" ref="K47:K56" si="45">+H47/F47</f>
        <v>0.38333333333333336</v>
      </c>
      <c r="L47" s="176">
        <f t="shared" ref="L47:L49" si="46">+I47/F47</f>
        <v>8.3333333333333329E-2</v>
      </c>
      <c r="M47" s="176">
        <f>+(G47/F47)*E47</f>
        <v>4.0000000000000008E-2</v>
      </c>
      <c r="N47" s="176">
        <f t="shared" ref="N47:N59" si="47">+(H47/F47)*E47</f>
        <v>0.15333333333333335</v>
      </c>
      <c r="O47" s="176"/>
      <c r="P47" s="170">
        <v>4440</v>
      </c>
      <c r="Q47" s="541">
        <v>3037</v>
      </c>
      <c r="R47" s="541">
        <v>2140</v>
      </c>
      <c r="S47" s="541">
        <v>941</v>
      </c>
      <c r="T47" s="541">
        <v>1358</v>
      </c>
      <c r="U47" s="541">
        <v>1489</v>
      </c>
      <c r="V47" s="170">
        <f t="shared" si="6"/>
        <v>8965</v>
      </c>
      <c r="W47" s="170">
        <f>+V47+P47+AB47</f>
        <v>14117</v>
      </c>
      <c r="X47" s="541">
        <v>712</v>
      </c>
      <c r="Y47" s="170"/>
      <c r="Z47" s="170"/>
      <c r="AA47" s="170"/>
      <c r="AB47" s="170">
        <f t="shared" si="38"/>
        <v>712</v>
      </c>
      <c r="AC47" s="194">
        <f>+(P47/G47)</f>
        <v>0.14799999999999999</v>
      </c>
      <c r="AD47" s="194">
        <f>+V47/H47</f>
        <v>7.7956521739130438E-2</v>
      </c>
      <c r="AE47" s="194">
        <f t="shared" si="39"/>
        <v>2.8479999999999998E-2</v>
      </c>
      <c r="AF47" s="194">
        <f>+AC47*E47</f>
        <v>5.9200000000000003E-2</v>
      </c>
      <c r="AG47" s="194">
        <f>+AD47*E47</f>
        <v>3.1182608695652175E-2</v>
      </c>
      <c r="AH47" s="194">
        <f t="shared" ref="AH47:AH49" si="48">+AE47*E47</f>
        <v>1.1391999999999999E-2</v>
      </c>
      <c r="AI47" s="194">
        <f>+P47/F47</f>
        <v>1.4800000000000001E-2</v>
      </c>
      <c r="AJ47" s="230">
        <v>4.4683333333333332E-2</v>
      </c>
      <c r="AK47" s="230">
        <f>+W47/F47</f>
        <v>4.7056666666666663E-2</v>
      </c>
      <c r="AL47" s="230">
        <f>+AI47*E47</f>
        <v>5.9200000000000008E-3</v>
      </c>
      <c r="AM47" s="230">
        <f>+AJ47*E47</f>
        <v>1.7873333333333335E-2</v>
      </c>
      <c r="AN47" s="230">
        <f t="shared" ref="AN47:AN49" si="49">+AK47*E47</f>
        <v>1.8822666666666668E-2</v>
      </c>
      <c r="AO47" s="566" t="s">
        <v>1850</v>
      </c>
      <c r="AP47" s="567" t="s">
        <v>1892</v>
      </c>
      <c r="AQ47" s="567" t="s">
        <v>2268</v>
      </c>
      <c r="AR47" s="567" t="s">
        <v>2288</v>
      </c>
      <c r="AS47" s="567" t="s">
        <v>2403</v>
      </c>
      <c r="AT47" s="1136" t="s">
        <v>2437</v>
      </c>
      <c r="AU47" s="567" t="s">
        <v>2496</v>
      </c>
      <c r="AV47" s="567" t="s">
        <v>1893</v>
      </c>
    </row>
    <row r="48" spans="1:48" ht="78" customHeight="1" thickBot="1" x14ac:dyDescent="0.4">
      <c r="A48" s="155"/>
      <c r="B48" s="173" t="s">
        <v>840</v>
      </c>
      <c r="C48" s="223" t="s">
        <v>1297</v>
      </c>
      <c r="D48" s="224" t="s">
        <v>790</v>
      </c>
      <c r="E48" s="228">
        <v>0.3</v>
      </c>
      <c r="F48" s="226">
        <v>8</v>
      </c>
      <c r="G48" s="170">
        <v>1</v>
      </c>
      <c r="H48" s="170">
        <v>3</v>
      </c>
      <c r="I48" s="170">
        <v>2</v>
      </c>
      <c r="J48" s="177">
        <f>+G48/F48</f>
        <v>0.125</v>
      </c>
      <c r="K48" s="176">
        <f t="shared" si="45"/>
        <v>0.375</v>
      </c>
      <c r="L48" s="176">
        <f>+I48/F48</f>
        <v>0.25</v>
      </c>
      <c r="M48" s="176">
        <f>+(G48/F48)*E48</f>
        <v>3.7499999999999999E-2</v>
      </c>
      <c r="N48" s="176">
        <f t="shared" si="47"/>
        <v>0.11249999999999999</v>
      </c>
      <c r="O48" s="176"/>
      <c r="P48" s="170">
        <v>1</v>
      </c>
      <c r="Q48" s="541">
        <v>0</v>
      </c>
      <c r="R48" s="541">
        <v>1.54</v>
      </c>
      <c r="S48" s="541">
        <v>4.43</v>
      </c>
      <c r="T48" s="541">
        <v>0</v>
      </c>
      <c r="U48" s="541">
        <v>0</v>
      </c>
      <c r="V48" s="170">
        <f t="shared" si="6"/>
        <v>5.97</v>
      </c>
      <c r="W48" s="170">
        <f t="shared" ref="W48:W49" si="50">+V48+P48+AB48</f>
        <v>7.12</v>
      </c>
      <c r="X48" s="541">
        <v>0.15</v>
      </c>
      <c r="Y48" s="170"/>
      <c r="Z48" s="170"/>
      <c r="AA48" s="170"/>
      <c r="AB48" s="170">
        <f t="shared" si="38"/>
        <v>0.15</v>
      </c>
      <c r="AC48" s="194">
        <f>+(P48/G48)</f>
        <v>1</v>
      </c>
      <c r="AD48" s="194">
        <v>1</v>
      </c>
      <c r="AE48" s="194">
        <f t="shared" si="39"/>
        <v>7.4999999999999997E-2</v>
      </c>
      <c r="AF48" s="194">
        <f>+AC48*E48</f>
        <v>0.3</v>
      </c>
      <c r="AG48" s="194">
        <f>+AD48*E48</f>
        <v>0.3</v>
      </c>
      <c r="AH48" s="194">
        <f t="shared" si="48"/>
        <v>2.2499999999999999E-2</v>
      </c>
      <c r="AI48" s="194">
        <f>+P48/F48</f>
        <v>0.125</v>
      </c>
      <c r="AJ48" s="230">
        <v>0.87124999999999997</v>
      </c>
      <c r="AK48" s="230">
        <f t="shared" si="41"/>
        <v>0.89</v>
      </c>
      <c r="AL48" s="230">
        <f>+AI48*E48</f>
        <v>3.7499999999999999E-2</v>
      </c>
      <c r="AM48" s="230">
        <f>+AJ48*E48</f>
        <v>0.26137499999999997</v>
      </c>
      <c r="AN48" s="230">
        <f t="shared" si="49"/>
        <v>0.26700000000000002</v>
      </c>
      <c r="AO48" s="566" t="s">
        <v>1850</v>
      </c>
      <c r="AP48" s="567" t="s">
        <v>1892</v>
      </c>
      <c r="AQ48" s="567" t="s">
        <v>2268</v>
      </c>
      <c r="AR48" s="567" t="s">
        <v>2288</v>
      </c>
      <c r="AS48" s="567" t="s">
        <v>2403</v>
      </c>
      <c r="AT48" s="1136" t="s">
        <v>2437</v>
      </c>
      <c r="AU48" s="567" t="s">
        <v>2496</v>
      </c>
      <c r="AV48" s="567" t="s">
        <v>1893</v>
      </c>
    </row>
    <row r="49" spans="1:48" ht="69.599999999999994" customHeight="1" thickBot="1" x14ac:dyDescent="0.4">
      <c r="A49" s="155"/>
      <c r="B49" s="173" t="s">
        <v>841</v>
      </c>
      <c r="C49" s="223" t="s">
        <v>1298</v>
      </c>
      <c r="D49" s="237" t="s">
        <v>790</v>
      </c>
      <c r="E49" s="238">
        <v>0.3</v>
      </c>
      <c r="F49" s="226">
        <v>1</v>
      </c>
      <c r="G49" s="170">
        <v>0.25</v>
      </c>
      <c r="H49" s="170">
        <v>0.25</v>
      </c>
      <c r="I49" s="170">
        <v>0.3</v>
      </c>
      <c r="J49" s="177">
        <f>+G49/F49</f>
        <v>0.25</v>
      </c>
      <c r="K49" s="176">
        <f t="shared" si="45"/>
        <v>0.25</v>
      </c>
      <c r="L49" s="176">
        <f t="shared" si="46"/>
        <v>0.3</v>
      </c>
      <c r="M49" s="176">
        <f>+(G49/F49)*E49</f>
        <v>7.4999999999999997E-2</v>
      </c>
      <c r="N49" s="176">
        <f t="shared" si="47"/>
        <v>7.4999999999999997E-2</v>
      </c>
      <c r="O49" s="176"/>
      <c r="P49" s="170">
        <v>0.17499999999999999</v>
      </c>
      <c r="Q49" s="541">
        <v>0.02</v>
      </c>
      <c r="R49" s="541">
        <v>0.03</v>
      </c>
      <c r="S49" s="541">
        <v>0</v>
      </c>
      <c r="T49" s="541">
        <v>0</v>
      </c>
      <c r="U49" s="541">
        <v>0</v>
      </c>
      <c r="V49" s="170">
        <f t="shared" si="6"/>
        <v>0.05</v>
      </c>
      <c r="W49" s="170">
        <f t="shared" si="50"/>
        <v>0.28499999999999998</v>
      </c>
      <c r="X49" s="541">
        <v>0.06</v>
      </c>
      <c r="Y49" s="170"/>
      <c r="Z49" s="170"/>
      <c r="AA49" s="170"/>
      <c r="AB49" s="170">
        <f t="shared" si="38"/>
        <v>0.06</v>
      </c>
      <c r="AC49" s="194">
        <f>+P49/G49</f>
        <v>0.7</v>
      </c>
      <c r="AD49" s="194">
        <v>1</v>
      </c>
      <c r="AE49" s="194">
        <f t="shared" si="39"/>
        <v>0.2</v>
      </c>
      <c r="AF49" s="194">
        <f>+AC49*E49</f>
        <v>0.21</v>
      </c>
      <c r="AG49" s="194">
        <f>+AD49*E49</f>
        <v>0.3</v>
      </c>
      <c r="AH49" s="194">
        <f t="shared" si="48"/>
        <v>0.06</v>
      </c>
      <c r="AI49" s="194">
        <f>+P49/F49</f>
        <v>0.17499999999999999</v>
      </c>
      <c r="AJ49" s="230">
        <v>0.22499999999999998</v>
      </c>
      <c r="AK49" s="230">
        <f t="shared" si="41"/>
        <v>0.28499999999999998</v>
      </c>
      <c r="AL49" s="230">
        <f>+AI49*E49</f>
        <v>5.2499999999999998E-2</v>
      </c>
      <c r="AM49" s="230">
        <f>+AJ49*E49</f>
        <v>6.7499999999999991E-2</v>
      </c>
      <c r="AN49" s="230">
        <f t="shared" si="49"/>
        <v>8.5499999999999993E-2</v>
      </c>
      <c r="AO49" s="566" t="s">
        <v>1850</v>
      </c>
      <c r="AP49" s="567" t="s">
        <v>1892</v>
      </c>
      <c r="AQ49" s="567" t="s">
        <v>2268</v>
      </c>
      <c r="AR49" s="644" t="s">
        <v>2320</v>
      </c>
      <c r="AS49" s="567" t="s">
        <v>2403</v>
      </c>
      <c r="AT49" s="1136" t="s">
        <v>2437</v>
      </c>
      <c r="AU49" s="567" t="s">
        <v>2496</v>
      </c>
      <c r="AV49" s="567" t="s">
        <v>1893</v>
      </c>
    </row>
    <row r="50" spans="1:48" ht="66" customHeight="1" thickBot="1" x14ac:dyDescent="0.4">
      <c r="A50" s="155"/>
      <c r="B50" s="1557" t="s">
        <v>1729</v>
      </c>
      <c r="C50" s="1571"/>
      <c r="D50" s="231"/>
      <c r="E50" s="232">
        <v>0.15</v>
      </c>
      <c r="F50" s="226"/>
      <c r="G50" s="163"/>
      <c r="H50" s="163"/>
      <c r="I50" s="163"/>
      <c r="J50" s="169">
        <f>+AVERAGE(J51:J52)*0.5</f>
        <v>0.125</v>
      </c>
      <c r="K50" s="169">
        <f>+AVERAGE(K51:K52)</f>
        <v>0.22500000000000001</v>
      </c>
      <c r="L50" s="169">
        <f>+AVERAGE(L51:L52)</f>
        <v>0.7</v>
      </c>
      <c r="M50" s="169">
        <f>+M51+M52</f>
        <v>0.1</v>
      </c>
      <c r="N50" s="169">
        <f>+N51+N52</f>
        <v>0.22</v>
      </c>
      <c r="O50" s="169"/>
      <c r="P50" s="168"/>
      <c r="Q50" s="168"/>
      <c r="R50" s="168"/>
      <c r="S50" s="168"/>
      <c r="T50" s="168"/>
      <c r="U50" s="987"/>
      <c r="V50" s="170"/>
      <c r="W50" s="168"/>
      <c r="X50" s="168"/>
      <c r="Y50" s="168"/>
      <c r="Z50" s="168"/>
      <c r="AA50" s="168"/>
      <c r="AB50" s="170"/>
      <c r="AC50" s="192">
        <f>+AVERAGE(AC51:AC52)</f>
        <v>1</v>
      </c>
      <c r="AD50" s="192">
        <f>+AVERAGE(AD51:AD52)</f>
        <v>0.6</v>
      </c>
      <c r="AE50" s="192">
        <f>+AVERAGE(AE51:AE52)</f>
        <v>6.25E-2</v>
      </c>
      <c r="AF50" s="192">
        <f>+(AF51+AF52)*E50</f>
        <v>0.06</v>
      </c>
      <c r="AG50" s="192">
        <f>+(AG51+AG52)*E50</f>
        <v>0.10199999999999999</v>
      </c>
      <c r="AH50" s="192">
        <f>+(AH51+AH52)*E50</f>
        <v>1.125E-2</v>
      </c>
      <c r="AI50" s="169">
        <f>+AVERAGE(AI51:AI52)*0.5</f>
        <v>0.125</v>
      </c>
      <c r="AJ50" s="169">
        <v>0.35</v>
      </c>
      <c r="AK50" s="169">
        <f>+AVERAGE(AK51:AK52)</f>
        <v>0.75</v>
      </c>
      <c r="AL50" s="222">
        <f>+(AL51+AL52)*E50</f>
        <v>1.4999999999999999E-2</v>
      </c>
      <c r="AM50" s="222">
        <f>+(AM51+AM52)</f>
        <v>0.36</v>
      </c>
      <c r="AN50" s="222">
        <f>+(AN51+AN52)</f>
        <v>0.8</v>
      </c>
      <c r="AO50" s="913"/>
      <c r="AP50" s="535"/>
      <c r="AQ50" s="535"/>
      <c r="AR50" s="535"/>
      <c r="AS50" s="535"/>
      <c r="AT50" s="1135"/>
      <c r="AU50" s="535"/>
      <c r="AV50" s="535"/>
    </row>
    <row r="51" spans="1:48" ht="84.6" customHeight="1" thickBot="1" x14ac:dyDescent="0.4">
      <c r="A51" s="155"/>
      <c r="B51" s="181" t="s">
        <v>842</v>
      </c>
      <c r="C51" s="235" t="s">
        <v>1299</v>
      </c>
      <c r="D51" s="237" t="s">
        <v>790</v>
      </c>
      <c r="E51" s="238">
        <v>0.6</v>
      </c>
      <c r="F51" s="226">
        <v>1</v>
      </c>
      <c r="G51" s="170">
        <v>0</v>
      </c>
      <c r="H51" s="170">
        <v>0.2</v>
      </c>
      <c r="I51" s="170">
        <v>0.4</v>
      </c>
      <c r="J51" s="176"/>
      <c r="K51" s="176">
        <f t="shared" si="45"/>
        <v>0.2</v>
      </c>
      <c r="L51" s="176">
        <f t="shared" ref="L51" si="51">+I51/F51</f>
        <v>0.4</v>
      </c>
      <c r="M51" s="176"/>
      <c r="N51" s="176">
        <f t="shared" si="47"/>
        <v>0.12</v>
      </c>
      <c r="O51" s="176"/>
      <c r="P51" s="170"/>
      <c r="Q51" s="541">
        <v>7.0000000000000007E-2</v>
      </c>
      <c r="R51" s="541">
        <v>0.33</v>
      </c>
      <c r="S51" s="541">
        <v>0</v>
      </c>
      <c r="T51" s="541">
        <v>0</v>
      </c>
      <c r="U51" s="541">
        <v>0</v>
      </c>
      <c r="V51" s="170">
        <f>+Q51+R51+S51+T51+U51</f>
        <v>0.4</v>
      </c>
      <c r="W51" s="206">
        <f>+V51+P51+AB51+0.7</f>
        <v>1.1499999999999999</v>
      </c>
      <c r="X51" s="542">
        <v>0.05</v>
      </c>
      <c r="Y51" s="206"/>
      <c r="Z51" s="206"/>
      <c r="AA51" s="206"/>
      <c r="AB51" s="206">
        <f t="shared" si="38"/>
        <v>0.05</v>
      </c>
      <c r="AC51" s="194"/>
      <c r="AD51" s="194">
        <v>1</v>
      </c>
      <c r="AE51" s="194">
        <f t="shared" si="39"/>
        <v>0.125</v>
      </c>
      <c r="AF51" s="194"/>
      <c r="AG51" s="194">
        <f>+AD51*E51</f>
        <v>0.6</v>
      </c>
      <c r="AH51" s="194">
        <f t="shared" ref="AH51:AH52" si="52">+AE51*E51</f>
        <v>7.4999999999999997E-2</v>
      </c>
      <c r="AI51" s="194"/>
      <c r="AJ51" s="230">
        <v>0.4</v>
      </c>
      <c r="AK51" s="230">
        <v>1</v>
      </c>
      <c r="AL51" s="230"/>
      <c r="AM51" s="230">
        <f>+AJ51*E51</f>
        <v>0.24</v>
      </c>
      <c r="AN51" s="230">
        <f t="shared" ref="AN51:AN52" si="53">+AK51*E51</f>
        <v>0.6</v>
      </c>
      <c r="AO51" s="566" t="s">
        <v>1850</v>
      </c>
      <c r="AP51" s="567" t="s">
        <v>1892</v>
      </c>
      <c r="AQ51" s="535"/>
      <c r="AR51" s="644" t="s">
        <v>2320</v>
      </c>
      <c r="AS51" s="567" t="s">
        <v>2403</v>
      </c>
      <c r="AT51" s="1136" t="s">
        <v>2437</v>
      </c>
      <c r="AU51" s="567" t="s">
        <v>2496</v>
      </c>
      <c r="AV51" s="567" t="s">
        <v>1893</v>
      </c>
    </row>
    <row r="52" spans="1:48" ht="79.2" customHeight="1" thickBot="1" x14ac:dyDescent="0.4">
      <c r="A52" s="155"/>
      <c r="B52" s="173" t="s">
        <v>843</v>
      </c>
      <c r="C52" s="223" t="s">
        <v>1300</v>
      </c>
      <c r="D52" s="237" t="s">
        <v>790</v>
      </c>
      <c r="E52" s="238">
        <v>0.4</v>
      </c>
      <c r="F52" s="226">
        <v>2</v>
      </c>
      <c r="G52" s="170">
        <v>0.5</v>
      </c>
      <c r="H52" s="170">
        <v>0.5</v>
      </c>
      <c r="I52" s="170">
        <v>2</v>
      </c>
      <c r="J52" s="176">
        <f>+G52/F52</f>
        <v>0.25</v>
      </c>
      <c r="K52" s="176">
        <f t="shared" si="45"/>
        <v>0.25</v>
      </c>
      <c r="L52" s="176">
        <f>+I52/F52</f>
        <v>1</v>
      </c>
      <c r="M52" s="176">
        <f>+(G52/F52)*E52</f>
        <v>0.1</v>
      </c>
      <c r="N52" s="176">
        <f t="shared" si="47"/>
        <v>0.1</v>
      </c>
      <c r="O52" s="176"/>
      <c r="P52" s="170">
        <v>0.5</v>
      </c>
      <c r="Q52" s="541">
        <v>0.03</v>
      </c>
      <c r="R52" s="541">
        <v>7.0000000000000007E-2</v>
      </c>
      <c r="S52" s="541">
        <v>0</v>
      </c>
      <c r="T52" s="541">
        <v>0</v>
      </c>
      <c r="U52" s="541">
        <v>0</v>
      </c>
      <c r="V52" s="170">
        <f>+Q52+R52+S52+T52+U52</f>
        <v>0.1</v>
      </c>
      <c r="W52" s="206">
        <f>+V52+P52+AB52+0.4</f>
        <v>1</v>
      </c>
      <c r="X52" s="541">
        <v>0</v>
      </c>
      <c r="Y52" s="170"/>
      <c r="Z52" s="170"/>
      <c r="AA52" s="170"/>
      <c r="AB52" s="170">
        <f t="shared" si="38"/>
        <v>0</v>
      </c>
      <c r="AC52" s="194">
        <f>+P52/G52</f>
        <v>1</v>
      </c>
      <c r="AD52" s="194">
        <f>+V52/H52</f>
        <v>0.2</v>
      </c>
      <c r="AE52" s="194">
        <f t="shared" si="39"/>
        <v>0</v>
      </c>
      <c r="AF52" s="194">
        <f>+AC52*E52</f>
        <v>0.4</v>
      </c>
      <c r="AG52" s="194">
        <f>+AD52*E52</f>
        <v>8.0000000000000016E-2</v>
      </c>
      <c r="AH52" s="194">
        <f t="shared" si="52"/>
        <v>0</v>
      </c>
      <c r="AI52" s="194">
        <f>+P52/F52</f>
        <v>0.25</v>
      </c>
      <c r="AJ52" s="230">
        <v>0.3</v>
      </c>
      <c r="AK52" s="230">
        <f t="shared" si="41"/>
        <v>0.5</v>
      </c>
      <c r="AL52" s="230">
        <f>+AI52*E52</f>
        <v>0.1</v>
      </c>
      <c r="AM52" s="230">
        <f>+AJ52*E52</f>
        <v>0.12</v>
      </c>
      <c r="AN52" s="230">
        <f t="shared" si="53"/>
        <v>0.2</v>
      </c>
      <c r="AO52" s="566" t="s">
        <v>1850</v>
      </c>
      <c r="AP52" s="567" t="s">
        <v>1892</v>
      </c>
      <c r="AQ52" s="535"/>
      <c r="AR52" s="567" t="s">
        <v>2288</v>
      </c>
      <c r="AS52" s="567" t="s">
        <v>2403</v>
      </c>
      <c r="AT52" s="1136" t="s">
        <v>2437</v>
      </c>
      <c r="AU52" s="567" t="s">
        <v>2496</v>
      </c>
      <c r="AV52" s="567" t="s">
        <v>1893</v>
      </c>
    </row>
    <row r="53" spans="1:48" ht="57" customHeight="1" thickBot="1" x14ac:dyDescent="0.4">
      <c r="A53" s="155"/>
      <c r="B53" s="1557" t="s">
        <v>1730</v>
      </c>
      <c r="C53" s="1571"/>
      <c r="D53" s="231"/>
      <c r="E53" s="232">
        <v>0.1</v>
      </c>
      <c r="F53" s="226"/>
      <c r="G53" s="163"/>
      <c r="H53" s="163"/>
      <c r="I53" s="163"/>
      <c r="J53" s="169">
        <f>+AVERAGE(J54:J56)</f>
        <v>0.20833333333333334</v>
      </c>
      <c r="K53" s="169">
        <f>+AVERAGE(K54:K56)</f>
        <v>0.25</v>
      </c>
      <c r="L53" s="169">
        <f>+AVERAGE(L54:L56)</f>
        <v>0.22500000000000001</v>
      </c>
      <c r="M53" s="169">
        <f>+M54+M55+M56</f>
        <v>0.20250000000000001</v>
      </c>
      <c r="N53" s="169">
        <f>+N54+N55+N56</f>
        <v>0.24</v>
      </c>
      <c r="O53" s="169"/>
      <c r="P53" s="168"/>
      <c r="Q53" s="168"/>
      <c r="R53" s="168"/>
      <c r="S53" s="168"/>
      <c r="T53" s="168"/>
      <c r="U53" s="987"/>
      <c r="V53" s="170"/>
      <c r="W53" s="168"/>
      <c r="X53" s="168"/>
      <c r="Y53" s="168"/>
      <c r="Z53" s="168"/>
      <c r="AA53" s="168"/>
      <c r="AB53" s="170"/>
      <c r="AC53" s="192">
        <f>+AVERAGE(AC54:AC56)</f>
        <v>1</v>
      </c>
      <c r="AD53" s="192">
        <f>+AVERAGE(AD54:AD56)</f>
        <v>0.98613333333333342</v>
      </c>
      <c r="AE53" s="192">
        <f>+AVERAGE(AE54:AE56)</f>
        <v>0.36000000000000004</v>
      </c>
      <c r="AF53" s="192">
        <f>+(AF54+AF55+AF56)*E53</f>
        <v>0.1</v>
      </c>
      <c r="AG53" s="192">
        <f>+(AG54+AG55+AG56)*E53</f>
        <v>9.8752000000000006E-2</v>
      </c>
      <c r="AH53" s="192">
        <f>+(AH54+AH55+AH56)*E53</f>
        <v>3.4350000000000006E-2</v>
      </c>
      <c r="AI53" s="169">
        <f>+AVERAGE(AI54:AI56)</f>
        <v>0.25</v>
      </c>
      <c r="AJ53" s="169">
        <v>0.62986666666666669</v>
      </c>
      <c r="AK53" s="169">
        <f>+AVERAGE(AK54:AK56)</f>
        <v>0.67770000000000008</v>
      </c>
      <c r="AL53" s="222">
        <f>+(AL54+AL55+AL56)*E53</f>
        <v>2.4E-2</v>
      </c>
      <c r="AM53" s="222">
        <f>+(AM54+AM55+AM56)</f>
        <v>0.57688000000000006</v>
      </c>
      <c r="AN53" s="222">
        <f>+(AN54+AN55+AN56)</f>
        <v>0.62833000000000006</v>
      </c>
      <c r="AO53" s="913"/>
      <c r="AP53" s="535"/>
      <c r="AQ53" s="535"/>
      <c r="AR53" s="535"/>
      <c r="AS53" s="535"/>
      <c r="AT53" s="1135"/>
      <c r="AU53" s="535"/>
      <c r="AV53" s="535"/>
    </row>
    <row r="54" spans="1:48" ht="86.4" customHeight="1" thickBot="1" x14ac:dyDescent="0.4">
      <c r="A54" s="155"/>
      <c r="B54" s="173" t="s">
        <v>844</v>
      </c>
      <c r="C54" s="223" t="s">
        <v>1871</v>
      </c>
      <c r="D54" s="224" t="s">
        <v>790</v>
      </c>
      <c r="E54" s="228">
        <v>0.45</v>
      </c>
      <c r="F54" s="226">
        <v>5</v>
      </c>
      <c r="G54" s="170">
        <v>1</v>
      </c>
      <c r="H54" s="170">
        <v>1</v>
      </c>
      <c r="I54" s="170">
        <v>1</v>
      </c>
      <c r="J54" s="176">
        <f>+G54/F54</f>
        <v>0.2</v>
      </c>
      <c r="K54" s="176">
        <f t="shared" si="45"/>
        <v>0.2</v>
      </c>
      <c r="L54" s="176">
        <f t="shared" ref="L54" si="54">+I54/F54</f>
        <v>0.2</v>
      </c>
      <c r="M54" s="176">
        <f>+(G54/F54)*E54</f>
        <v>9.0000000000000011E-2</v>
      </c>
      <c r="N54" s="176">
        <f t="shared" si="47"/>
        <v>9.0000000000000011E-2</v>
      </c>
      <c r="O54" s="176"/>
      <c r="P54" s="170">
        <v>1</v>
      </c>
      <c r="Q54" s="541">
        <v>0.14000000000000001</v>
      </c>
      <c r="R54" s="541">
        <v>0.2</v>
      </c>
      <c r="S54" s="541">
        <v>0.28999999999999998</v>
      </c>
      <c r="T54" s="541">
        <v>0.23</v>
      </c>
      <c r="U54" s="541">
        <v>0.14000000000000001</v>
      </c>
      <c r="V54" s="206">
        <f t="shared" si="6"/>
        <v>1</v>
      </c>
      <c r="W54" s="206">
        <f>+V54+P54+AB54</f>
        <v>2.2800000000000002</v>
      </c>
      <c r="X54" s="542">
        <v>0.28000000000000003</v>
      </c>
      <c r="Y54" s="206"/>
      <c r="Z54" s="206"/>
      <c r="AA54" s="206"/>
      <c r="AB54" s="206">
        <f t="shared" si="38"/>
        <v>0.28000000000000003</v>
      </c>
      <c r="AC54" s="194">
        <f>+(P54/G54)</f>
        <v>1</v>
      </c>
      <c r="AD54" s="194">
        <f>+V54/H54</f>
        <v>1</v>
      </c>
      <c r="AE54" s="194">
        <f t="shared" si="39"/>
        <v>0.28000000000000003</v>
      </c>
      <c r="AF54" s="194">
        <f>+AC54*E54</f>
        <v>0.45</v>
      </c>
      <c r="AG54" s="194">
        <f>+AD54*E54</f>
        <v>0.45</v>
      </c>
      <c r="AH54" s="194">
        <f t="shared" ref="AH54:AH56" si="55">+AE54*E54</f>
        <v>0.12600000000000003</v>
      </c>
      <c r="AI54" s="194">
        <f>+P54/F54</f>
        <v>0.2</v>
      </c>
      <c r="AJ54" s="230">
        <v>0.4</v>
      </c>
      <c r="AK54" s="230">
        <f t="shared" si="41"/>
        <v>0.45600000000000007</v>
      </c>
      <c r="AL54" s="230">
        <f>+AI54*E54</f>
        <v>9.0000000000000011E-2</v>
      </c>
      <c r="AM54" s="230">
        <f>+AJ54*E54</f>
        <v>0.18000000000000002</v>
      </c>
      <c r="AN54" s="230">
        <f t="shared" ref="AN54:AN56" si="56">+AK54*E54</f>
        <v>0.20520000000000005</v>
      </c>
      <c r="AO54" s="566" t="s">
        <v>1850</v>
      </c>
      <c r="AP54" s="567" t="s">
        <v>1892</v>
      </c>
      <c r="AQ54" s="567" t="s">
        <v>2268</v>
      </c>
      <c r="AR54" s="567" t="s">
        <v>2288</v>
      </c>
      <c r="AS54" s="567" t="s">
        <v>2403</v>
      </c>
      <c r="AT54" s="1136" t="s">
        <v>2437</v>
      </c>
      <c r="AU54" s="535"/>
      <c r="AV54" s="567" t="s">
        <v>1893</v>
      </c>
    </row>
    <row r="55" spans="1:48" ht="76.95" customHeight="1" thickBot="1" x14ac:dyDescent="0.4">
      <c r="A55" s="155"/>
      <c r="B55" s="173" t="s">
        <v>845</v>
      </c>
      <c r="C55" s="223" t="s">
        <v>1301</v>
      </c>
      <c r="D55" s="224" t="s">
        <v>790</v>
      </c>
      <c r="E55" s="228">
        <v>0.3</v>
      </c>
      <c r="F55" s="226">
        <v>4</v>
      </c>
      <c r="G55" s="170">
        <v>0.5</v>
      </c>
      <c r="H55" s="170">
        <v>1</v>
      </c>
      <c r="I55" s="170">
        <v>1</v>
      </c>
      <c r="J55" s="176">
        <f>+G55/F55</f>
        <v>0.125</v>
      </c>
      <c r="K55" s="176">
        <f t="shared" si="45"/>
        <v>0.25</v>
      </c>
      <c r="L55" s="176">
        <f>+I55/F55</f>
        <v>0.25</v>
      </c>
      <c r="M55" s="176">
        <f>+(G55/F55)*E55</f>
        <v>3.7499999999999999E-2</v>
      </c>
      <c r="N55" s="176">
        <f t="shared" si="47"/>
        <v>7.4999999999999997E-2</v>
      </c>
      <c r="O55" s="176"/>
      <c r="P55" s="170">
        <v>1</v>
      </c>
      <c r="Q55" s="542">
        <v>1.67E-2</v>
      </c>
      <c r="R55" s="542">
        <v>0.28670000000000001</v>
      </c>
      <c r="S55" s="542">
        <v>0.44500000000000001</v>
      </c>
      <c r="T55" s="542">
        <v>0.1</v>
      </c>
      <c r="U55" s="542">
        <v>0.11</v>
      </c>
      <c r="V55" s="206">
        <f t="shared" si="6"/>
        <v>0.95839999999999992</v>
      </c>
      <c r="W55" s="206">
        <f t="shared" ref="W55:W56" si="57">+V55+P55+AB55</f>
        <v>2.3083999999999998</v>
      </c>
      <c r="X55" s="542">
        <v>0.35</v>
      </c>
      <c r="Y55" s="206"/>
      <c r="Z55" s="206"/>
      <c r="AA55" s="206"/>
      <c r="AB55" s="206">
        <f t="shared" si="38"/>
        <v>0.35</v>
      </c>
      <c r="AC55" s="194">
        <v>1</v>
      </c>
      <c r="AD55" s="194">
        <f>+V55/H55</f>
        <v>0.95839999999999992</v>
      </c>
      <c r="AE55" s="194">
        <f>+AB55/I55</f>
        <v>0.35</v>
      </c>
      <c r="AF55" s="194">
        <f>+AC55*E55</f>
        <v>0.3</v>
      </c>
      <c r="AG55" s="194">
        <f>+AD55*E55</f>
        <v>0.28751999999999994</v>
      </c>
      <c r="AH55" s="194">
        <f>+AE55*E55</f>
        <v>0.105</v>
      </c>
      <c r="AI55" s="194">
        <f>+P55/F55</f>
        <v>0.25</v>
      </c>
      <c r="AJ55" s="230">
        <v>0.48959999999999998</v>
      </c>
      <c r="AK55" s="230">
        <f t="shared" si="41"/>
        <v>0.57709999999999995</v>
      </c>
      <c r="AL55" s="230">
        <f>+AI55*E55</f>
        <v>7.4999999999999997E-2</v>
      </c>
      <c r="AM55" s="230">
        <f>+AJ55*E55</f>
        <v>0.14687999999999998</v>
      </c>
      <c r="AN55" s="230">
        <f t="shared" si="56"/>
        <v>0.17312999999999998</v>
      </c>
      <c r="AO55" s="566" t="s">
        <v>1850</v>
      </c>
      <c r="AP55" s="567" t="s">
        <v>1892</v>
      </c>
      <c r="AQ55" s="567" t="s">
        <v>2268</v>
      </c>
      <c r="AR55" s="567" t="s">
        <v>2288</v>
      </c>
      <c r="AS55" s="567" t="s">
        <v>2403</v>
      </c>
      <c r="AT55" s="1136" t="s">
        <v>2437</v>
      </c>
      <c r="AU55" s="535"/>
      <c r="AV55" s="567" t="s">
        <v>1893</v>
      </c>
    </row>
    <row r="56" spans="1:48" ht="56.4" customHeight="1" thickBot="1" x14ac:dyDescent="0.4">
      <c r="A56" s="155"/>
      <c r="B56" s="173" t="s">
        <v>846</v>
      </c>
      <c r="C56" s="223" t="s">
        <v>1302</v>
      </c>
      <c r="D56" s="224" t="s">
        <v>790</v>
      </c>
      <c r="E56" s="228">
        <v>0.25</v>
      </c>
      <c r="F56" s="226">
        <v>1</v>
      </c>
      <c r="G56" s="170">
        <v>0.3</v>
      </c>
      <c r="H56" s="170">
        <v>0.3</v>
      </c>
      <c r="I56" s="170">
        <v>0.4</v>
      </c>
      <c r="J56" s="176">
        <f>+G56/F56</f>
        <v>0.3</v>
      </c>
      <c r="K56" s="176">
        <f t="shared" si="45"/>
        <v>0.3</v>
      </c>
      <c r="L56" s="176"/>
      <c r="M56" s="176">
        <f>+(G56/F56)*E56</f>
        <v>7.4999999999999997E-2</v>
      </c>
      <c r="N56" s="176">
        <f t="shared" si="47"/>
        <v>7.4999999999999997E-2</v>
      </c>
      <c r="O56" s="176"/>
      <c r="P56" s="170">
        <v>0.3</v>
      </c>
      <c r="Q56" s="542">
        <v>1.67E-2</v>
      </c>
      <c r="R56" s="542">
        <v>0.1</v>
      </c>
      <c r="S56" s="541">
        <v>0.78</v>
      </c>
      <c r="T56" s="541">
        <v>0.05</v>
      </c>
      <c r="U56" s="541">
        <v>0.05</v>
      </c>
      <c r="V56" s="206">
        <f t="shared" si="6"/>
        <v>0.99670000000000014</v>
      </c>
      <c r="W56" s="206">
        <f t="shared" si="57"/>
        <v>1.4767000000000001</v>
      </c>
      <c r="X56" s="542">
        <v>0.18</v>
      </c>
      <c r="Y56" s="206"/>
      <c r="Z56" s="206"/>
      <c r="AA56" s="206"/>
      <c r="AB56" s="206">
        <f t="shared" si="38"/>
        <v>0.18</v>
      </c>
      <c r="AC56" s="194">
        <f>+(P56/G56)</f>
        <v>1</v>
      </c>
      <c r="AD56" s="194">
        <v>1</v>
      </c>
      <c r="AE56" s="194">
        <f t="shared" si="39"/>
        <v>0.44999999999999996</v>
      </c>
      <c r="AF56" s="194">
        <f>+AC56*E56</f>
        <v>0.25</v>
      </c>
      <c r="AG56" s="194">
        <f>+AD56*E56</f>
        <v>0.25</v>
      </c>
      <c r="AH56" s="194">
        <f t="shared" si="55"/>
        <v>0.11249999999999999</v>
      </c>
      <c r="AI56" s="194">
        <f>+P56/F56</f>
        <v>0.3</v>
      </c>
      <c r="AJ56" s="230">
        <v>1</v>
      </c>
      <c r="AK56" s="230">
        <v>1</v>
      </c>
      <c r="AL56" s="230">
        <f>+AI56*E56</f>
        <v>7.4999999999999997E-2</v>
      </c>
      <c r="AM56" s="230">
        <f>+AJ56*E56</f>
        <v>0.25</v>
      </c>
      <c r="AN56" s="230">
        <f t="shared" si="56"/>
        <v>0.25</v>
      </c>
      <c r="AO56" s="566" t="s">
        <v>1850</v>
      </c>
      <c r="AP56" s="567" t="s">
        <v>1892</v>
      </c>
      <c r="AQ56" s="567" t="s">
        <v>2268</v>
      </c>
      <c r="AR56" s="567" t="s">
        <v>2288</v>
      </c>
      <c r="AS56" s="567" t="s">
        <v>2425</v>
      </c>
      <c r="AT56" s="1136" t="s">
        <v>2437</v>
      </c>
      <c r="AU56" s="535"/>
      <c r="AV56" s="567" t="s">
        <v>1893</v>
      </c>
    </row>
    <row r="57" spans="1:48" ht="86.25" customHeight="1" thickBot="1" x14ac:dyDescent="0.4">
      <c r="A57" s="155"/>
      <c r="B57" s="1557" t="s">
        <v>1806</v>
      </c>
      <c r="C57" s="1571"/>
      <c r="D57" s="231"/>
      <c r="E57" s="232">
        <v>0.25</v>
      </c>
      <c r="F57" s="226"/>
      <c r="G57" s="163"/>
      <c r="H57" s="163"/>
      <c r="I57" s="163"/>
      <c r="J57" s="169">
        <f>+AVERAGE(J58:J59)</f>
        <v>0.16666666666666666</v>
      </c>
      <c r="K57" s="169">
        <f>+AVERAGE(K58:K59)</f>
        <v>0.3</v>
      </c>
      <c r="L57" s="169">
        <f>+AVERAGE(L58:L59)</f>
        <v>0.17499999999999999</v>
      </c>
      <c r="M57" s="169">
        <f>+M58+M59</f>
        <v>0.13333333333333333</v>
      </c>
      <c r="N57" s="169">
        <f>+N58+N59</f>
        <v>0.06</v>
      </c>
      <c r="O57" s="169"/>
      <c r="P57" s="168"/>
      <c r="Q57" s="168"/>
      <c r="R57" s="168"/>
      <c r="S57" s="168"/>
      <c r="T57" s="168"/>
      <c r="U57" s="987"/>
      <c r="V57" s="170"/>
      <c r="W57" s="168"/>
      <c r="X57" s="168"/>
      <c r="Y57" s="168"/>
      <c r="Z57" s="168"/>
      <c r="AA57" s="168"/>
      <c r="AB57" s="170"/>
      <c r="AC57" s="192">
        <f>+AVERAGE(AC58:AC59)</f>
        <v>0.5</v>
      </c>
      <c r="AD57" s="192">
        <f>+AVERAGE(AD58:AD59)</f>
        <v>1</v>
      </c>
      <c r="AE57" s="192">
        <f>+AVERAGE(AE58:AE59)</f>
        <v>8.1714285714285712E-2</v>
      </c>
      <c r="AF57" s="192">
        <f>+(AF58+AF59)*E57</f>
        <v>0.1</v>
      </c>
      <c r="AG57" s="192">
        <f>+(AG58+AG59)*E57</f>
        <v>0.05</v>
      </c>
      <c r="AH57" s="192">
        <f>+(AH58+AH59)*E57</f>
        <v>4.0857142857142854E-3</v>
      </c>
      <c r="AI57" s="169">
        <f>+AVERAGE(AI58:AI59)</f>
        <v>8.3333333333333329E-2</v>
      </c>
      <c r="AJ57" s="169">
        <v>0.21262466666666666</v>
      </c>
      <c r="AK57" s="169">
        <f>+AVERAGE(AK58:AK59)</f>
        <v>0.22692466666666666</v>
      </c>
      <c r="AL57" s="222">
        <f>+(AL58+AL59)*E57</f>
        <v>1.6666666666666666E-2</v>
      </c>
      <c r="AM57" s="222">
        <f>+(AM58+AM59)</f>
        <v>0.13504986666666668</v>
      </c>
      <c r="AN57" s="222">
        <f>+(AN58+AN59)</f>
        <v>0.14076986666666669</v>
      </c>
      <c r="AO57" s="913"/>
      <c r="AP57" s="535"/>
      <c r="AQ57" s="535"/>
      <c r="AR57" s="535"/>
      <c r="AS57" s="535"/>
      <c r="AT57" s="1135"/>
      <c r="AU57" s="535"/>
      <c r="AV57" s="535"/>
    </row>
    <row r="58" spans="1:48" ht="78" customHeight="1" thickBot="1" x14ac:dyDescent="0.4">
      <c r="A58" s="155"/>
      <c r="B58" s="181" t="s">
        <v>847</v>
      </c>
      <c r="C58" s="235" t="s">
        <v>1303</v>
      </c>
      <c r="D58" s="240" t="s">
        <v>1540</v>
      </c>
      <c r="E58" s="228">
        <v>0.2</v>
      </c>
      <c r="F58" s="226">
        <v>10000</v>
      </c>
      <c r="G58" s="170">
        <v>0</v>
      </c>
      <c r="H58" s="170">
        <v>3000</v>
      </c>
      <c r="I58" s="170">
        <v>3500</v>
      </c>
      <c r="J58" s="176"/>
      <c r="K58" s="176">
        <f t="shared" ref="K58" si="58">+H58/F58</f>
        <v>0.3</v>
      </c>
      <c r="L58" s="176">
        <f>+I58/F58</f>
        <v>0.35</v>
      </c>
      <c r="M58" s="176"/>
      <c r="N58" s="176">
        <f t="shared" si="47"/>
        <v>0.06</v>
      </c>
      <c r="O58" s="176"/>
      <c r="P58" s="170"/>
      <c r="Q58" s="541">
        <v>0</v>
      </c>
      <c r="R58" s="541">
        <v>1626</v>
      </c>
      <c r="S58" s="541">
        <v>1387.67</v>
      </c>
      <c r="T58" s="541">
        <v>405.49</v>
      </c>
      <c r="U58" s="541">
        <v>0</v>
      </c>
      <c r="V58" s="170">
        <f t="shared" si="6"/>
        <v>3419.16</v>
      </c>
      <c r="W58" s="170">
        <f>+V58+P58+AB58</f>
        <v>3705.16</v>
      </c>
      <c r="X58" s="541">
        <v>286</v>
      </c>
      <c r="Y58" s="170"/>
      <c r="Z58" s="170"/>
      <c r="AA58" s="170"/>
      <c r="AB58" s="170">
        <f t="shared" si="38"/>
        <v>286</v>
      </c>
      <c r="AC58" s="194"/>
      <c r="AD58" s="194">
        <v>1</v>
      </c>
      <c r="AE58" s="194">
        <f>+AB58/I58</f>
        <v>8.1714285714285712E-2</v>
      </c>
      <c r="AF58" s="194"/>
      <c r="AG58" s="194">
        <f>+AD58*E58</f>
        <v>0.2</v>
      </c>
      <c r="AH58" s="194">
        <f t="shared" ref="AH58" si="59">+AE58*E58</f>
        <v>1.6342857142857142E-2</v>
      </c>
      <c r="AI58" s="194"/>
      <c r="AJ58" s="230">
        <v>0.341916</v>
      </c>
      <c r="AK58" s="230">
        <f t="shared" si="41"/>
        <v>0.37051600000000001</v>
      </c>
      <c r="AL58" s="230"/>
      <c r="AM58" s="230">
        <f>+AJ58*E58</f>
        <v>6.8383200000000005E-2</v>
      </c>
      <c r="AN58" s="230">
        <f t="shared" ref="AN58:AN59" si="60">+AK58*E58</f>
        <v>7.4103200000000008E-2</v>
      </c>
      <c r="AO58" s="566" t="s">
        <v>1850</v>
      </c>
      <c r="AP58" s="908" t="s">
        <v>1919</v>
      </c>
      <c r="AQ58" s="567" t="s">
        <v>2268</v>
      </c>
      <c r="AR58" s="567" t="s">
        <v>2288</v>
      </c>
      <c r="AS58" s="567" t="s">
        <v>2403</v>
      </c>
      <c r="AT58" s="1136" t="s">
        <v>2437</v>
      </c>
      <c r="AU58" s="567" t="s">
        <v>2496</v>
      </c>
      <c r="AV58" s="567" t="s">
        <v>1893</v>
      </c>
    </row>
    <row r="59" spans="1:48" ht="102.6" customHeight="1" thickBot="1" x14ac:dyDescent="0.4">
      <c r="A59" s="155"/>
      <c r="B59" s="790" t="s">
        <v>848</v>
      </c>
      <c r="C59" s="791" t="s">
        <v>1304</v>
      </c>
      <c r="D59" s="240" t="s">
        <v>1540</v>
      </c>
      <c r="E59" s="228">
        <v>0.8</v>
      </c>
      <c r="F59" s="226">
        <v>6</v>
      </c>
      <c r="G59" s="170">
        <v>1</v>
      </c>
      <c r="H59" s="236">
        <v>0</v>
      </c>
      <c r="I59" s="236"/>
      <c r="J59" s="176">
        <f>+G59/F59</f>
        <v>0.16666666666666666</v>
      </c>
      <c r="K59" s="176"/>
      <c r="L59" s="176">
        <f>+I59/F59</f>
        <v>0</v>
      </c>
      <c r="M59" s="176">
        <f>+(G59/F59)*E59</f>
        <v>0.13333333333333333</v>
      </c>
      <c r="N59" s="176">
        <f t="shared" si="47"/>
        <v>0</v>
      </c>
      <c r="O59" s="176"/>
      <c r="P59" s="170">
        <v>0.5</v>
      </c>
      <c r="Q59" s="541"/>
      <c r="R59" s="541"/>
      <c r="S59" s="541"/>
      <c r="T59" s="541"/>
      <c r="U59" s="541"/>
      <c r="V59" s="170">
        <f t="shared" si="6"/>
        <v>0</v>
      </c>
      <c r="W59" s="170">
        <f>+V59+P59+AB59</f>
        <v>0.5</v>
      </c>
      <c r="X59" s="170"/>
      <c r="Y59" s="170"/>
      <c r="Z59" s="170"/>
      <c r="AA59" s="170"/>
      <c r="AB59" s="170">
        <f>+X59+Y59+Z59+AA59</f>
        <v>0</v>
      </c>
      <c r="AC59" s="194">
        <f>+(P59/G59)</f>
        <v>0.5</v>
      </c>
      <c r="AD59" s="194"/>
      <c r="AE59" s="194"/>
      <c r="AF59" s="194">
        <f>+AC59*E59</f>
        <v>0.4</v>
      </c>
      <c r="AG59" s="194">
        <f>+AD59*E59</f>
        <v>0</v>
      </c>
      <c r="AH59" s="194"/>
      <c r="AI59" s="194">
        <f>+P59/F59</f>
        <v>8.3333333333333329E-2</v>
      </c>
      <c r="AJ59" s="230">
        <v>8.3333333333333329E-2</v>
      </c>
      <c r="AK59" s="230">
        <f t="shared" si="41"/>
        <v>8.3333333333333329E-2</v>
      </c>
      <c r="AL59" s="230">
        <f>+AI59*E59</f>
        <v>6.6666666666666666E-2</v>
      </c>
      <c r="AM59" s="230">
        <f>+AJ59*E59</f>
        <v>6.6666666666666666E-2</v>
      </c>
      <c r="AN59" s="230">
        <f t="shared" si="60"/>
        <v>6.6666666666666666E-2</v>
      </c>
      <c r="AO59" s="566" t="s">
        <v>1850</v>
      </c>
      <c r="AP59" s="572" t="s">
        <v>1892</v>
      </c>
      <c r="AQ59" s="567" t="s">
        <v>2268</v>
      </c>
      <c r="AR59" s="567" t="s">
        <v>2288</v>
      </c>
      <c r="AS59" s="567" t="s">
        <v>2403</v>
      </c>
      <c r="AT59" s="1136" t="s">
        <v>2437</v>
      </c>
      <c r="AU59" s="567" t="s">
        <v>2496</v>
      </c>
      <c r="AV59" s="568" t="s">
        <v>1865</v>
      </c>
    </row>
    <row r="60" spans="1:48" ht="108.75" customHeight="1" thickBot="1" x14ac:dyDescent="0.4">
      <c r="A60" s="155"/>
      <c r="B60" s="1561" t="s">
        <v>1807</v>
      </c>
      <c r="C60" s="1571"/>
      <c r="D60" s="231"/>
      <c r="E60" s="234">
        <v>0.15</v>
      </c>
      <c r="F60" s="158">
        <f>+E60*AF60</f>
        <v>0.12154551724137931</v>
      </c>
      <c r="G60" s="163"/>
      <c r="H60" s="159">
        <f>+E60*AG60</f>
        <v>0.146505</v>
      </c>
      <c r="I60" s="159">
        <f>+E60*AH60</f>
        <v>1.2100434782608697E-2</v>
      </c>
      <c r="J60" s="161">
        <f>+(J61+J64+J69+J73+J77+J79)/6</f>
        <v>0.25786840977058367</v>
      </c>
      <c r="K60" s="161">
        <f>+(K61+K64+K69+K73+K77+K79)/6</f>
        <v>0.22714246502289981</v>
      </c>
      <c r="L60" s="161">
        <f>+(L61+L64+L69+L73+L77+L79)/6</f>
        <v>0.29446546207415775</v>
      </c>
      <c r="M60" s="162">
        <f>+(M61+M64+M69+M73+M77+M79)/6</f>
        <v>0.23061672626890017</v>
      </c>
      <c r="N60" s="162">
        <f>+(N61+N64+N69+N73+N77+N79)/6</f>
        <v>0.22248337411380889</v>
      </c>
      <c r="O60" s="162"/>
      <c r="P60" s="163"/>
      <c r="Q60" s="163"/>
      <c r="R60" s="163"/>
      <c r="S60" s="163"/>
      <c r="T60" s="163"/>
      <c r="U60" s="215"/>
      <c r="V60" s="967"/>
      <c r="W60" s="163"/>
      <c r="X60" s="163"/>
      <c r="Y60" s="163"/>
      <c r="Z60" s="163"/>
      <c r="AA60" s="163"/>
      <c r="AB60" s="163"/>
      <c r="AC60" s="161">
        <f>+(AC61+AC64+AC69+AC73+AC77+AC79)/6</f>
        <v>0.89865134099616861</v>
      </c>
      <c r="AD60" s="161">
        <f>+(AD61+AD64+AD69+AD73+AD77+AD79)/6</f>
        <v>0.98029629629629633</v>
      </c>
      <c r="AE60" s="161">
        <f>+(AE61+AE64+AE69+AE73+AE77+AE79)/6</f>
        <v>0.23134216225220725</v>
      </c>
      <c r="AF60" s="162">
        <f>+AF61+AF64+AF69+AF73+AF77+AF79</f>
        <v>0.81030344827586209</v>
      </c>
      <c r="AG60" s="162">
        <f>+AG61+AG64+AG69+AG73+AG77+AG79</f>
        <v>0.97670000000000001</v>
      </c>
      <c r="AH60" s="162">
        <f>+AH61+AH64+AH69+AH73+AH77+AH79</f>
        <v>8.0669565217391312E-2</v>
      </c>
      <c r="AI60" s="161">
        <f>(AI61+AI64+AI69+AI73+AI77+AI79)/6</f>
        <v>0.34751855340367338</v>
      </c>
      <c r="AJ60" s="161">
        <v>0.62223930440984399</v>
      </c>
      <c r="AK60" s="161">
        <f>(AK61+AK64+AK69+AK73+AK77+AK79)/6</f>
        <v>0.64844857477466167</v>
      </c>
      <c r="AL60" s="220">
        <f>+(AL61+AL64+AL69+AL73+AL77+AL79)</f>
        <v>0.30808632226094745</v>
      </c>
      <c r="AM60" s="220">
        <f>+(AM61*E61+AM64*E64+AM69*E69+AM73*E73+AM77*E77+AM79*E79)</f>
        <v>0.56432627484958808</v>
      </c>
      <c r="AN60" s="220">
        <f>+(AN61*E61+AN64*E64+AN69*E69+AN73*E73+AN77*E77+AN79*E79)</f>
        <v>0.63958272162619989</v>
      </c>
      <c r="AO60" s="912"/>
      <c r="AP60" s="535"/>
      <c r="AQ60" s="535"/>
      <c r="AR60" s="535"/>
      <c r="AS60" s="535"/>
      <c r="AT60" s="1135"/>
      <c r="AU60" s="535"/>
      <c r="AV60" s="535"/>
    </row>
    <row r="61" spans="1:48" ht="57" customHeight="1" thickBot="1" x14ac:dyDescent="0.4">
      <c r="A61" s="155"/>
      <c r="B61" s="1557" t="s">
        <v>1808</v>
      </c>
      <c r="C61" s="1571"/>
      <c r="D61" s="231"/>
      <c r="E61" s="232">
        <v>0.1</v>
      </c>
      <c r="F61" s="226"/>
      <c r="G61" s="163"/>
      <c r="H61" s="163"/>
      <c r="I61" s="163"/>
      <c r="J61" s="169">
        <f>+AVERAGE(J62:J63)</f>
        <v>0.33333333333333331</v>
      </c>
      <c r="K61" s="169">
        <f>+AVERAGE(K62:K63)</f>
        <v>0.29166666666666663</v>
      </c>
      <c r="L61" s="169">
        <f>+AVERAGE(L62:L63)</f>
        <v>0.3666666666666667</v>
      </c>
      <c r="M61" s="169">
        <f>+M62+M63</f>
        <v>9.9999999999999992E-2</v>
      </c>
      <c r="N61" s="169">
        <f>+N62+N63</f>
        <v>0.27499999999999997</v>
      </c>
      <c r="O61" s="169"/>
      <c r="P61" s="168"/>
      <c r="Q61" s="168"/>
      <c r="R61" s="168"/>
      <c r="S61" s="168"/>
      <c r="T61" s="168"/>
      <c r="U61" s="987"/>
      <c r="V61" s="170"/>
      <c r="W61" s="168"/>
      <c r="X61" s="168"/>
      <c r="Y61" s="168"/>
      <c r="Z61" s="168"/>
      <c r="AA61" s="168"/>
      <c r="AB61" s="168"/>
      <c r="AC61" s="192">
        <f>+AVERAGE(AC62:AC63)</f>
        <v>0.9</v>
      </c>
      <c r="AD61" s="192">
        <f>+AVERAGE(AD62:AD63)</f>
        <v>1</v>
      </c>
      <c r="AE61" s="192">
        <f>+AVERAGE(AE62:AE63)</f>
        <v>0</v>
      </c>
      <c r="AF61" s="192">
        <f>+(AF62+AF63)*E61</f>
        <v>2.7000000000000003E-2</v>
      </c>
      <c r="AG61" s="192">
        <f>+(AG62+AG63)*E61</f>
        <v>0.1</v>
      </c>
      <c r="AH61" s="192">
        <f>+(AH62+AH63)*E61</f>
        <v>0</v>
      </c>
      <c r="AI61" s="169">
        <f>+AVERAGE(AI62:AI63)</f>
        <v>0.3</v>
      </c>
      <c r="AJ61" s="169">
        <v>0.59166666666666701</v>
      </c>
      <c r="AK61" s="169">
        <f>+AVERAGE(AK62:AK63)</f>
        <v>0.44166666666666665</v>
      </c>
      <c r="AL61" s="222">
        <f>+(AL62+AL63)*E61</f>
        <v>8.9999999999999993E-3</v>
      </c>
      <c r="AM61" s="222">
        <f>+(AM62+AM63)</f>
        <v>0.36499999999999999</v>
      </c>
      <c r="AN61" s="222">
        <f>+(AN62+AN63)</f>
        <v>0.36499999999999999</v>
      </c>
      <c r="AO61" s="913"/>
      <c r="AP61" s="535"/>
      <c r="AQ61" s="535"/>
      <c r="AR61" s="535"/>
      <c r="AS61" s="535"/>
      <c r="AT61" s="1135"/>
      <c r="AU61" s="535"/>
      <c r="AV61" s="535"/>
    </row>
    <row r="62" spans="1:48" ht="90" customHeight="1" thickBot="1" x14ac:dyDescent="0.4">
      <c r="A62" s="155"/>
      <c r="B62" s="173" t="s">
        <v>849</v>
      </c>
      <c r="C62" s="223" t="s">
        <v>1305</v>
      </c>
      <c r="D62" s="224" t="s">
        <v>790</v>
      </c>
      <c r="E62" s="228">
        <v>0.3</v>
      </c>
      <c r="F62" s="226">
        <v>6</v>
      </c>
      <c r="G62" s="170">
        <v>2</v>
      </c>
      <c r="H62" s="170">
        <v>2</v>
      </c>
      <c r="I62" s="170">
        <v>2</v>
      </c>
      <c r="J62" s="176">
        <f>+G62/F62</f>
        <v>0.33333333333333331</v>
      </c>
      <c r="K62" s="176">
        <f t="shared" ref="K62:K63" si="61">+H62/F62</f>
        <v>0.33333333333333331</v>
      </c>
      <c r="L62" s="176">
        <f t="shared" ref="L62:L63" si="62">+I62/F62</f>
        <v>0.33333333333333331</v>
      </c>
      <c r="M62" s="176">
        <f>+(G62/F62)*E62</f>
        <v>9.9999999999999992E-2</v>
      </c>
      <c r="N62" s="176">
        <f t="shared" ref="N62:N81" si="63">+(H62/F62)*E62</f>
        <v>9.9999999999999992E-2</v>
      </c>
      <c r="O62" s="176"/>
      <c r="P62" s="170">
        <v>1.8</v>
      </c>
      <c r="Q62" s="541">
        <v>0.15</v>
      </c>
      <c r="R62" s="541">
        <v>0.9</v>
      </c>
      <c r="S62" s="541">
        <v>0.5</v>
      </c>
      <c r="T62" s="541">
        <v>0</v>
      </c>
      <c r="U62" s="541">
        <v>0.45</v>
      </c>
      <c r="V62" s="170">
        <f t="shared" si="6"/>
        <v>2</v>
      </c>
      <c r="W62" s="647">
        <f>+V62+P62+AB62</f>
        <v>3.8</v>
      </c>
      <c r="X62" s="541">
        <v>0</v>
      </c>
      <c r="Y62" s="170"/>
      <c r="Z62" s="170"/>
      <c r="AA62" s="170"/>
      <c r="AB62" s="170">
        <f t="shared" ref="AB62:AB81" si="64">+X62+Y62+Z62+AA62</f>
        <v>0</v>
      </c>
      <c r="AC62" s="194">
        <f>+(P62/G62)</f>
        <v>0.9</v>
      </c>
      <c r="AD62" s="194">
        <f>+V62/H62</f>
        <v>1</v>
      </c>
      <c r="AE62" s="194">
        <f t="shared" ref="AE62:AE63" si="65">+AB62/I62</f>
        <v>0</v>
      </c>
      <c r="AF62" s="194">
        <f>+AC62*E62</f>
        <v>0.27</v>
      </c>
      <c r="AG62" s="194">
        <f>+AD62*E62</f>
        <v>0.3</v>
      </c>
      <c r="AH62" s="194">
        <f t="shared" ref="AH62:AH63" si="66">+AE62*E62</f>
        <v>0</v>
      </c>
      <c r="AI62" s="194">
        <f>+P62/F62</f>
        <v>0.3</v>
      </c>
      <c r="AJ62" s="230">
        <v>0.6333333333333333</v>
      </c>
      <c r="AK62" s="230">
        <f t="shared" ref="AK62:AK63" si="67">+W62/F62</f>
        <v>0.6333333333333333</v>
      </c>
      <c r="AL62" s="230">
        <f>+AI62*E62</f>
        <v>0.09</v>
      </c>
      <c r="AM62" s="230">
        <f>+AJ62*E62</f>
        <v>0.18999999999999997</v>
      </c>
      <c r="AN62" s="230">
        <f t="shared" ref="AN62:AN63" si="68">+AK62*E62</f>
        <v>0.18999999999999997</v>
      </c>
      <c r="AO62" s="566" t="s">
        <v>1850</v>
      </c>
      <c r="AP62" s="572" t="s">
        <v>1892</v>
      </c>
      <c r="AQ62" s="572" t="s">
        <v>2268</v>
      </c>
      <c r="AR62" s="567" t="s">
        <v>2288</v>
      </c>
      <c r="AS62" s="535"/>
      <c r="AT62" s="1136" t="s">
        <v>2437</v>
      </c>
      <c r="AU62" s="567" t="s">
        <v>2496</v>
      </c>
      <c r="AV62" s="567" t="s">
        <v>1893</v>
      </c>
    </row>
    <row r="63" spans="1:48" ht="88.2" customHeight="1" thickBot="1" x14ac:dyDescent="0.4">
      <c r="A63" s="155"/>
      <c r="B63" s="173" t="s">
        <v>850</v>
      </c>
      <c r="C63" s="223" t="s">
        <v>1306</v>
      </c>
      <c r="D63" s="224" t="s">
        <v>1543</v>
      </c>
      <c r="E63" s="228">
        <v>0.7</v>
      </c>
      <c r="F63" s="226">
        <v>1</v>
      </c>
      <c r="G63" s="170">
        <v>0</v>
      </c>
      <c r="H63" s="170">
        <v>0.25</v>
      </c>
      <c r="I63" s="170">
        <v>0.4</v>
      </c>
      <c r="J63" s="176"/>
      <c r="K63" s="176">
        <f t="shared" si="61"/>
        <v>0.25</v>
      </c>
      <c r="L63" s="176">
        <f t="shared" si="62"/>
        <v>0.4</v>
      </c>
      <c r="M63" s="176"/>
      <c r="N63" s="176">
        <f t="shared" si="63"/>
        <v>0.17499999999999999</v>
      </c>
      <c r="O63" s="176"/>
      <c r="P63" s="170"/>
      <c r="Q63" s="541">
        <v>0</v>
      </c>
      <c r="R63" s="541">
        <v>0.02</v>
      </c>
      <c r="S63" s="541">
        <v>0.08</v>
      </c>
      <c r="T63" s="541">
        <v>0.09</v>
      </c>
      <c r="U63" s="541">
        <v>0.06</v>
      </c>
      <c r="V63" s="170">
        <f t="shared" si="6"/>
        <v>0.25</v>
      </c>
      <c r="W63" s="206">
        <f t="shared" ref="W63:W80" si="69">+V63+P63+AB63</f>
        <v>0.25</v>
      </c>
      <c r="X63" s="541">
        <v>0</v>
      </c>
      <c r="Y63" s="170"/>
      <c r="Z63" s="170"/>
      <c r="AA63" s="170"/>
      <c r="AB63" s="170">
        <f t="shared" si="64"/>
        <v>0</v>
      </c>
      <c r="AC63" s="194"/>
      <c r="AD63" s="194">
        <f>+V63/H63</f>
        <v>1</v>
      </c>
      <c r="AE63" s="194">
        <f t="shared" si="65"/>
        <v>0</v>
      </c>
      <c r="AF63" s="194"/>
      <c r="AG63" s="194">
        <f>+AD63*E63</f>
        <v>0.7</v>
      </c>
      <c r="AH63" s="194">
        <f t="shared" si="66"/>
        <v>0</v>
      </c>
      <c r="AI63" s="194"/>
      <c r="AJ63" s="230">
        <v>0.25</v>
      </c>
      <c r="AK63" s="230">
        <f t="shared" si="67"/>
        <v>0.25</v>
      </c>
      <c r="AL63" s="230">
        <v>0</v>
      </c>
      <c r="AM63" s="230">
        <f>+AJ63*E63</f>
        <v>0.17499999999999999</v>
      </c>
      <c r="AN63" s="230">
        <f t="shared" si="68"/>
        <v>0.17499999999999999</v>
      </c>
      <c r="AO63" s="566" t="s">
        <v>1850</v>
      </c>
      <c r="AP63" s="644" t="s">
        <v>1919</v>
      </c>
      <c r="AQ63" s="572" t="s">
        <v>2268</v>
      </c>
      <c r="AR63" s="567" t="s">
        <v>2288</v>
      </c>
      <c r="AS63" s="567" t="s">
        <v>2403</v>
      </c>
      <c r="AT63" s="1136" t="s">
        <v>2437</v>
      </c>
      <c r="AU63" s="567" t="s">
        <v>2496</v>
      </c>
      <c r="AV63" s="567" t="s">
        <v>1893</v>
      </c>
    </row>
    <row r="64" spans="1:48" ht="42.75" customHeight="1" thickBot="1" x14ac:dyDescent="0.4">
      <c r="A64" s="155"/>
      <c r="B64" s="1557" t="s">
        <v>1733</v>
      </c>
      <c r="C64" s="1571"/>
      <c r="D64" s="231"/>
      <c r="E64" s="232">
        <v>0.15</v>
      </c>
      <c r="F64" s="226"/>
      <c r="G64" s="163"/>
      <c r="H64" s="163"/>
      <c r="I64" s="163"/>
      <c r="J64" s="169">
        <f>+AVERAGE(J65:J68)</f>
        <v>0.23295454545454547</v>
      </c>
      <c r="K64" s="169">
        <f>+AVERAGE(K65:K68)</f>
        <v>0.25568181818181818</v>
      </c>
      <c r="L64" s="169">
        <f>+AVERAGE(L65:L68)</f>
        <v>0.24747474747474749</v>
      </c>
      <c r="M64" s="169">
        <f>+M65+M66+M67+M68</f>
        <v>0.22954545454545455</v>
      </c>
      <c r="N64" s="169">
        <f>+N65+N66+N67+N68</f>
        <v>0.25681818181818178</v>
      </c>
      <c r="O64" s="169"/>
      <c r="P64" s="168"/>
      <c r="Q64" s="168"/>
      <c r="R64" s="168"/>
      <c r="S64" s="168"/>
      <c r="T64" s="168"/>
      <c r="U64" s="987"/>
      <c r="V64" s="170"/>
      <c r="W64" s="647"/>
      <c r="X64" s="168"/>
      <c r="Y64" s="168"/>
      <c r="Z64" s="168"/>
      <c r="AA64" s="168"/>
      <c r="AB64" s="170"/>
      <c r="AC64" s="192">
        <f>+AVERAGE(AC65:AC68)</f>
        <v>1</v>
      </c>
      <c r="AD64" s="192">
        <f>+AVERAGE(AD65:AD68)</f>
        <v>1</v>
      </c>
      <c r="AE64" s="192">
        <f>+AVERAGE(AE65:AE68)</f>
        <v>0</v>
      </c>
      <c r="AF64" s="192">
        <f>+(AF65+AF66+AF67+AF68)*E64</f>
        <v>0.15</v>
      </c>
      <c r="AG64" s="192">
        <f>+(AG65+AG66+AG67+AG68)*E64</f>
        <v>0.15</v>
      </c>
      <c r="AH64" s="192">
        <f>+(AH65+AH66+AH67+AH68)*E64</f>
        <v>0</v>
      </c>
      <c r="AI64" s="169">
        <f>+AVERAGE(AI65:AI68)</f>
        <v>0.32170454545454552</v>
      </c>
      <c r="AJ64" s="169">
        <v>0.67886363636363634</v>
      </c>
      <c r="AK64" s="169">
        <f>+AVERAGE(AK65:AK68)</f>
        <v>0.67886363636363634</v>
      </c>
      <c r="AL64" s="222">
        <f>+(AL65+AL66+AL67+AL68)*E64</f>
        <v>4.8156818181818176E-2</v>
      </c>
      <c r="AM64" s="222">
        <f>+(AM65+AM66+AM67+AM68)</f>
        <v>0.69763636363636361</v>
      </c>
      <c r="AN64" s="222">
        <f>+(AN65+AN66+AN67+AN68)</f>
        <v>0.69763636363636361</v>
      </c>
      <c r="AO64" s="913"/>
      <c r="AP64" s="535"/>
      <c r="AQ64" s="535"/>
      <c r="AR64" s="535"/>
      <c r="AS64" s="535"/>
      <c r="AT64" s="1135"/>
      <c r="AU64" s="535"/>
      <c r="AV64" s="535"/>
    </row>
    <row r="65" spans="1:48" ht="75.599999999999994" customHeight="1" thickBot="1" x14ac:dyDescent="0.4">
      <c r="A65" s="155"/>
      <c r="B65" s="790" t="s">
        <v>851</v>
      </c>
      <c r="C65" s="791" t="s">
        <v>1307</v>
      </c>
      <c r="D65" s="224" t="s">
        <v>852</v>
      </c>
      <c r="E65" s="228">
        <v>0.3</v>
      </c>
      <c r="F65" s="226">
        <v>1</v>
      </c>
      <c r="G65" s="236">
        <v>0.25</v>
      </c>
      <c r="H65" s="236">
        <v>0.25</v>
      </c>
      <c r="I65" s="236">
        <v>0.09</v>
      </c>
      <c r="J65" s="176">
        <f>+G65/F65</f>
        <v>0.25</v>
      </c>
      <c r="K65" s="176">
        <f t="shared" ref="K65:K68" si="70">+H65/F65</f>
        <v>0.25</v>
      </c>
      <c r="L65" s="176"/>
      <c r="M65" s="176">
        <f>+(G65/F65)*E65</f>
        <v>7.4999999999999997E-2</v>
      </c>
      <c r="N65" s="176">
        <f t="shared" si="63"/>
        <v>7.4999999999999997E-2</v>
      </c>
      <c r="O65" s="176"/>
      <c r="P65" s="241">
        <v>0.45500000000000002</v>
      </c>
      <c r="Q65" s="542">
        <v>0.13</v>
      </c>
      <c r="R65" s="542">
        <v>0.18</v>
      </c>
      <c r="S65" s="542">
        <v>0.21</v>
      </c>
      <c r="T65" s="241"/>
      <c r="U65" s="241">
        <v>0.13</v>
      </c>
      <c r="V65" s="542">
        <f t="shared" si="6"/>
        <v>0.65</v>
      </c>
      <c r="W65" s="647">
        <f t="shared" si="69"/>
        <v>1.105</v>
      </c>
      <c r="X65" s="542">
        <v>0</v>
      </c>
      <c r="Y65" s="241"/>
      <c r="Z65" s="241"/>
      <c r="AA65" s="241"/>
      <c r="AB65" s="241">
        <f t="shared" si="64"/>
        <v>0</v>
      </c>
      <c r="AC65" s="194">
        <v>1</v>
      </c>
      <c r="AD65" s="194">
        <v>1</v>
      </c>
      <c r="AE65" s="194">
        <f t="shared" ref="AE65:AE68" si="71">+AB65/I65</f>
        <v>0</v>
      </c>
      <c r="AF65" s="194">
        <f>+AC65*E65</f>
        <v>0.3</v>
      </c>
      <c r="AG65" s="194">
        <f>+AD65*E65</f>
        <v>0.3</v>
      </c>
      <c r="AH65" s="194">
        <f t="shared" ref="AH65:AH68" si="72">+AE65*E65</f>
        <v>0</v>
      </c>
      <c r="AI65" s="194">
        <f>+P65/F65</f>
        <v>0.45500000000000002</v>
      </c>
      <c r="AJ65" s="230">
        <v>1</v>
      </c>
      <c r="AK65" s="230">
        <v>1</v>
      </c>
      <c r="AL65" s="230">
        <f>+AI65*E65</f>
        <v>0.13650000000000001</v>
      </c>
      <c r="AM65" s="230">
        <f>+AJ65*E65</f>
        <v>0.3</v>
      </c>
      <c r="AN65" s="230">
        <f t="shared" ref="AN65:AN68" si="73">+AK65*E65</f>
        <v>0.3</v>
      </c>
      <c r="AO65" s="566" t="s">
        <v>1850</v>
      </c>
      <c r="AP65" s="572" t="s">
        <v>1892</v>
      </c>
      <c r="AQ65" s="567" t="s">
        <v>2276</v>
      </c>
      <c r="AR65" s="567" t="s">
        <v>2288</v>
      </c>
      <c r="AS65" s="568" t="s">
        <v>1865</v>
      </c>
      <c r="AT65" s="1138" t="s">
        <v>2456</v>
      </c>
      <c r="AU65" s="540" t="s">
        <v>2456</v>
      </c>
      <c r="AV65" s="540" t="s">
        <v>1865</v>
      </c>
    </row>
    <row r="66" spans="1:48" ht="145.19999999999999" customHeight="1" thickBot="1" x14ac:dyDescent="0.4">
      <c r="A66" s="155"/>
      <c r="B66" s="181" t="s">
        <v>853</v>
      </c>
      <c r="C66" s="235" t="s">
        <v>1308</v>
      </c>
      <c r="D66" s="224" t="s">
        <v>1553</v>
      </c>
      <c r="E66" s="228">
        <v>0.2</v>
      </c>
      <c r="F66" s="226">
        <v>4</v>
      </c>
      <c r="G66" s="236">
        <v>1</v>
      </c>
      <c r="H66" s="236">
        <v>1</v>
      </c>
      <c r="I66" s="236">
        <v>1</v>
      </c>
      <c r="J66" s="242">
        <f>+G66/F66</f>
        <v>0.25</v>
      </c>
      <c r="K66" s="242">
        <f t="shared" si="70"/>
        <v>0.25</v>
      </c>
      <c r="L66" s="242">
        <f>+I66/F66</f>
        <v>0.25</v>
      </c>
      <c r="M66" s="242">
        <f>+(G66/F66)*E66</f>
        <v>0.05</v>
      </c>
      <c r="N66" s="242">
        <f t="shared" si="63"/>
        <v>0.05</v>
      </c>
      <c r="O66" s="242"/>
      <c r="P66" s="241">
        <v>1</v>
      </c>
      <c r="Q66" s="542">
        <v>0.05</v>
      </c>
      <c r="R66" s="542">
        <v>0.02</v>
      </c>
      <c r="S66" s="542">
        <v>0.91</v>
      </c>
      <c r="T66" s="542">
        <v>0.02</v>
      </c>
      <c r="U66" s="542">
        <v>0</v>
      </c>
      <c r="V66" s="241">
        <f t="shared" si="6"/>
        <v>1</v>
      </c>
      <c r="W66" s="647">
        <f t="shared" si="69"/>
        <v>2</v>
      </c>
      <c r="X66" s="542">
        <v>0</v>
      </c>
      <c r="Y66" s="241"/>
      <c r="Z66" s="241"/>
      <c r="AA66" s="241"/>
      <c r="AB66" s="241">
        <f t="shared" si="64"/>
        <v>0</v>
      </c>
      <c r="AC66" s="194">
        <f>+(P66/G66)</f>
        <v>1</v>
      </c>
      <c r="AD66" s="194">
        <f>+V66/H66</f>
        <v>1</v>
      </c>
      <c r="AE66" s="194">
        <f t="shared" si="71"/>
        <v>0</v>
      </c>
      <c r="AF66" s="194">
        <f>+AC66*E66</f>
        <v>0.2</v>
      </c>
      <c r="AG66" s="194">
        <f>+AD66*E66</f>
        <v>0.2</v>
      </c>
      <c r="AH66" s="194">
        <f t="shared" si="72"/>
        <v>0</v>
      </c>
      <c r="AI66" s="194">
        <f>+P66/F66</f>
        <v>0.25</v>
      </c>
      <c r="AJ66" s="230">
        <v>0.5</v>
      </c>
      <c r="AK66" s="230">
        <f t="shared" ref="AK66:AK68" si="74">+W66/F66</f>
        <v>0.5</v>
      </c>
      <c r="AL66" s="230">
        <f>+AI66*E66</f>
        <v>0.05</v>
      </c>
      <c r="AM66" s="230">
        <f>+AJ66*E66</f>
        <v>0.1</v>
      </c>
      <c r="AN66" s="230">
        <f t="shared" si="73"/>
        <v>0.1</v>
      </c>
      <c r="AO66" s="566" t="s">
        <v>1850</v>
      </c>
      <c r="AP66" s="572" t="s">
        <v>1892</v>
      </c>
      <c r="AQ66" s="567" t="s">
        <v>2276</v>
      </c>
      <c r="AR66" s="567" t="s">
        <v>2288</v>
      </c>
      <c r="AS66" s="567" t="s">
        <v>2403</v>
      </c>
      <c r="AT66" s="1136" t="s">
        <v>2437</v>
      </c>
      <c r="AU66" s="567" t="s">
        <v>2496</v>
      </c>
      <c r="AV66" s="567" t="s">
        <v>1893</v>
      </c>
    </row>
    <row r="67" spans="1:48" ht="85.2" customHeight="1" thickBot="1" x14ac:dyDescent="0.4">
      <c r="A67" s="155"/>
      <c r="B67" s="181" t="s">
        <v>854</v>
      </c>
      <c r="C67" s="235" t="s">
        <v>1309</v>
      </c>
      <c r="D67" s="224" t="s">
        <v>852</v>
      </c>
      <c r="E67" s="228">
        <v>0.3</v>
      </c>
      <c r="F67" s="226">
        <v>33</v>
      </c>
      <c r="G67" s="170">
        <v>6</v>
      </c>
      <c r="H67" s="170">
        <v>9</v>
      </c>
      <c r="I67" s="170">
        <v>8</v>
      </c>
      <c r="J67" s="176">
        <f>+G67/F67</f>
        <v>0.18181818181818182</v>
      </c>
      <c r="K67" s="176">
        <f t="shared" si="70"/>
        <v>0.27272727272727271</v>
      </c>
      <c r="L67" s="176">
        <f t="shared" ref="L67:L68" si="75">+I67/F67</f>
        <v>0.24242424242424243</v>
      </c>
      <c r="M67" s="176">
        <f>+(G67/F67)*E67</f>
        <v>5.4545454545454543E-2</v>
      </c>
      <c r="N67" s="176">
        <f t="shared" si="63"/>
        <v>8.1818181818181804E-2</v>
      </c>
      <c r="O67" s="176"/>
      <c r="P67" s="206">
        <v>6</v>
      </c>
      <c r="Q67" s="542">
        <v>2</v>
      </c>
      <c r="R67" s="542">
        <v>0.5</v>
      </c>
      <c r="S67" s="542">
        <v>0.5</v>
      </c>
      <c r="T67" s="542">
        <v>0</v>
      </c>
      <c r="U67" s="542">
        <v>9</v>
      </c>
      <c r="V67" s="206">
        <f t="shared" si="6"/>
        <v>12</v>
      </c>
      <c r="W67" s="647">
        <f>+V67+P67+AB67</f>
        <v>18</v>
      </c>
      <c r="X67" s="542">
        <v>0</v>
      </c>
      <c r="Y67" s="206"/>
      <c r="Z67" s="206"/>
      <c r="AA67" s="206"/>
      <c r="AB67" s="206">
        <f t="shared" si="64"/>
        <v>0</v>
      </c>
      <c r="AC67" s="194">
        <f>+(P67/G67)</f>
        <v>1</v>
      </c>
      <c r="AD67" s="194">
        <v>1</v>
      </c>
      <c r="AE67" s="194">
        <f t="shared" si="71"/>
        <v>0</v>
      </c>
      <c r="AF67" s="194">
        <f>+AC67*E67</f>
        <v>0.3</v>
      </c>
      <c r="AG67" s="194">
        <f>+AD67*E67</f>
        <v>0.3</v>
      </c>
      <c r="AH67" s="194">
        <f t="shared" si="72"/>
        <v>0</v>
      </c>
      <c r="AI67" s="194">
        <f>+P67/F67</f>
        <v>0.18181818181818182</v>
      </c>
      <c r="AJ67" s="230">
        <v>0.54545454545454541</v>
      </c>
      <c r="AK67" s="230">
        <f t="shared" si="74"/>
        <v>0.54545454545454541</v>
      </c>
      <c r="AL67" s="230">
        <f>+AI67*E67</f>
        <v>5.4545454545454543E-2</v>
      </c>
      <c r="AM67" s="230">
        <f>+AJ67*E67</f>
        <v>0.16363636363636361</v>
      </c>
      <c r="AN67" s="230">
        <f t="shared" si="73"/>
        <v>0.16363636363636361</v>
      </c>
      <c r="AO67" s="566" t="s">
        <v>1850</v>
      </c>
      <c r="AP67" s="572" t="s">
        <v>1892</v>
      </c>
      <c r="AQ67" s="567" t="s">
        <v>2276</v>
      </c>
      <c r="AR67" s="567" t="s">
        <v>2288</v>
      </c>
      <c r="AS67" s="567" t="s">
        <v>2403</v>
      </c>
      <c r="AT67" s="1138" t="s">
        <v>2456</v>
      </c>
      <c r="AU67" s="567" t="s">
        <v>2496</v>
      </c>
      <c r="AV67" s="567" t="s">
        <v>1893</v>
      </c>
    </row>
    <row r="68" spans="1:48" ht="90" customHeight="1" thickBot="1" x14ac:dyDescent="0.4">
      <c r="A68" s="155"/>
      <c r="B68" s="790" t="s">
        <v>855</v>
      </c>
      <c r="C68" s="791" t="s">
        <v>1310</v>
      </c>
      <c r="D68" s="224" t="s">
        <v>852</v>
      </c>
      <c r="E68" s="228">
        <v>0.2</v>
      </c>
      <c r="F68" s="226">
        <v>1</v>
      </c>
      <c r="G68" s="243">
        <v>0.25</v>
      </c>
      <c r="H68" s="243">
        <v>0.25</v>
      </c>
      <c r="I68" s="243">
        <v>0.25</v>
      </c>
      <c r="J68" s="176">
        <f>+G68/F68</f>
        <v>0.25</v>
      </c>
      <c r="K68" s="176">
        <f t="shared" si="70"/>
        <v>0.25</v>
      </c>
      <c r="L68" s="176">
        <f t="shared" si="75"/>
        <v>0.25</v>
      </c>
      <c r="M68" s="176">
        <f>+(G68/F68)*E68</f>
        <v>0.05</v>
      </c>
      <c r="N68" s="176">
        <f t="shared" si="63"/>
        <v>0.05</v>
      </c>
      <c r="O68" s="176"/>
      <c r="P68" s="206">
        <v>0.4</v>
      </c>
      <c r="Q68" s="542">
        <v>0.02</v>
      </c>
      <c r="R68" s="542">
        <v>0</v>
      </c>
      <c r="S68" s="542">
        <v>0.24</v>
      </c>
      <c r="T68" s="542">
        <v>0</v>
      </c>
      <c r="U68" s="542">
        <v>0.01</v>
      </c>
      <c r="V68" s="206">
        <f t="shared" si="6"/>
        <v>0.27</v>
      </c>
      <c r="W68" s="647">
        <f t="shared" si="69"/>
        <v>0.67</v>
      </c>
      <c r="X68" s="542">
        <v>0</v>
      </c>
      <c r="Y68" s="206"/>
      <c r="Z68" s="206"/>
      <c r="AA68" s="206"/>
      <c r="AB68" s="206">
        <f t="shared" si="64"/>
        <v>0</v>
      </c>
      <c r="AC68" s="194">
        <v>1</v>
      </c>
      <c r="AD68" s="194">
        <v>1</v>
      </c>
      <c r="AE68" s="194">
        <f t="shared" si="71"/>
        <v>0</v>
      </c>
      <c r="AF68" s="194">
        <f>+AC68*E68</f>
        <v>0.2</v>
      </c>
      <c r="AG68" s="194">
        <f>+AD68*E68</f>
        <v>0.2</v>
      </c>
      <c r="AH68" s="194">
        <f t="shared" si="72"/>
        <v>0</v>
      </c>
      <c r="AI68" s="194">
        <f>+P68/F68</f>
        <v>0.4</v>
      </c>
      <c r="AJ68" s="230">
        <v>0.67</v>
      </c>
      <c r="AK68" s="230">
        <f t="shared" si="74"/>
        <v>0.67</v>
      </c>
      <c r="AL68" s="230">
        <f>+AI68*E68</f>
        <v>8.0000000000000016E-2</v>
      </c>
      <c r="AM68" s="230">
        <f>+AJ68*E68</f>
        <v>0.13400000000000001</v>
      </c>
      <c r="AN68" s="230">
        <f t="shared" si="73"/>
        <v>0.13400000000000001</v>
      </c>
      <c r="AO68" s="566" t="s">
        <v>1850</v>
      </c>
      <c r="AP68" s="572" t="s">
        <v>1892</v>
      </c>
      <c r="AQ68" s="567" t="s">
        <v>2276</v>
      </c>
      <c r="AR68" s="567" t="s">
        <v>2288</v>
      </c>
      <c r="AS68" s="568" t="s">
        <v>1865</v>
      </c>
      <c r="AT68" s="1138" t="s">
        <v>2456</v>
      </c>
      <c r="AU68" s="540" t="s">
        <v>2500</v>
      </c>
      <c r="AV68" s="540" t="s">
        <v>1865</v>
      </c>
    </row>
    <row r="69" spans="1:48" ht="28.5" customHeight="1" thickBot="1" x14ac:dyDescent="0.4">
      <c r="A69" s="155"/>
      <c r="B69" s="1557" t="s">
        <v>1809</v>
      </c>
      <c r="C69" s="1571"/>
      <c r="D69" s="231"/>
      <c r="E69" s="232">
        <v>0.15</v>
      </c>
      <c r="F69" s="226"/>
      <c r="G69" s="163"/>
      <c r="H69" s="163"/>
      <c r="I69" s="163"/>
      <c r="J69" s="169">
        <f>+AVERAGE(J70:J72)</f>
        <v>0.26306543697848045</v>
      </c>
      <c r="K69" s="169">
        <f>+AVERAGE(K70:K72)</f>
        <v>0.29907773386034253</v>
      </c>
      <c r="L69" s="169">
        <f>+AVERAGE(L70:L72)</f>
        <v>0.23407992973210365</v>
      </c>
      <c r="M69" s="169">
        <f>+M70+M71+M72</f>
        <v>0.30629776021080368</v>
      </c>
      <c r="N69" s="169">
        <f>+N70+N71+N72</f>
        <v>0.31665349143610011</v>
      </c>
      <c r="O69" s="169"/>
      <c r="P69" s="168"/>
      <c r="Q69" s="168"/>
      <c r="R69" s="168"/>
      <c r="S69" s="168"/>
      <c r="T69" s="168"/>
      <c r="U69" s="987"/>
      <c r="V69" s="170"/>
      <c r="W69" s="647"/>
      <c r="X69" s="168"/>
      <c r="Y69" s="168"/>
      <c r="Z69" s="168"/>
      <c r="AA69" s="168"/>
      <c r="AB69" s="170"/>
      <c r="AC69" s="192">
        <f>+AVERAGE(AC70:AC72)</f>
        <v>1</v>
      </c>
      <c r="AD69" s="192">
        <f>+AVERAGE(AD70:AD72)</f>
        <v>0.94444444444444453</v>
      </c>
      <c r="AE69" s="192">
        <f>+AVERAGE(AE70:AE72)</f>
        <v>0.3</v>
      </c>
      <c r="AF69" s="192">
        <f>+(AF70+AF71+AF72)*E69</f>
        <v>0.15</v>
      </c>
      <c r="AG69" s="192">
        <f>+(AG70+AG71+AG72)*E69</f>
        <v>0.14549999999999999</v>
      </c>
      <c r="AH69" s="192">
        <f>+(AH70+AH71+AH72)*E69</f>
        <v>1.9800000000000002E-2</v>
      </c>
      <c r="AI69" s="169">
        <f>+AVERAGE(AI70:AI72)</f>
        <v>0.38614404918752743</v>
      </c>
      <c r="AJ69" s="169">
        <v>0.74396135265700469</v>
      </c>
      <c r="AK69" s="169">
        <f>+AVERAGE(AK70:AK72)</f>
        <v>0.77294685990338163</v>
      </c>
      <c r="AL69" s="222">
        <f>+(AL70+AL71+AL72)*E69</f>
        <v>5.2982213438735173E-2</v>
      </c>
      <c r="AM69" s="222">
        <f>+(AM70+AM71+AM72)</f>
        <v>0.68840579710144922</v>
      </c>
      <c r="AN69" s="222">
        <f>+(AN70+AN71+AN72)</f>
        <v>0.70405797101449274</v>
      </c>
      <c r="AO69" s="913"/>
      <c r="AP69" s="535"/>
      <c r="AQ69" s="535"/>
      <c r="AR69" s="535"/>
      <c r="AS69" s="535"/>
      <c r="AT69" s="1135"/>
      <c r="AU69" s="535"/>
      <c r="AV69" s="535"/>
    </row>
    <row r="70" spans="1:48" ht="129" customHeight="1" thickBot="1" x14ac:dyDescent="0.4">
      <c r="A70" s="155"/>
      <c r="B70" s="181" t="s">
        <v>856</v>
      </c>
      <c r="C70" s="235" t="s">
        <v>1311</v>
      </c>
      <c r="D70" s="237" t="s">
        <v>1554</v>
      </c>
      <c r="E70" s="228">
        <v>0.18</v>
      </c>
      <c r="F70" s="226">
        <v>23</v>
      </c>
      <c r="G70" s="170">
        <f>2+5</f>
        <v>7</v>
      </c>
      <c r="H70" s="170">
        <f>2+4</f>
        <v>6</v>
      </c>
      <c r="I70" s="170">
        <f>1+4</f>
        <v>5</v>
      </c>
      <c r="J70" s="176">
        <f>+G70/F70</f>
        <v>0.30434782608695654</v>
      </c>
      <c r="K70" s="176">
        <f t="shared" ref="K70:K72" si="76">+H70/F70</f>
        <v>0.2608695652173913</v>
      </c>
      <c r="L70" s="176">
        <f t="shared" ref="L70:L72" si="77">+I70/F70</f>
        <v>0.21739130434782608</v>
      </c>
      <c r="M70" s="176">
        <f>+(G70/F70)*E70</f>
        <v>5.4782608695652178E-2</v>
      </c>
      <c r="N70" s="176">
        <f t="shared" si="63"/>
        <v>4.6956521739130432E-2</v>
      </c>
      <c r="O70" s="176"/>
      <c r="P70" s="170">
        <v>8</v>
      </c>
      <c r="Q70" s="541">
        <v>3</v>
      </c>
      <c r="R70" s="542">
        <v>1</v>
      </c>
      <c r="S70" s="541">
        <v>1</v>
      </c>
      <c r="T70" s="541">
        <v>0</v>
      </c>
      <c r="U70" s="541">
        <v>0</v>
      </c>
      <c r="V70" s="170">
        <f t="shared" si="6"/>
        <v>5</v>
      </c>
      <c r="W70" s="647">
        <f t="shared" si="69"/>
        <v>15</v>
      </c>
      <c r="X70" s="541">
        <f>1+1</f>
        <v>2</v>
      </c>
      <c r="Y70" s="170"/>
      <c r="Z70" s="170"/>
      <c r="AA70" s="170"/>
      <c r="AB70" s="170">
        <f t="shared" si="64"/>
        <v>2</v>
      </c>
      <c r="AC70" s="194">
        <v>1</v>
      </c>
      <c r="AD70" s="194">
        <f>+V70/H70</f>
        <v>0.83333333333333337</v>
      </c>
      <c r="AE70" s="194">
        <f t="shared" ref="AE70:AE72" si="78">+AB70/I70</f>
        <v>0.4</v>
      </c>
      <c r="AF70" s="194">
        <f>+AC70*E70</f>
        <v>0.18</v>
      </c>
      <c r="AG70" s="194">
        <f>+AD70*E70</f>
        <v>0.15</v>
      </c>
      <c r="AH70" s="194">
        <f t="shared" ref="AH70:AH72" si="79">+AE70*E70</f>
        <v>7.1999999999999995E-2</v>
      </c>
      <c r="AI70" s="194">
        <f>+P70/F70</f>
        <v>0.34782608695652173</v>
      </c>
      <c r="AJ70" s="230">
        <v>0.56521739130434778</v>
      </c>
      <c r="AK70" s="230">
        <f t="shared" ref="AK70:AK72" si="80">+W70/F70</f>
        <v>0.65217391304347827</v>
      </c>
      <c r="AL70" s="230">
        <f>+AI70*E70</f>
        <v>6.2608695652173904E-2</v>
      </c>
      <c r="AM70" s="230">
        <f>+AJ70*E70</f>
        <v>0.1017391304347826</v>
      </c>
      <c r="AN70" s="230">
        <f t="shared" ref="AN70:AN72" si="81">+AK70*E70</f>
        <v>0.11739130434782609</v>
      </c>
      <c r="AO70" s="915" t="s">
        <v>1868</v>
      </c>
      <c r="AP70" s="687" t="s">
        <v>1972</v>
      </c>
      <c r="AQ70" s="567" t="s">
        <v>2276</v>
      </c>
      <c r="AR70" s="908" t="s">
        <v>2427</v>
      </c>
      <c r="AS70" s="540" t="s">
        <v>2428</v>
      </c>
      <c r="AT70" s="1138" t="s">
        <v>2457</v>
      </c>
      <c r="AU70" s="687" t="s">
        <v>2507</v>
      </c>
      <c r="AV70" s="567" t="s">
        <v>1893</v>
      </c>
    </row>
    <row r="71" spans="1:48" ht="85.95" customHeight="1" thickBot="1" x14ac:dyDescent="0.4">
      <c r="A71" s="155"/>
      <c r="B71" s="181" t="s">
        <v>857</v>
      </c>
      <c r="C71" s="235" t="s">
        <v>1312</v>
      </c>
      <c r="D71" s="224" t="s">
        <v>852</v>
      </c>
      <c r="E71" s="228">
        <v>0.12</v>
      </c>
      <c r="F71" s="226">
        <v>132</v>
      </c>
      <c r="G71" s="170">
        <v>20</v>
      </c>
      <c r="H71" s="170">
        <v>40</v>
      </c>
      <c r="I71" s="170">
        <v>20</v>
      </c>
      <c r="J71" s="176">
        <f>+G71/F71</f>
        <v>0.15151515151515152</v>
      </c>
      <c r="K71" s="176">
        <f t="shared" si="76"/>
        <v>0.30303030303030304</v>
      </c>
      <c r="L71" s="176">
        <f t="shared" si="77"/>
        <v>0.15151515151515152</v>
      </c>
      <c r="M71" s="176">
        <f>+(G71/F71)*E71</f>
        <v>1.8181818181818181E-2</v>
      </c>
      <c r="N71" s="176">
        <f t="shared" si="63"/>
        <v>3.6363636363636362E-2</v>
      </c>
      <c r="O71" s="176"/>
      <c r="P71" s="170">
        <v>63</v>
      </c>
      <c r="Q71" s="541">
        <v>17</v>
      </c>
      <c r="R71" s="541">
        <v>29</v>
      </c>
      <c r="S71" s="541">
        <v>32</v>
      </c>
      <c r="T71" s="541">
        <v>6</v>
      </c>
      <c r="U71" s="541">
        <v>0</v>
      </c>
      <c r="V71" s="170">
        <f t="shared" ref="V71:V103" si="82">+Q71+R71+S71+T71+U71</f>
        <v>84</v>
      </c>
      <c r="W71" s="647">
        <f t="shared" si="69"/>
        <v>157</v>
      </c>
      <c r="X71" s="541">
        <v>10</v>
      </c>
      <c r="Y71" s="170"/>
      <c r="Z71" s="170"/>
      <c r="AA71" s="170"/>
      <c r="AB71" s="170">
        <f t="shared" si="64"/>
        <v>10</v>
      </c>
      <c r="AC71" s="194">
        <v>1</v>
      </c>
      <c r="AD71" s="194">
        <v>1</v>
      </c>
      <c r="AE71" s="194">
        <f t="shared" si="78"/>
        <v>0.5</v>
      </c>
      <c r="AF71" s="194">
        <f>+AC71*E71</f>
        <v>0.12</v>
      </c>
      <c r="AG71" s="194">
        <f>+AD71*E71</f>
        <v>0.12</v>
      </c>
      <c r="AH71" s="194">
        <f t="shared" si="79"/>
        <v>0.06</v>
      </c>
      <c r="AI71" s="194">
        <f>+P71/F71</f>
        <v>0.47727272727272729</v>
      </c>
      <c r="AJ71" s="230">
        <v>1</v>
      </c>
      <c r="AK71" s="230">
        <v>1</v>
      </c>
      <c r="AL71" s="230">
        <f>+AI71*E71</f>
        <v>5.7272727272727274E-2</v>
      </c>
      <c r="AM71" s="230">
        <f>+AJ71*E71</f>
        <v>0.12</v>
      </c>
      <c r="AN71" s="230">
        <f t="shared" si="81"/>
        <v>0.12</v>
      </c>
      <c r="AO71" s="566" t="s">
        <v>1850</v>
      </c>
      <c r="AP71" s="567" t="s">
        <v>1892</v>
      </c>
      <c r="AQ71" s="567" t="s">
        <v>2276</v>
      </c>
      <c r="AR71" s="567" t="s">
        <v>2288</v>
      </c>
      <c r="AS71" s="567" t="s">
        <v>2403</v>
      </c>
      <c r="AT71" s="1136" t="s">
        <v>2437</v>
      </c>
      <c r="AU71" s="567" t="s">
        <v>2496</v>
      </c>
      <c r="AV71" s="567" t="s">
        <v>1893</v>
      </c>
    </row>
    <row r="72" spans="1:48" ht="70.2" customHeight="1" thickBot="1" x14ac:dyDescent="0.4">
      <c r="A72" s="155"/>
      <c r="B72" s="173" t="s">
        <v>858</v>
      </c>
      <c r="C72" s="223" t="s">
        <v>1313</v>
      </c>
      <c r="D72" s="224" t="s">
        <v>825</v>
      </c>
      <c r="E72" s="228">
        <v>0.7</v>
      </c>
      <c r="F72" s="226">
        <v>3</v>
      </c>
      <c r="G72" s="170">
        <v>1</v>
      </c>
      <c r="H72" s="170">
        <v>1</v>
      </c>
      <c r="I72" s="170">
        <v>1</v>
      </c>
      <c r="J72" s="176">
        <f>+G72/F72</f>
        <v>0.33333333333333331</v>
      </c>
      <c r="K72" s="176">
        <f t="shared" si="76"/>
        <v>0.33333333333333331</v>
      </c>
      <c r="L72" s="176">
        <f t="shared" si="77"/>
        <v>0.33333333333333331</v>
      </c>
      <c r="M72" s="176">
        <f>+(G72/F72)*E72</f>
        <v>0.23333333333333331</v>
      </c>
      <c r="N72" s="176">
        <f t="shared" si="63"/>
        <v>0.23333333333333331</v>
      </c>
      <c r="O72" s="176"/>
      <c r="P72" s="170">
        <v>1</v>
      </c>
      <c r="Q72" s="541">
        <v>1</v>
      </c>
      <c r="R72" s="541">
        <v>0</v>
      </c>
      <c r="S72" s="541">
        <v>0</v>
      </c>
      <c r="T72" s="541">
        <v>0</v>
      </c>
      <c r="U72" s="541">
        <v>0</v>
      </c>
      <c r="V72" s="170">
        <f t="shared" si="82"/>
        <v>1</v>
      </c>
      <c r="W72" s="647">
        <f t="shared" si="69"/>
        <v>2</v>
      </c>
      <c r="X72" s="541">
        <v>0</v>
      </c>
      <c r="Y72" s="170"/>
      <c r="Z72" s="170"/>
      <c r="AA72" s="170"/>
      <c r="AB72" s="170">
        <f t="shared" si="64"/>
        <v>0</v>
      </c>
      <c r="AC72" s="194">
        <f>+(P72/G72)</f>
        <v>1</v>
      </c>
      <c r="AD72" s="194">
        <f>+V72/H72</f>
        <v>1</v>
      </c>
      <c r="AE72" s="194">
        <f t="shared" si="78"/>
        <v>0</v>
      </c>
      <c r="AF72" s="194">
        <f>+AC72*E72</f>
        <v>0.7</v>
      </c>
      <c r="AG72" s="194">
        <f>+AD72*E72</f>
        <v>0.7</v>
      </c>
      <c r="AH72" s="194">
        <f t="shared" si="79"/>
        <v>0</v>
      </c>
      <c r="AI72" s="194">
        <f>+P72/F72</f>
        <v>0.33333333333333331</v>
      </c>
      <c r="AJ72" s="230">
        <v>0.66666666666666663</v>
      </c>
      <c r="AK72" s="230">
        <f t="shared" si="80"/>
        <v>0.66666666666666663</v>
      </c>
      <c r="AL72" s="230">
        <f>+AI72*E72</f>
        <v>0.23333333333333331</v>
      </c>
      <c r="AM72" s="230">
        <f>+AJ72*E72</f>
        <v>0.46666666666666662</v>
      </c>
      <c r="AN72" s="230">
        <f t="shared" si="81"/>
        <v>0.46666666666666662</v>
      </c>
      <c r="AO72" s="566" t="s">
        <v>1850</v>
      </c>
      <c r="AP72" s="535"/>
      <c r="AQ72" s="535"/>
      <c r="AR72" s="567" t="s">
        <v>2288</v>
      </c>
      <c r="AS72" s="567" t="s">
        <v>2403</v>
      </c>
      <c r="AT72" s="1136" t="s">
        <v>2437</v>
      </c>
      <c r="AU72" s="567" t="s">
        <v>2496</v>
      </c>
      <c r="AV72" s="567" t="s">
        <v>1893</v>
      </c>
    </row>
    <row r="73" spans="1:48" ht="28.5" customHeight="1" thickBot="1" x14ac:dyDescent="0.4">
      <c r="A73" s="155"/>
      <c r="B73" s="1557" t="s">
        <v>1735</v>
      </c>
      <c r="C73" s="1571"/>
      <c r="D73" s="231"/>
      <c r="E73" s="232">
        <v>0.2</v>
      </c>
      <c r="F73" s="226"/>
      <c r="G73" s="163"/>
      <c r="H73" s="163"/>
      <c r="I73" s="163"/>
      <c r="J73" s="169">
        <f>+AVERAGE(J74:J76)</f>
        <v>0.25</v>
      </c>
      <c r="K73" s="169">
        <f>+AVERAGE(K74:K76)</f>
        <v>0.25</v>
      </c>
      <c r="L73" s="169">
        <f>+AVERAGE(L74:L76)</f>
        <v>0.25</v>
      </c>
      <c r="M73" s="169">
        <f>+M74+M75+M76</f>
        <v>0.25</v>
      </c>
      <c r="N73" s="169">
        <f>+N74+N75+N76</f>
        <v>0.25</v>
      </c>
      <c r="O73" s="169"/>
      <c r="P73" s="168"/>
      <c r="Q73" s="168"/>
      <c r="R73" s="168"/>
      <c r="S73" s="168"/>
      <c r="T73" s="168"/>
      <c r="U73" s="987"/>
      <c r="V73" s="170"/>
      <c r="W73" s="647"/>
      <c r="X73" s="168"/>
      <c r="Y73" s="168"/>
      <c r="Z73" s="168"/>
      <c r="AA73" s="168"/>
      <c r="AB73" s="170"/>
      <c r="AC73" s="192">
        <f>+AVERAGE(AC74:AC76)</f>
        <v>0.75190804597701144</v>
      </c>
      <c r="AD73" s="192">
        <f>+AVERAGE(AD74:AD76)</f>
        <v>0.93733333333333346</v>
      </c>
      <c r="AE73" s="192">
        <f>+AVERAGE(AE74:AE76)</f>
        <v>0.84457471264367812</v>
      </c>
      <c r="AF73" s="192">
        <f>+(AF74+AF75+AF76)*E73</f>
        <v>0.13870344827586209</v>
      </c>
      <c r="AG73" s="192">
        <f>+(AG74+AG75+AG76)*E73</f>
        <v>0.18120000000000003</v>
      </c>
      <c r="AH73" s="192">
        <f>+(AH74+AH75+AH76)*F73</f>
        <v>0</v>
      </c>
      <c r="AI73" s="169">
        <f>+AVERAGE(AI74:AI76)</f>
        <v>0.35297701149425292</v>
      </c>
      <c r="AJ73" s="169">
        <v>0.72822988505747122</v>
      </c>
      <c r="AK73" s="169">
        <f>+AVERAGE(AK74:AK76)</f>
        <v>0.92649999999999999</v>
      </c>
      <c r="AL73" s="222">
        <f>+(AL74+AL75+AL76)*E73</f>
        <v>5.4475862068965514E-2</v>
      </c>
      <c r="AM73" s="222">
        <f>+(AM74+AM75+AM76)</f>
        <v>0.62520689655172412</v>
      </c>
      <c r="AN73" s="222">
        <f>+(AN74+AN75+AN76)</f>
        <v>0.88975000000000004</v>
      </c>
      <c r="AO73" s="913"/>
      <c r="AP73" s="535"/>
      <c r="AQ73" s="535"/>
      <c r="AR73" s="535"/>
      <c r="AS73" s="535"/>
      <c r="AT73" s="1135"/>
      <c r="AU73" s="535"/>
      <c r="AV73" s="535"/>
    </row>
    <row r="74" spans="1:48" ht="88.95" customHeight="1" thickBot="1" x14ac:dyDescent="0.4">
      <c r="A74" s="155"/>
      <c r="B74" s="790" t="s">
        <v>859</v>
      </c>
      <c r="C74" s="791" t="s">
        <v>1314</v>
      </c>
      <c r="D74" s="224" t="s">
        <v>852</v>
      </c>
      <c r="E74" s="228">
        <v>0.2</v>
      </c>
      <c r="F74" s="226">
        <v>1</v>
      </c>
      <c r="G74" s="244">
        <v>0.25</v>
      </c>
      <c r="H74" s="244">
        <v>0.25</v>
      </c>
      <c r="I74" s="244">
        <v>0.25</v>
      </c>
      <c r="J74" s="176">
        <f>+G74/F74</f>
        <v>0.25</v>
      </c>
      <c r="K74" s="176">
        <f t="shared" ref="K74:K76" si="83">+H74/F74</f>
        <v>0.25</v>
      </c>
      <c r="L74" s="176"/>
      <c r="M74" s="176">
        <f>+(G74/F74)*E74</f>
        <v>0.05</v>
      </c>
      <c r="N74" s="176">
        <f t="shared" si="63"/>
        <v>0.05</v>
      </c>
      <c r="O74" s="176"/>
      <c r="P74" s="150">
        <v>0.745</v>
      </c>
      <c r="Q74" s="543">
        <v>0.03</v>
      </c>
      <c r="R74" s="543">
        <v>0.01</v>
      </c>
      <c r="S74" s="543">
        <v>0</v>
      </c>
      <c r="T74" s="543">
        <v>0.46</v>
      </c>
      <c r="U74" s="543">
        <v>3.5000000000000003E-2</v>
      </c>
      <c r="V74" s="150">
        <f t="shared" si="82"/>
        <v>0.53500000000000003</v>
      </c>
      <c r="W74" s="647">
        <f t="shared" si="69"/>
        <v>1.28</v>
      </c>
      <c r="X74" s="543">
        <v>0</v>
      </c>
      <c r="Y74" s="150"/>
      <c r="Z74" s="150"/>
      <c r="AA74" s="150"/>
      <c r="AB74" s="150">
        <f t="shared" si="64"/>
        <v>0</v>
      </c>
      <c r="AC74" s="194">
        <v>1</v>
      </c>
      <c r="AD74" s="194">
        <v>1</v>
      </c>
      <c r="AE74" s="194">
        <f t="shared" ref="AE74:AE75" si="84">+AB74/I74</f>
        <v>0</v>
      </c>
      <c r="AF74" s="194">
        <f>+AC74*E74</f>
        <v>0.2</v>
      </c>
      <c r="AG74" s="194">
        <f>+AD74*E74</f>
        <v>0.2</v>
      </c>
      <c r="AH74" s="194">
        <f t="shared" ref="AH74:AH76" si="85">+AE74*E74</f>
        <v>0</v>
      </c>
      <c r="AI74" s="194">
        <f>+P74/F74</f>
        <v>0.745</v>
      </c>
      <c r="AJ74" s="230">
        <v>1</v>
      </c>
      <c r="AK74" s="230">
        <v>1</v>
      </c>
      <c r="AL74" s="227">
        <f>+AI74*E74</f>
        <v>0.14899999999999999</v>
      </c>
      <c r="AM74" s="227">
        <f>+AJ74*E74</f>
        <v>0.2</v>
      </c>
      <c r="AN74" s="227">
        <f t="shared" ref="AN74:AN76" si="86">+AK74*E74</f>
        <v>0.2</v>
      </c>
      <c r="AO74" s="566" t="s">
        <v>1850</v>
      </c>
      <c r="AP74" s="568" t="s">
        <v>1865</v>
      </c>
      <c r="AQ74" s="567" t="s">
        <v>2276</v>
      </c>
      <c r="AR74" s="567" t="s">
        <v>2288</v>
      </c>
      <c r="AS74" s="540" t="s">
        <v>1865</v>
      </c>
      <c r="AT74" s="1138" t="s">
        <v>1865</v>
      </c>
      <c r="AU74" s="540" t="s">
        <v>2501</v>
      </c>
      <c r="AV74" s="540" t="s">
        <v>1865</v>
      </c>
    </row>
    <row r="75" spans="1:48" ht="78" customHeight="1" thickBot="1" x14ac:dyDescent="0.4">
      <c r="A75" s="155"/>
      <c r="B75" s="790" t="s">
        <v>860</v>
      </c>
      <c r="C75" s="791" t="s">
        <v>1315</v>
      </c>
      <c r="D75" s="224" t="s">
        <v>852</v>
      </c>
      <c r="E75" s="228">
        <v>0.5</v>
      </c>
      <c r="F75" s="226">
        <v>2000</v>
      </c>
      <c r="G75" s="244">
        <v>500</v>
      </c>
      <c r="H75" s="244">
        <v>500</v>
      </c>
      <c r="I75" s="244">
        <v>500</v>
      </c>
      <c r="J75" s="176">
        <f>+G75/F75</f>
        <v>0.25</v>
      </c>
      <c r="K75" s="176">
        <f t="shared" si="83"/>
        <v>0.25</v>
      </c>
      <c r="L75" s="176">
        <f t="shared" ref="L75:L76" si="87">+I75/F75</f>
        <v>0.25</v>
      </c>
      <c r="M75" s="176">
        <f>+(G75/F75)*E75</f>
        <v>0.125</v>
      </c>
      <c r="N75" s="176">
        <f t="shared" si="63"/>
        <v>0.125</v>
      </c>
      <c r="O75" s="176"/>
      <c r="P75" s="150">
        <v>292</v>
      </c>
      <c r="Q75" s="543">
        <v>49</v>
      </c>
      <c r="R75" s="543">
        <v>81</v>
      </c>
      <c r="S75" s="543">
        <v>74</v>
      </c>
      <c r="T75" s="543">
        <v>172</v>
      </c>
      <c r="U75" s="543">
        <v>30</v>
      </c>
      <c r="V75" s="150">
        <f t="shared" si="82"/>
        <v>406</v>
      </c>
      <c r="W75" s="647">
        <f t="shared" si="69"/>
        <v>1559</v>
      </c>
      <c r="X75" s="543">
        <v>861</v>
      </c>
      <c r="Y75" s="150"/>
      <c r="Z75" s="150"/>
      <c r="AA75" s="150"/>
      <c r="AB75" s="150">
        <f t="shared" si="64"/>
        <v>861</v>
      </c>
      <c r="AC75" s="194">
        <f>+(P75/G75)</f>
        <v>0.58399999999999996</v>
      </c>
      <c r="AD75" s="194">
        <f>+V75/H75</f>
        <v>0.81200000000000006</v>
      </c>
      <c r="AE75" s="194">
        <f t="shared" si="84"/>
        <v>1.722</v>
      </c>
      <c r="AF75" s="194">
        <f>+AC75*E75</f>
        <v>0.29199999999999998</v>
      </c>
      <c r="AG75" s="194">
        <f>+AD75*E75</f>
        <v>0.40600000000000003</v>
      </c>
      <c r="AH75" s="194">
        <f>+AE75*E75</f>
        <v>0.86099999999999999</v>
      </c>
      <c r="AI75" s="194">
        <f>+P75/F75</f>
        <v>0.14599999999999999</v>
      </c>
      <c r="AJ75" s="230">
        <v>0.34899999999999998</v>
      </c>
      <c r="AK75" s="230">
        <f t="shared" ref="AK75" si="88">+W75/F75</f>
        <v>0.77949999999999997</v>
      </c>
      <c r="AL75" s="227">
        <f>+AI75*E75</f>
        <v>7.2999999999999995E-2</v>
      </c>
      <c r="AM75" s="227">
        <f>+AJ75*E75</f>
        <v>0.17449999999999999</v>
      </c>
      <c r="AN75" s="227">
        <f t="shared" si="86"/>
        <v>0.38974999999999999</v>
      </c>
      <c r="AO75" s="566" t="s">
        <v>1850</v>
      </c>
      <c r="AP75" s="567" t="s">
        <v>1892</v>
      </c>
      <c r="AQ75" s="567" t="s">
        <v>2276</v>
      </c>
      <c r="AR75" s="567" t="s">
        <v>2288</v>
      </c>
      <c r="AS75" s="567" t="s">
        <v>2403</v>
      </c>
      <c r="AT75" s="1138" t="s">
        <v>1865</v>
      </c>
      <c r="AU75" s="567" t="s">
        <v>2496</v>
      </c>
      <c r="AV75" s="540" t="s">
        <v>1865</v>
      </c>
    </row>
    <row r="76" spans="1:48" ht="106.95" customHeight="1" thickBot="1" x14ac:dyDescent="0.4">
      <c r="A76" s="155"/>
      <c r="B76" s="790" t="s">
        <v>861</v>
      </c>
      <c r="C76" s="791" t="s">
        <v>1316</v>
      </c>
      <c r="D76" s="224" t="s">
        <v>852</v>
      </c>
      <c r="E76" s="228">
        <v>0.3</v>
      </c>
      <c r="F76" s="226">
        <f>1450*4</f>
        <v>5800</v>
      </c>
      <c r="G76" s="244">
        <v>1450</v>
      </c>
      <c r="H76" s="244">
        <v>1450</v>
      </c>
      <c r="I76" s="244">
        <v>1450</v>
      </c>
      <c r="J76" s="176">
        <f>+G76/F76</f>
        <v>0.25</v>
      </c>
      <c r="K76" s="176">
        <f t="shared" si="83"/>
        <v>0.25</v>
      </c>
      <c r="L76" s="176">
        <f t="shared" si="87"/>
        <v>0.25</v>
      </c>
      <c r="M76" s="176">
        <f>+(G76/F76)*E76</f>
        <v>7.4999999999999997E-2</v>
      </c>
      <c r="N76" s="176">
        <f t="shared" si="63"/>
        <v>7.4999999999999997E-2</v>
      </c>
      <c r="O76" s="176"/>
      <c r="P76" s="150">
        <v>974</v>
      </c>
      <c r="Q76" s="543">
        <v>974</v>
      </c>
      <c r="R76" s="543">
        <v>988</v>
      </c>
      <c r="S76" s="543">
        <v>968</v>
      </c>
      <c r="T76" s="543">
        <v>91</v>
      </c>
      <c r="U76" s="543">
        <v>852</v>
      </c>
      <c r="V76" s="150">
        <f t="shared" si="82"/>
        <v>3873</v>
      </c>
      <c r="W76" s="647">
        <f t="shared" si="69"/>
        <v>6024</v>
      </c>
      <c r="X76" s="543">
        <v>1177</v>
      </c>
      <c r="Y76" s="150"/>
      <c r="Z76" s="150"/>
      <c r="AA76" s="150"/>
      <c r="AB76" s="150">
        <f t="shared" si="64"/>
        <v>1177</v>
      </c>
      <c r="AC76" s="194">
        <f>+(P76/G76)</f>
        <v>0.67172413793103447</v>
      </c>
      <c r="AD76" s="194">
        <v>1</v>
      </c>
      <c r="AE76" s="194">
        <f>+AB76/I76</f>
        <v>0.81172413793103448</v>
      </c>
      <c r="AF76" s="194">
        <f>+AC76*E76</f>
        <v>0.20151724137931035</v>
      </c>
      <c r="AG76" s="194">
        <f>+AD76*E76</f>
        <v>0.3</v>
      </c>
      <c r="AH76" s="194">
        <f t="shared" si="85"/>
        <v>0.24351724137931033</v>
      </c>
      <c r="AI76" s="194">
        <f>+P76/F76</f>
        <v>0.16793103448275862</v>
      </c>
      <c r="AJ76" s="230">
        <v>0.83568965517241378</v>
      </c>
      <c r="AK76" s="230">
        <v>1</v>
      </c>
      <c r="AL76" s="227">
        <f>+AI76*E76</f>
        <v>5.0379310344827587E-2</v>
      </c>
      <c r="AM76" s="227">
        <f>+AJ76*E76</f>
        <v>0.25070689655172412</v>
      </c>
      <c r="AN76" s="227">
        <f t="shared" si="86"/>
        <v>0.3</v>
      </c>
      <c r="AO76" s="566" t="s">
        <v>1850</v>
      </c>
      <c r="AP76" s="567" t="s">
        <v>1892</v>
      </c>
      <c r="AQ76" s="567" t="s">
        <v>2276</v>
      </c>
      <c r="AR76" s="567" t="s">
        <v>2288</v>
      </c>
      <c r="AS76" s="540" t="s">
        <v>1865</v>
      </c>
      <c r="AT76" s="1138" t="s">
        <v>1865</v>
      </c>
      <c r="AU76" s="567" t="s">
        <v>2496</v>
      </c>
      <c r="AV76" s="540" t="s">
        <v>1865</v>
      </c>
    </row>
    <row r="77" spans="1:48" ht="28.5" customHeight="1" thickBot="1" x14ac:dyDescent="0.4">
      <c r="A77" s="155"/>
      <c r="B77" s="1557" t="s">
        <v>1810</v>
      </c>
      <c r="C77" s="1571"/>
      <c r="D77" s="231"/>
      <c r="E77" s="232">
        <v>0.25</v>
      </c>
      <c r="F77" s="226"/>
      <c r="G77" s="163"/>
      <c r="H77" s="163"/>
      <c r="I77" s="163"/>
      <c r="J77" s="169">
        <f>+AVERAGE(J78)</f>
        <v>0.14285714285714285</v>
      </c>
      <c r="K77" s="169">
        <f>+AVERAGE(K78)</f>
        <v>0.17142857142857143</v>
      </c>
      <c r="L77" s="169">
        <f>+AVERAGE(L78)</f>
        <v>0.32857142857142857</v>
      </c>
      <c r="M77" s="169">
        <f>+M78</f>
        <v>0.14285714285714285</v>
      </c>
      <c r="N77" s="169">
        <f>+N78</f>
        <v>0.17142857142857143</v>
      </c>
      <c r="O77" s="169"/>
      <c r="P77" s="168"/>
      <c r="Q77" s="168"/>
      <c r="R77" s="168"/>
      <c r="S77" s="168"/>
      <c r="T77" s="168"/>
      <c r="U77" s="987"/>
      <c r="V77" s="170"/>
      <c r="W77" s="647"/>
      <c r="X77" s="168"/>
      <c r="Y77" s="168"/>
      <c r="Z77" s="168"/>
      <c r="AA77" s="168"/>
      <c r="AB77" s="170"/>
      <c r="AC77" s="192">
        <f>+AVERAGE(AC78)</f>
        <v>0.8</v>
      </c>
      <c r="AD77" s="192">
        <f>+AVERAGE(AD78)</f>
        <v>1</v>
      </c>
      <c r="AE77" s="192">
        <f>+AVERAGE(AE78)</f>
        <v>0.24347826086956526</v>
      </c>
      <c r="AF77" s="192">
        <f>+(AF78)*E77</f>
        <v>0.2</v>
      </c>
      <c r="AG77" s="192">
        <f>+(AG78)*E77</f>
        <v>0.25</v>
      </c>
      <c r="AH77" s="192">
        <f>+(AH78)*E77</f>
        <v>6.0869565217391314E-2</v>
      </c>
      <c r="AI77" s="169">
        <f>+AVERAGE(AI78)</f>
        <v>0.1142857142857143</v>
      </c>
      <c r="AJ77" s="169">
        <v>0.2857142857142857</v>
      </c>
      <c r="AK77" s="169">
        <f>+AVERAGE(AK78)</f>
        <v>0.36571428571428571</v>
      </c>
      <c r="AL77" s="222">
        <f>+(AL78)*E77</f>
        <v>2.8571428571428574E-2</v>
      </c>
      <c r="AM77" s="222">
        <f>+(AM78)</f>
        <v>0.2857142857142857</v>
      </c>
      <c r="AN77" s="222">
        <f>+(AN78)</f>
        <v>0.36571428571428571</v>
      </c>
      <c r="AO77" s="913"/>
      <c r="AP77" s="535"/>
      <c r="AQ77" s="535"/>
      <c r="AR77" s="535"/>
      <c r="AS77" s="535"/>
      <c r="AT77" s="1135"/>
      <c r="AU77" s="535"/>
      <c r="AV77" s="535"/>
    </row>
    <row r="78" spans="1:48" ht="67.2" customHeight="1" thickBot="1" x14ac:dyDescent="0.4">
      <c r="A78" s="155"/>
      <c r="B78" s="173" t="s">
        <v>862</v>
      </c>
      <c r="C78" s="223" t="s">
        <v>1317</v>
      </c>
      <c r="D78" s="231" t="s">
        <v>863</v>
      </c>
      <c r="E78" s="228">
        <v>1</v>
      </c>
      <c r="F78" s="226">
        <v>7</v>
      </c>
      <c r="G78" s="170">
        <v>1</v>
      </c>
      <c r="H78" s="170">
        <v>1.2</v>
      </c>
      <c r="I78" s="170">
        <v>2.2999999999999998</v>
      </c>
      <c r="J78" s="176">
        <f>+G78/F78</f>
        <v>0.14285714285714285</v>
      </c>
      <c r="K78" s="176">
        <f t="shared" ref="K78" si="89">+H78/F78</f>
        <v>0.17142857142857143</v>
      </c>
      <c r="L78" s="176">
        <f>+I78/F78</f>
        <v>0.32857142857142857</v>
      </c>
      <c r="M78" s="176">
        <f>+(G78/F78)*E78</f>
        <v>0.14285714285714285</v>
      </c>
      <c r="N78" s="176">
        <f t="shared" si="63"/>
        <v>0.17142857142857143</v>
      </c>
      <c r="O78" s="176"/>
      <c r="P78" s="170">
        <v>0.8</v>
      </c>
      <c r="Q78" s="541">
        <v>0.2</v>
      </c>
      <c r="R78" s="541">
        <v>0.1</v>
      </c>
      <c r="S78" s="541">
        <v>0.42</v>
      </c>
      <c r="T78" s="541">
        <v>0.25</v>
      </c>
      <c r="U78" s="541">
        <v>0.22999999999999998</v>
      </c>
      <c r="V78" s="170">
        <f t="shared" si="82"/>
        <v>1.2</v>
      </c>
      <c r="W78" s="647">
        <f t="shared" si="69"/>
        <v>2.56</v>
      </c>
      <c r="X78" s="541">
        <v>0.56000000000000005</v>
      </c>
      <c r="Y78" s="170"/>
      <c r="Z78" s="170"/>
      <c r="AA78" s="170"/>
      <c r="AB78" s="170">
        <f t="shared" si="64"/>
        <v>0.56000000000000005</v>
      </c>
      <c r="AC78" s="194">
        <f>+(P78/G78)</f>
        <v>0.8</v>
      </c>
      <c r="AD78" s="194">
        <f>+V78/H78</f>
        <v>1</v>
      </c>
      <c r="AE78" s="194">
        <f t="shared" ref="AE78" si="90">+AB78/I78</f>
        <v>0.24347826086956526</v>
      </c>
      <c r="AF78" s="194">
        <f>+AC78*E78</f>
        <v>0.8</v>
      </c>
      <c r="AG78" s="194">
        <f>+AD78*E78</f>
        <v>1</v>
      </c>
      <c r="AH78" s="194">
        <f t="shared" ref="AH78" si="91">+AE78*E78</f>
        <v>0.24347826086956526</v>
      </c>
      <c r="AI78" s="194">
        <f>+P78/F78</f>
        <v>0.1142857142857143</v>
      </c>
      <c r="AJ78" s="230">
        <v>0.2857142857142857</v>
      </c>
      <c r="AK78" s="230">
        <f t="shared" ref="AK78" si="92">+W78/F78</f>
        <v>0.36571428571428571</v>
      </c>
      <c r="AL78" s="230">
        <f>+AI78*E78</f>
        <v>0.1142857142857143</v>
      </c>
      <c r="AM78" s="230">
        <f>+AJ78*E78</f>
        <v>0.2857142857142857</v>
      </c>
      <c r="AN78" s="230">
        <f t="shared" ref="AN78" si="93">+AK78*E78</f>
        <v>0.36571428571428571</v>
      </c>
      <c r="AO78" s="566" t="s">
        <v>1852</v>
      </c>
      <c r="AP78" s="567" t="s">
        <v>1892</v>
      </c>
      <c r="AQ78" s="567" t="s">
        <v>2276</v>
      </c>
      <c r="AR78" s="567" t="s">
        <v>2288</v>
      </c>
      <c r="AS78" s="567" t="s">
        <v>2403</v>
      </c>
      <c r="AT78" s="1136" t="s">
        <v>2437</v>
      </c>
      <c r="AU78" s="567" t="s">
        <v>2496</v>
      </c>
      <c r="AV78" s="535"/>
    </row>
    <row r="79" spans="1:48" ht="57" customHeight="1" thickBot="1" x14ac:dyDescent="0.4">
      <c r="A79" s="155"/>
      <c r="B79" s="1557" t="s">
        <v>1737</v>
      </c>
      <c r="C79" s="1571"/>
      <c r="D79" s="231"/>
      <c r="E79" s="232">
        <v>0.15</v>
      </c>
      <c r="F79" s="226"/>
      <c r="G79" s="163"/>
      <c r="H79" s="163"/>
      <c r="I79" s="163"/>
      <c r="J79" s="169">
        <f>+AVERAGE(J80:J81)</f>
        <v>0.32500000000000001</v>
      </c>
      <c r="K79" s="169">
        <f>+AVERAGE(K80:K81)</f>
        <v>9.5000000000000001E-2</v>
      </c>
      <c r="L79" s="169">
        <f>+AVERAGE(L80:L81)</f>
        <v>0.34</v>
      </c>
      <c r="M79" s="169">
        <f>+M80+M81</f>
        <v>0.35499999999999998</v>
      </c>
      <c r="N79" s="169">
        <f>+N80+N81</f>
        <v>6.5000000000000002E-2</v>
      </c>
      <c r="O79" s="169"/>
      <c r="P79" s="168"/>
      <c r="Q79" s="168"/>
      <c r="R79" s="168"/>
      <c r="S79" s="168"/>
      <c r="T79" s="168"/>
      <c r="U79" s="987"/>
      <c r="V79" s="170"/>
      <c r="W79" s="647"/>
      <c r="X79" s="168"/>
      <c r="Y79" s="168"/>
      <c r="Z79" s="168"/>
      <c r="AA79" s="168"/>
      <c r="AB79" s="170"/>
      <c r="AC79" s="192">
        <f>+AVERAGE(AC80:AC81)</f>
        <v>0.94</v>
      </c>
      <c r="AD79" s="192">
        <f>+AVERAGE(AD80:AD81)</f>
        <v>1</v>
      </c>
      <c r="AE79" s="192">
        <f>+AVERAGE(AE80:AE81)</f>
        <v>0</v>
      </c>
      <c r="AF79" s="192">
        <f>+(AF80+AF81)*E79</f>
        <v>0.14459999999999998</v>
      </c>
      <c r="AG79" s="192">
        <f>+(AG80+AG81)*E79</f>
        <v>0.15</v>
      </c>
      <c r="AH79" s="192">
        <f>+(AH80+AH81)*E79</f>
        <v>0</v>
      </c>
      <c r="AI79" s="169">
        <f>+AVERAGE(AI80:AI81)</f>
        <v>0.61</v>
      </c>
      <c r="AJ79" s="169">
        <v>0.70499999999999996</v>
      </c>
      <c r="AK79" s="169">
        <f>+AVERAGE(AK80:AK81)</f>
        <v>0.70499999999999996</v>
      </c>
      <c r="AL79" s="222">
        <f>+(AL80+AL81)*E79</f>
        <v>0.1149</v>
      </c>
      <c r="AM79" s="222">
        <f>+(AM80+AM81)</f>
        <v>0.82299999999999995</v>
      </c>
      <c r="AN79" s="222">
        <f>+(AN80+AN81)</f>
        <v>0.82299999999999995</v>
      </c>
      <c r="AO79" s="913"/>
      <c r="AP79" s="535"/>
      <c r="AQ79" s="535"/>
      <c r="AR79" s="535"/>
      <c r="AS79" s="535"/>
      <c r="AT79" s="1135"/>
      <c r="AU79" s="535"/>
      <c r="AV79" s="535"/>
    </row>
    <row r="80" spans="1:48" ht="117.6" customHeight="1" thickBot="1" x14ac:dyDescent="0.4">
      <c r="A80" s="155"/>
      <c r="B80" s="181" t="s">
        <v>864</v>
      </c>
      <c r="C80" s="235" t="s">
        <v>1318</v>
      </c>
      <c r="D80" s="231" t="s">
        <v>1541</v>
      </c>
      <c r="E80" s="228">
        <v>0.3</v>
      </c>
      <c r="F80" s="226">
        <v>1</v>
      </c>
      <c r="G80" s="170">
        <v>0.25</v>
      </c>
      <c r="H80" s="170">
        <v>0.17</v>
      </c>
      <c r="I80" s="170">
        <v>0.34</v>
      </c>
      <c r="J80" s="176">
        <f>+G80/F80</f>
        <v>0.25</v>
      </c>
      <c r="K80" s="176">
        <f t="shared" ref="K80:K81" si="94">+H80/F80</f>
        <v>0.17</v>
      </c>
      <c r="L80" s="176">
        <f t="shared" ref="L80" si="95">+I80/F80</f>
        <v>0.34</v>
      </c>
      <c r="M80" s="176">
        <f>+(G80/F80)*E80</f>
        <v>7.4999999999999997E-2</v>
      </c>
      <c r="N80" s="176">
        <f t="shared" si="63"/>
        <v>5.1000000000000004E-2</v>
      </c>
      <c r="O80" s="176"/>
      <c r="P80" s="170">
        <v>0.22</v>
      </c>
      <c r="Q80" s="541">
        <v>0.05</v>
      </c>
      <c r="R80" s="541">
        <v>0.12</v>
      </c>
      <c r="S80" s="541">
        <v>0</v>
      </c>
      <c r="T80" s="541">
        <v>0</v>
      </c>
      <c r="U80" s="541">
        <v>0.02</v>
      </c>
      <c r="V80" s="170">
        <f t="shared" si="82"/>
        <v>0.18999999999999997</v>
      </c>
      <c r="W80" s="206">
        <f t="shared" si="69"/>
        <v>0.41</v>
      </c>
      <c r="X80" s="541">
        <v>0</v>
      </c>
      <c r="Y80" s="170"/>
      <c r="Z80" s="170"/>
      <c r="AA80" s="170"/>
      <c r="AB80" s="170">
        <f t="shared" si="64"/>
        <v>0</v>
      </c>
      <c r="AC80" s="194">
        <f>+(P80/G80)</f>
        <v>0.88</v>
      </c>
      <c r="AD80" s="194">
        <v>1</v>
      </c>
      <c r="AE80" s="194">
        <f t="shared" ref="AE80" si="96">+AB80/I80</f>
        <v>0</v>
      </c>
      <c r="AF80" s="194">
        <f>+AC80*E80</f>
        <v>0.26400000000000001</v>
      </c>
      <c r="AG80" s="194">
        <f>+AD80*E80</f>
        <v>0.3</v>
      </c>
      <c r="AH80" s="194">
        <f t="shared" ref="AH80:AH81" si="97">+AE80*E80</f>
        <v>0</v>
      </c>
      <c r="AI80" s="194">
        <f>+P80/F80</f>
        <v>0.22</v>
      </c>
      <c r="AJ80" s="230">
        <v>0.41</v>
      </c>
      <c r="AK80" s="230">
        <f t="shared" ref="AK80" si="98">+W80/F80</f>
        <v>0.41</v>
      </c>
      <c r="AL80" s="230">
        <f>+AI80*E80</f>
        <v>6.6000000000000003E-2</v>
      </c>
      <c r="AM80" s="230">
        <f>+AJ80*E80</f>
        <v>0.12299999999999998</v>
      </c>
      <c r="AN80" s="230">
        <f t="shared" ref="AN80:AN81" si="99">+AK80*E80</f>
        <v>0.12299999999999998</v>
      </c>
      <c r="AO80" s="566" t="s">
        <v>1852</v>
      </c>
      <c r="AP80" s="567" t="s">
        <v>1892</v>
      </c>
      <c r="AQ80" s="567" t="s">
        <v>2268</v>
      </c>
      <c r="AR80" s="567" t="s">
        <v>2288</v>
      </c>
      <c r="AS80" s="567" t="s">
        <v>2403</v>
      </c>
      <c r="AT80" s="1136" t="s">
        <v>2437</v>
      </c>
      <c r="AU80" s="567" t="s">
        <v>2496</v>
      </c>
      <c r="AV80" s="567" t="s">
        <v>1893</v>
      </c>
    </row>
    <row r="81" spans="1:48" ht="85.2" customHeight="1" thickBot="1" x14ac:dyDescent="0.4">
      <c r="A81" s="155"/>
      <c r="B81" s="181" t="s">
        <v>865</v>
      </c>
      <c r="C81" s="235" t="s">
        <v>1319</v>
      </c>
      <c r="D81" s="231" t="s">
        <v>1540</v>
      </c>
      <c r="E81" s="228">
        <v>0.7</v>
      </c>
      <c r="F81" s="226">
        <v>5</v>
      </c>
      <c r="G81" s="170">
        <v>2</v>
      </c>
      <c r="H81" s="236">
        <v>0.1</v>
      </c>
      <c r="I81" s="170">
        <v>0</v>
      </c>
      <c r="J81" s="176">
        <f>+G81/F81</f>
        <v>0.4</v>
      </c>
      <c r="K81" s="176">
        <f t="shared" si="94"/>
        <v>0.02</v>
      </c>
      <c r="L81" s="176"/>
      <c r="M81" s="176">
        <f>+(G81/F81)*E81</f>
        <v>0.27999999999999997</v>
      </c>
      <c r="N81" s="176">
        <f t="shared" si="63"/>
        <v>1.3999999999999999E-2</v>
      </c>
      <c r="O81" s="176"/>
      <c r="P81" s="170">
        <v>5</v>
      </c>
      <c r="Q81" s="541">
        <v>0.1</v>
      </c>
      <c r="R81" s="541">
        <v>0.1</v>
      </c>
      <c r="S81" s="541">
        <v>0</v>
      </c>
      <c r="T81" s="541">
        <v>0</v>
      </c>
      <c r="U81" s="541">
        <v>0</v>
      </c>
      <c r="V81" s="170">
        <f t="shared" si="82"/>
        <v>0.2</v>
      </c>
      <c r="W81" s="647">
        <f>+V81+P81+AB81</f>
        <v>5.2</v>
      </c>
      <c r="X81" s="541">
        <v>0</v>
      </c>
      <c r="Y81" s="170"/>
      <c r="Z81" s="170"/>
      <c r="AA81" s="170"/>
      <c r="AB81" s="170">
        <f t="shared" si="64"/>
        <v>0</v>
      </c>
      <c r="AC81" s="194">
        <v>1</v>
      </c>
      <c r="AD81" s="194">
        <v>1</v>
      </c>
      <c r="AE81" s="194"/>
      <c r="AF81" s="194">
        <f>+AC81*E81</f>
        <v>0.7</v>
      </c>
      <c r="AG81" s="194">
        <f>+AD81*E81</f>
        <v>0.7</v>
      </c>
      <c r="AH81" s="194">
        <f t="shared" si="97"/>
        <v>0</v>
      </c>
      <c r="AI81" s="194">
        <f>+P81/F81</f>
        <v>1</v>
      </c>
      <c r="AJ81" s="230">
        <v>1</v>
      </c>
      <c r="AK81" s="230">
        <v>1</v>
      </c>
      <c r="AL81" s="230">
        <f>+AI81*E81</f>
        <v>0.7</v>
      </c>
      <c r="AM81" s="230">
        <f>+AJ81*E81</f>
        <v>0.7</v>
      </c>
      <c r="AN81" s="230">
        <f t="shared" si="99"/>
        <v>0.7</v>
      </c>
      <c r="AO81" s="916" t="s">
        <v>1864</v>
      </c>
      <c r="AP81" s="568" t="s">
        <v>1865</v>
      </c>
      <c r="AQ81" s="568" t="s">
        <v>1865</v>
      </c>
      <c r="AR81" s="567" t="s">
        <v>2288</v>
      </c>
      <c r="AS81" s="686" t="s">
        <v>2414</v>
      </c>
      <c r="AT81" s="1136" t="s">
        <v>2437</v>
      </c>
      <c r="AU81" s="567" t="s">
        <v>2496</v>
      </c>
      <c r="AV81" s="567" t="s">
        <v>1893</v>
      </c>
    </row>
    <row r="82" spans="1:48" ht="78" customHeight="1" thickBot="1" x14ac:dyDescent="0.4">
      <c r="A82" s="155"/>
      <c r="B82" s="1561" t="s">
        <v>1811</v>
      </c>
      <c r="C82" s="1571"/>
      <c r="D82" s="231"/>
      <c r="E82" s="234">
        <v>0.1</v>
      </c>
      <c r="F82" s="158">
        <f>+E82*AF82</f>
        <v>2.0506728571428573E-2</v>
      </c>
      <c r="G82" s="163"/>
      <c r="H82" s="159">
        <f>+E82*AG82</f>
        <v>5.6500921428571438E-2</v>
      </c>
      <c r="I82" s="159">
        <f>+E82*AH82</f>
        <v>4.677352941176471E-3</v>
      </c>
      <c r="J82" s="161">
        <f>+(J83+J91+J95)/3</f>
        <v>0.23703703703703705</v>
      </c>
      <c r="K82" s="161">
        <f>+(K83+K91+K95)/3</f>
        <v>0.29888888888888893</v>
      </c>
      <c r="L82" s="161">
        <f>+(L83+L91+L95)/3</f>
        <v>0.31</v>
      </c>
      <c r="M82" s="162">
        <f>+(M83+M91+M95)/3</f>
        <v>0.17777777777777778</v>
      </c>
      <c r="N82" s="162">
        <f>+(N83+N91+N95)/3</f>
        <v>0.23291666666666666</v>
      </c>
      <c r="O82" s="162"/>
      <c r="P82" s="163"/>
      <c r="Q82" s="163"/>
      <c r="R82" s="163"/>
      <c r="S82" s="163"/>
      <c r="T82" s="163"/>
      <c r="U82" s="215"/>
      <c r="V82" s="967"/>
      <c r="W82" s="163"/>
      <c r="X82" s="163"/>
      <c r="Y82" s="163"/>
      <c r="Z82" s="163"/>
      <c r="AA82" s="163"/>
      <c r="AB82" s="163"/>
      <c r="AC82" s="161">
        <f>+(AC83+AC91+AC95)/3</f>
        <v>0.43832698412698412</v>
      </c>
      <c r="AD82" s="161">
        <f>+(AD83+AD91+AD95)/3</f>
        <v>0.71249002267573702</v>
      </c>
      <c r="AE82" s="161">
        <f>+(AE83+AE91+AE95)/3</f>
        <v>6.9738562091503267E-2</v>
      </c>
      <c r="AF82" s="162">
        <f>+AF83+AF91+AF95</f>
        <v>0.20506728571428573</v>
      </c>
      <c r="AG82" s="162">
        <f>+AG83+AG91+AG95</f>
        <v>0.56500921428571438</v>
      </c>
      <c r="AH82" s="162">
        <f>+AH83+AH91+AH95</f>
        <v>4.6773529411764707E-2</v>
      </c>
      <c r="AI82" s="161">
        <f>(AI83+AI91+AI95)/3</f>
        <v>0.15124841269841269</v>
      </c>
      <c r="AJ82" s="161">
        <v>0.33279166666666665</v>
      </c>
      <c r="AK82" s="161">
        <f>(AK83+AK91+AK95)/3</f>
        <v>0.36382738095238093</v>
      </c>
      <c r="AL82" s="220">
        <f>+(AL83+AL91+AL95)</f>
        <v>6.376682142857143E-2</v>
      </c>
      <c r="AM82" s="220">
        <f>+(AM83*E83+AM91*E91+AM95*E95)</f>
        <v>0.22288787500000001</v>
      </c>
      <c r="AN82" s="220">
        <f>+(AN83*E83+AN91*E91+AN95*E95)</f>
        <v>0.26417537499999999</v>
      </c>
      <c r="AO82" s="912"/>
      <c r="AP82" s="535"/>
      <c r="AQ82" s="535"/>
      <c r="AR82" s="535"/>
      <c r="AS82" s="535"/>
      <c r="AT82" s="1135"/>
      <c r="AU82" s="535"/>
      <c r="AV82" s="535"/>
    </row>
    <row r="83" spans="1:48" ht="72" customHeight="1" thickBot="1" x14ac:dyDescent="0.4">
      <c r="A83" s="155"/>
      <c r="B83" s="1557" t="s">
        <v>1812</v>
      </c>
      <c r="C83" s="1571"/>
      <c r="D83" s="231"/>
      <c r="E83" s="232">
        <v>0.45</v>
      </c>
      <c r="F83" s="226"/>
      <c r="G83" s="163"/>
      <c r="H83" s="163"/>
      <c r="I83" s="163"/>
      <c r="J83" s="169">
        <f>+AVERAGE(J84:J90)</f>
        <v>0.21111111111111111</v>
      </c>
      <c r="K83" s="169">
        <f>+AVERAGE(K84:K90)</f>
        <v>0.35500000000000004</v>
      </c>
      <c r="L83" s="169">
        <f>+AVERAGE(L84:L90)</f>
        <v>0.34250000000000003</v>
      </c>
      <c r="M83" s="169">
        <f>+M84+M85+M86+M87+M88+M89+M90</f>
        <v>0.15833333333333333</v>
      </c>
      <c r="N83" s="169">
        <f>+N84+N85+N86+N87+N88+N89+N90</f>
        <v>0.23</v>
      </c>
      <c r="O83" s="169"/>
      <c r="P83" s="168"/>
      <c r="Q83" s="168"/>
      <c r="R83" s="168"/>
      <c r="S83" s="168"/>
      <c r="T83" s="168"/>
      <c r="U83" s="987"/>
      <c r="V83" s="170"/>
      <c r="W83" s="168"/>
      <c r="X83" s="168"/>
      <c r="Y83" s="168"/>
      <c r="Z83" s="168"/>
      <c r="AA83" s="168"/>
      <c r="AB83" s="168"/>
      <c r="AC83" s="192">
        <f>+AVERAGE(AC84:AC90)</f>
        <v>0.31498095238095236</v>
      </c>
      <c r="AD83" s="192">
        <f>+AVERAGE(AD84:AD90)</f>
        <v>0.65913673469387757</v>
      </c>
      <c r="AE83" s="192">
        <f>+AVERAGE(AE84:AE90)</f>
        <v>3.3333333333333335E-3</v>
      </c>
      <c r="AF83" s="192">
        <f>+(AF84+AF85+AF86+AF87+AF88+AF89+AF90)*E83</f>
        <v>0.10506728571428571</v>
      </c>
      <c r="AG83" s="192">
        <f>+(AG84+AG85+AG86+AG87+AG88+AG89+AG90)*E83</f>
        <v>0.35738421428571437</v>
      </c>
      <c r="AH83" s="192">
        <f>+(AH84+AH85+AH86+AH87+AH88+AH89+AH90)*E83</f>
        <v>4.5000000000000004E-4</v>
      </c>
      <c r="AI83" s="169">
        <f>+AVERAGE(AI84:AI90)</f>
        <v>7.874523809523809E-2</v>
      </c>
      <c r="AJ83" s="169">
        <v>0.22817499999999999</v>
      </c>
      <c r="AK83" s="169">
        <f>+AVERAGE(AK84:AK90)</f>
        <v>0.26353214285714283</v>
      </c>
      <c r="AL83" s="222">
        <f>+(AL84+AL85+AL86+AL87+AL88+AL89+AL90)*E83</f>
        <v>2.6266821428571428E-2</v>
      </c>
      <c r="AM83" s="222">
        <f>+(AM84+AM85+AM86+AM87+AM88+AM89+AM90)</f>
        <v>0.24641750000000001</v>
      </c>
      <c r="AN83" s="222">
        <f>+(AN84+AN85+AN86+AN87+AN88+AN89+AN90)</f>
        <v>0.2944175</v>
      </c>
      <c r="AO83" s="913"/>
      <c r="AP83" s="535"/>
      <c r="AQ83" s="535"/>
      <c r="AR83" s="535"/>
      <c r="AS83" s="535"/>
      <c r="AT83" s="1135"/>
      <c r="AU83" s="535"/>
      <c r="AV83" s="535"/>
    </row>
    <row r="84" spans="1:48" ht="94.2" customHeight="1" thickBot="1" x14ac:dyDescent="0.4">
      <c r="A84" s="155"/>
      <c r="B84" s="173" t="s">
        <v>866</v>
      </c>
      <c r="C84" s="223" t="s">
        <v>1320</v>
      </c>
      <c r="D84" s="246" t="s">
        <v>867</v>
      </c>
      <c r="E84" s="228">
        <v>0.1</v>
      </c>
      <c r="F84" s="226">
        <v>1</v>
      </c>
      <c r="G84" s="170">
        <v>0</v>
      </c>
      <c r="H84" s="170">
        <v>0.25</v>
      </c>
      <c r="I84" s="170">
        <v>0.23</v>
      </c>
      <c r="J84" s="176"/>
      <c r="K84" s="176">
        <f>+H84/F84</f>
        <v>0.25</v>
      </c>
      <c r="L84" s="176">
        <f t="shared" ref="L84:L90" si="100">+I84/F84</f>
        <v>0.23</v>
      </c>
      <c r="M84" s="176"/>
      <c r="N84" s="176">
        <f t="shared" ref="N84:N90" si="101">+(H84/F84)*E84</f>
        <v>2.5000000000000001E-2</v>
      </c>
      <c r="O84" s="176"/>
      <c r="P84" s="170"/>
      <c r="Q84" s="541">
        <v>0.05</v>
      </c>
      <c r="R84" s="541">
        <v>0.12</v>
      </c>
      <c r="S84" s="541">
        <v>0.2</v>
      </c>
      <c r="T84" s="541">
        <v>0</v>
      </c>
      <c r="U84" s="541">
        <v>0</v>
      </c>
      <c r="V84" s="170">
        <f t="shared" si="82"/>
        <v>0.37</v>
      </c>
      <c r="W84" s="170">
        <f>+V84+P84+AB84+AB84</f>
        <v>0.37</v>
      </c>
      <c r="X84" s="541">
        <v>0</v>
      </c>
      <c r="Y84" s="170"/>
      <c r="Z84" s="170"/>
      <c r="AA84" s="170"/>
      <c r="AB84" s="170">
        <f t="shared" ref="AB84:AB96" si="102">+X84+Y84+Z84+AA84</f>
        <v>0</v>
      </c>
      <c r="AC84" s="194"/>
      <c r="AD84" s="194">
        <v>1</v>
      </c>
      <c r="AE84" s="194">
        <f t="shared" ref="AE84:AE90" si="103">+AB84/I84</f>
        <v>0</v>
      </c>
      <c r="AF84" s="194"/>
      <c r="AG84" s="194">
        <f t="shared" ref="AG84:AG90" si="104">+AD84*E84</f>
        <v>0.1</v>
      </c>
      <c r="AH84" s="194">
        <f t="shared" ref="AH84:AH90" si="105">+AE84*E84</f>
        <v>0</v>
      </c>
      <c r="AI84" s="194"/>
      <c r="AJ84" s="230">
        <v>0.37</v>
      </c>
      <c r="AK84" s="230">
        <f t="shared" ref="AK84:AK89" si="106">+W84/F84</f>
        <v>0.37</v>
      </c>
      <c r="AL84" s="230">
        <v>0</v>
      </c>
      <c r="AM84" s="230">
        <f t="shared" ref="AM84:AM90" si="107">+AJ84*E84</f>
        <v>3.6999999999999998E-2</v>
      </c>
      <c r="AN84" s="230">
        <f t="shared" ref="AN84:AN90" si="108">+AK84*E84</f>
        <v>3.6999999999999998E-2</v>
      </c>
      <c r="AO84" s="649" t="s">
        <v>1852</v>
      </c>
      <c r="AP84" s="571" t="s">
        <v>1892</v>
      </c>
      <c r="AQ84" s="571" t="s">
        <v>2268</v>
      </c>
      <c r="AR84" s="567" t="s">
        <v>2288</v>
      </c>
      <c r="AS84" s="567" t="s">
        <v>2403</v>
      </c>
      <c r="AT84" s="1136" t="s">
        <v>2437</v>
      </c>
      <c r="AU84" s="567" t="s">
        <v>2496</v>
      </c>
      <c r="AV84" s="567" t="s">
        <v>1893</v>
      </c>
    </row>
    <row r="85" spans="1:48" ht="55.95" customHeight="1" thickBot="1" x14ac:dyDescent="0.4">
      <c r="A85" s="155"/>
      <c r="B85" s="790" t="s">
        <v>868</v>
      </c>
      <c r="C85" s="791" t="s">
        <v>1321</v>
      </c>
      <c r="D85" s="246" t="s">
        <v>825</v>
      </c>
      <c r="E85" s="228">
        <v>0.3</v>
      </c>
      <c r="F85" s="226">
        <v>14000</v>
      </c>
      <c r="G85" s="170">
        <v>3500</v>
      </c>
      <c r="H85" s="170">
        <v>3500</v>
      </c>
      <c r="I85" s="170"/>
      <c r="J85" s="176">
        <f t="shared" ref="J85:J90" si="109">+G85/F85</f>
        <v>0.25</v>
      </c>
      <c r="K85" s="176">
        <f t="shared" ref="K85:K96" si="110">+H85/F85</f>
        <v>0.25</v>
      </c>
      <c r="L85" s="176"/>
      <c r="M85" s="176">
        <f t="shared" ref="M85:M90" si="111">+(G85/F85)*E85</f>
        <v>7.4999999999999997E-2</v>
      </c>
      <c r="N85" s="176">
        <f t="shared" si="101"/>
        <v>7.4999999999999997E-2</v>
      </c>
      <c r="O85" s="176"/>
      <c r="P85" s="170">
        <v>1557.3</v>
      </c>
      <c r="Q85" s="541">
        <v>941.85</v>
      </c>
      <c r="R85" s="541">
        <v>0</v>
      </c>
      <c r="S85" s="541">
        <v>0</v>
      </c>
      <c r="T85" s="541">
        <v>1557</v>
      </c>
      <c r="U85" s="541"/>
      <c r="V85" s="170">
        <f t="shared" si="82"/>
        <v>2498.85</v>
      </c>
      <c r="W85" s="170">
        <f>+V85+P85+AB85</f>
        <v>4056.1499999999996</v>
      </c>
      <c r="X85" s="170"/>
      <c r="Y85" s="170"/>
      <c r="Z85" s="170"/>
      <c r="AA85" s="170"/>
      <c r="AB85" s="170">
        <f t="shared" si="102"/>
        <v>0</v>
      </c>
      <c r="AC85" s="194">
        <f>+(P85/G85)</f>
        <v>0.44494285714285714</v>
      </c>
      <c r="AD85" s="194">
        <f>+V85/H85</f>
        <v>0.71395714285714285</v>
      </c>
      <c r="AE85" s="194"/>
      <c r="AF85" s="194">
        <f>+AC85*E85</f>
        <v>0.13348285714285713</v>
      </c>
      <c r="AG85" s="194">
        <f t="shared" si="104"/>
        <v>0.21418714285714285</v>
      </c>
      <c r="AH85" s="194">
        <f t="shared" si="105"/>
        <v>0</v>
      </c>
      <c r="AI85" s="194">
        <f>+P85/F85</f>
        <v>0.11123571428571428</v>
      </c>
      <c r="AJ85" s="230">
        <v>0.28972499999999995</v>
      </c>
      <c r="AK85" s="230">
        <f t="shared" si="106"/>
        <v>0.28972499999999995</v>
      </c>
      <c r="AL85" s="230">
        <f>+AI85*E85</f>
        <v>3.3370714285714281E-2</v>
      </c>
      <c r="AM85" s="230">
        <f t="shared" si="107"/>
        <v>8.6917499999999981E-2</v>
      </c>
      <c r="AN85" s="230">
        <f t="shared" si="108"/>
        <v>8.6917499999999981E-2</v>
      </c>
      <c r="AO85" s="649" t="s">
        <v>1852</v>
      </c>
      <c r="AP85" s="535"/>
      <c r="AQ85" s="571" t="s">
        <v>2268</v>
      </c>
      <c r="AR85" s="567" t="s">
        <v>2288</v>
      </c>
      <c r="AS85" s="567" t="s">
        <v>2403</v>
      </c>
      <c r="AT85" s="1136" t="s">
        <v>2437</v>
      </c>
      <c r="AU85" s="567" t="s">
        <v>2496</v>
      </c>
      <c r="AV85" s="535"/>
    </row>
    <row r="86" spans="1:48" ht="56.4" customHeight="1" thickBot="1" x14ac:dyDescent="0.4">
      <c r="A86" s="155"/>
      <c r="B86" s="173" t="s">
        <v>869</v>
      </c>
      <c r="C86" s="223" t="s">
        <v>1322</v>
      </c>
      <c r="D86" s="246" t="s">
        <v>818</v>
      </c>
      <c r="E86" s="228">
        <v>0.25</v>
      </c>
      <c r="F86" s="226">
        <v>15</v>
      </c>
      <c r="G86" s="170">
        <v>2</v>
      </c>
      <c r="H86" s="170">
        <v>0.9</v>
      </c>
      <c r="I86" s="170">
        <v>3</v>
      </c>
      <c r="J86" s="176">
        <f t="shared" si="109"/>
        <v>0.13333333333333333</v>
      </c>
      <c r="K86" s="176">
        <f t="shared" si="110"/>
        <v>6.0000000000000005E-2</v>
      </c>
      <c r="L86" s="176">
        <f t="shared" si="100"/>
        <v>0.2</v>
      </c>
      <c r="M86" s="176">
        <f t="shared" si="111"/>
        <v>3.3333333333333333E-2</v>
      </c>
      <c r="N86" s="176">
        <f t="shared" si="101"/>
        <v>1.5000000000000001E-2</v>
      </c>
      <c r="O86" s="176"/>
      <c r="P86" s="170">
        <v>0</v>
      </c>
      <c r="Q86" s="541">
        <v>0.9</v>
      </c>
      <c r="R86" s="541">
        <v>0.9</v>
      </c>
      <c r="S86" s="541">
        <v>0</v>
      </c>
      <c r="T86" s="541">
        <v>0</v>
      </c>
      <c r="U86" s="541">
        <v>1.2</v>
      </c>
      <c r="V86" s="170">
        <f t="shared" si="82"/>
        <v>3</v>
      </c>
      <c r="W86" s="170">
        <f t="shared" ref="W86:W90" si="112">+V86+P86+AB86</f>
        <v>3</v>
      </c>
      <c r="X86" s="541">
        <v>0</v>
      </c>
      <c r="Y86" s="170"/>
      <c r="Z86" s="170"/>
      <c r="AA86" s="170"/>
      <c r="AB86" s="170">
        <f t="shared" si="102"/>
        <v>0</v>
      </c>
      <c r="AC86" s="194">
        <f>+(P86/G86)</f>
        <v>0</v>
      </c>
      <c r="AD86" s="194">
        <v>1</v>
      </c>
      <c r="AE86" s="194">
        <f t="shared" si="103"/>
        <v>0</v>
      </c>
      <c r="AF86" s="194">
        <f>+AC86*E86</f>
        <v>0</v>
      </c>
      <c r="AG86" s="194">
        <f t="shared" si="104"/>
        <v>0.25</v>
      </c>
      <c r="AH86" s="194">
        <f t="shared" si="105"/>
        <v>0</v>
      </c>
      <c r="AI86" s="194">
        <f>+P86/F86</f>
        <v>0</v>
      </c>
      <c r="AJ86" s="230">
        <v>0.2</v>
      </c>
      <c r="AK86" s="230">
        <f t="shared" si="106"/>
        <v>0.2</v>
      </c>
      <c r="AL86" s="230">
        <f>+AI86*E86</f>
        <v>0</v>
      </c>
      <c r="AM86" s="230">
        <f t="shared" si="107"/>
        <v>0.05</v>
      </c>
      <c r="AN86" s="230">
        <f t="shared" si="108"/>
        <v>0.05</v>
      </c>
      <c r="AO86" s="649" t="s">
        <v>1852</v>
      </c>
      <c r="AP86" s="571" t="s">
        <v>1892</v>
      </c>
      <c r="AQ86" s="571" t="s">
        <v>2268</v>
      </c>
      <c r="AR86" s="567" t="s">
        <v>2288</v>
      </c>
      <c r="AS86" s="567" t="s">
        <v>2403</v>
      </c>
      <c r="AT86" s="1136" t="s">
        <v>2437</v>
      </c>
      <c r="AU86" s="567" t="s">
        <v>2496</v>
      </c>
      <c r="AV86" s="567" t="s">
        <v>1893</v>
      </c>
    </row>
    <row r="87" spans="1:48" ht="66.599999999999994" customHeight="1" thickBot="1" x14ac:dyDescent="0.4">
      <c r="A87" s="155"/>
      <c r="B87" s="181" t="s">
        <v>870</v>
      </c>
      <c r="C87" s="235" t="s">
        <v>1323</v>
      </c>
      <c r="D87" s="246" t="s">
        <v>871</v>
      </c>
      <c r="E87" s="228">
        <v>0.08</v>
      </c>
      <c r="F87" s="226">
        <v>1</v>
      </c>
      <c r="G87" s="170">
        <v>0</v>
      </c>
      <c r="H87" s="170">
        <v>0.5</v>
      </c>
      <c r="I87" s="170">
        <v>0.5</v>
      </c>
      <c r="J87" s="176"/>
      <c r="K87" s="176">
        <f>+H87/F87</f>
        <v>0.5</v>
      </c>
      <c r="L87" s="176">
        <f t="shared" si="100"/>
        <v>0.5</v>
      </c>
      <c r="M87" s="176"/>
      <c r="N87" s="176">
        <f t="shared" si="101"/>
        <v>0.04</v>
      </c>
      <c r="O87" s="176"/>
      <c r="P87" s="170"/>
      <c r="Q87" s="541">
        <v>0.1</v>
      </c>
      <c r="R87" s="541">
        <v>0.15</v>
      </c>
      <c r="S87" s="541">
        <v>0</v>
      </c>
      <c r="T87" s="541">
        <v>0</v>
      </c>
      <c r="U87" s="541">
        <v>0</v>
      </c>
      <c r="V87" s="170">
        <f t="shared" si="82"/>
        <v>0.25</v>
      </c>
      <c r="W87" s="170">
        <f t="shared" si="112"/>
        <v>0.25</v>
      </c>
      <c r="X87" s="541">
        <v>0</v>
      </c>
      <c r="Y87" s="170"/>
      <c r="Z87" s="170"/>
      <c r="AA87" s="170"/>
      <c r="AB87" s="170">
        <f t="shared" si="102"/>
        <v>0</v>
      </c>
      <c r="AC87" s="194"/>
      <c r="AD87" s="194">
        <f>+V87/H87</f>
        <v>0.5</v>
      </c>
      <c r="AE87" s="194">
        <f t="shared" si="103"/>
        <v>0</v>
      </c>
      <c r="AF87" s="194"/>
      <c r="AG87" s="194">
        <f t="shared" si="104"/>
        <v>0.04</v>
      </c>
      <c r="AH87" s="194">
        <f t="shared" si="105"/>
        <v>0</v>
      </c>
      <c r="AI87" s="194"/>
      <c r="AJ87" s="230">
        <v>0.25</v>
      </c>
      <c r="AK87" s="230">
        <f t="shared" si="106"/>
        <v>0.25</v>
      </c>
      <c r="AL87" s="230">
        <v>0</v>
      </c>
      <c r="AM87" s="230">
        <f t="shared" si="107"/>
        <v>0.02</v>
      </c>
      <c r="AN87" s="230">
        <f t="shared" si="108"/>
        <v>0.02</v>
      </c>
      <c r="AO87" s="649" t="s">
        <v>1852</v>
      </c>
      <c r="AP87" s="571" t="s">
        <v>1892</v>
      </c>
      <c r="AQ87" s="571" t="s">
        <v>2268</v>
      </c>
      <c r="AR87" s="567" t="s">
        <v>2288</v>
      </c>
      <c r="AS87" s="567" t="s">
        <v>2403</v>
      </c>
      <c r="AT87" s="1138" t="s">
        <v>2445</v>
      </c>
      <c r="AU87" s="540" t="s">
        <v>2516</v>
      </c>
      <c r="AV87" s="567" t="s">
        <v>1893</v>
      </c>
    </row>
    <row r="88" spans="1:48" ht="78.599999999999994" customHeight="1" thickBot="1" x14ac:dyDescent="0.4">
      <c r="A88" s="155"/>
      <c r="B88" s="173" t="s">
        <v>872</v>
      </c>
      <c r="C88" s="223" t="s">
        <v>1324</v>
      </c>
      <c r="D88" s="246" t="s">
        <v>873</v>
      </c>
      <c r="E88" s="228">
        <v>0.05</v>
      </c>
      <c r="F88" s="226">
        <v>1</v>
      </c>
      <c r="G88" s="170">
        <v>0</v>
      </c>
      <c r="H88" s="170">
        <v>0.8</v>
      </c>
      <c r="I88" s="170">
        <v>0.5</v>
      </c>
      <c r="J88" s="176"/>
      <c r="K88" s="176">
        <f t="shared" si="110"/>
        <v>0.8</v>
      </c>
      <c r="L88" s="176">
        <f t="shared" si="100"/>
        <v>0.5</v>
      </c>
      <c r="M88" s="176"/>
      <c r="N88" s="176">
        <f t="shared" si="101"/>
        <v>4.0000000000000008E-2</v>
      </c>
      <c r="O88" s="176"/>
      <c r="P88" s="170"/>
      <c r="Q88" s="541"/>
      <c r="R88" s="541"/>
      <c r="S88" s="541"/>
      <c r="T88" s="541"/>
      <c r="U88" s="541"/>
      <c r="V88" s="170">
        <f t="shared" si="82"/>
        <v>0</v>
      </c>
      <c r="W88" s="170">
        <f t="shared" si="112"/>
        <v>0.01</v>
      </c>
      <c r="X88" s="541">
        <v>0.01</v>
      </c>
      <c r="Y88" s="170"/>
      <c r="Z88" s="170"/>
      <c r="AA88" s="170"/>
      <c r="AB88" s="170">
        <f t="shared" si="102"/>
        <v>0.01</v>
      </c>
      <c r="AC88" s="194"/>
      <c r="AD88" s="194">
        <f>+V88/H88</f>
        <v>0</v>
      </c>
      <c r="AE88" s="194">
        <f t="shared" si="103"/>
        <v>0.02</v>
      </c>
      <c r="AF88" s="194"/>
      <c r="AG88" s="194">
        <f t="shared" si="104"/>
        <v>0</v>
      </c>
      <c r="AH88" s="194">
        <f t="shared" si="105"/>
        <v>1E-3</v>
      </c>
      <c r="AI88" s="194"/>
      <c r="AJ88" s="230">
        <v>0</v>
      </c>
      <c r="AK88" s="230">
        <f t="shared" si="106"/>
        <v>0.01</v>
      </c>
      <c r="AL88" s="230">
        <v>0</v>
      </c>
      <c r="AM88" s="230">
        <f t="shared" si="107"/>
        <v>0</v>
      </c>
      <c r="AN88" s="230">
        <f t="shared" si="108"/>
        <v>5.0000000000000001E-4</v>
      </c>
      <c r="AO88" s="649" t="s">
        <v>1852</v>
      </c>
      <c r="AP88" s="571" t="s">
        <v>1892</v>
      </c>
      <c r="AQ88" s="571" t="s">
        <v>2268</v>
      </c>
      <c r="AR88" s="567" t="s">
        <v>2288</v>
      </c>
      <c r="AS88" s="687" t="s">
        <v>2373</v>
      </c>
      <c r="AT88" s="1136" t="s">
        <v>2437</v>
      </c>
      <c r="AU88" s="567" t="s">
        <v>2496</v>
      </c>
      <c r="AV88" s="567" t="s">
        <v>1893</v>
      </c>
    </row>
    <row r="89" spans="1:48" ht="124.95" customHeight="1" thickBot="1" x14ac:dyDescent="0.4">
      <c r="A89" s="155"/>
      <c r="B89" s="181" t="s">
        <v>874</v>
      </c>
      <c r="C89" s="235" t="s">
        <v>1325</v>
      </c>
      <c r="D89" s="246" t="s">
        <v>875</v>
      </c>
      <c r="E89" s="228">
        <v>0.02</v>
      </c>
      <c r="F89" s="226">
        <v>1</v>
      </c>
      <c r="G89" s="170">
        <v>0</v>
      </c>
      <c r="H89" s="170">
        <v>0.5</v>
      </c>
      <c r="I89" s="170">
        <v>0.5</v>
      </c>
      <c r="J89" s="176"/>
      <c r="K89" s="176">
        <f t="shared" si="110"/>
        <v>0.5</v>
      </c>
      <c r="L89" s="176">
        <f t="shared" si="100"/>
        <v>0.5</v>
      </c>
      <c r="M89" s="176"/>
      <c r="N89" s="176">
        <f t="shared" si="101"/>
        <v>0.01</v>
      </c>
      <c r="O89" s="176"/>
      <c r="P89" s="170"/>
      <c r="Q89" s="541">
        <v>0.1</v>
      </c>
      <c r="R89" s="541">
        <v>0.15</v>
      </c>
      <c r="S89" s="541">
        <v>0</v>
      </c>
      <c r="T89" s="541">
        <v>0</v>
      </c>
      <c r="U89" s="541">
        <v>0</v>
      </c>
      <c r="V89" s="170">
        <f t="shared" si="82"/>
        <v>0.25</v>
      </c>
      <c r="W89" s="170">
        <f t="shared" si="112"/>
        <v>0.25</v>
      </c>
      <c r="X89" s="541">
        <v>0</v>
      </c>
      <c r="Y89" s="170"/>
      <c r="Z89" s="170"/>
      <c r="AA89" s="170"/>
      <c r="AB89" s="170">
        <f t="shared" si="102"/>
        <v>0</v>
      </c>
      <c r="AC89" s="194"/>
      <c r="AD89" s="194">
        <f>+V89/H89</f>
        <v>0.5</v>
      </c>
      <c r="AE89" s="194">
        <f t="shared" si="103"/>
        <v>0</v>
      </c>
      <c r="AF89" s="194"/>
      <c r="AG89" s="194">
        <f t="shared" si="104"/>
        <v>0.01</v>
      </c>
      <c r="AH89" s="194">
        <f t="shared" si="105"/>
        <v>0</v>
      </c>
      <c r="AI89" s="194"/>
      <c r="AJ89" s="230">
        <v>0.25</v>
      </c>
      <c r="AK89" s="230">
        <f t="shared" si="106"/>
        <v>0.25</v>
      </c>
      <c r="AL89" s="230">
        <v>0</v>
      </c>
      <c r="AM89" s="230">
        <f t="shared" si="107"/>
        <v>5.0000000000000001E-3</v>
      </c>
      <c r="AN89" s="230">
        <f t="shared" si="108"/>
        <v>5.0000000000000001E-3</v>
      </c>
      <c r="AO89" s="649" t="s">
        <v>1852</v>
      </c>
      <c r="AP89" s="571" t="s">
        <v>1892</v>
      </c>
      <c r="AQ89" s="571" t="s">
        <v>2268</v>
      </c>
      <c r="AR89" s="567" t="s">
        <v>2288</v>
      </c>
      <c r="AS89" s="567" t="s">
        <v>2403</v>
      </c>
      <c r="AT89" s="1136" t="s">
        <v>2437</v>
      </c>
      <c r="AU89" s="540" t="s">
        <v>2515</v>
      </c>
      <c r="AV89" s="567" t="s">
        <v>1893</v>
      </c>
    </row>
    <row r="90" spans="1:48" ht="105" customHeight="1" thickBot="1" x14ac:dyDescent="0.4">
      <c r="A90" s="155"/>
      <c r="B90" s="181" t="s">
        <v>876</v>
      </c>
      <c r="C90" s="235" t="s">
        <v>1326</v>
      </c>
      <c r="D90" s="250" t="s">
        <v>877</v>
      </c>
      <c r="E90" s="238">
        <v>0.2</v>
      </c>
      <c r="F90" s="226">
        <v>8</v>
      </c>
      <c r="G90" s="170">
        <v>2</v>
      </c>
      <c r="H90" s="170">
        <v>1</v>
      </c>
      <c r="I90" s="170">
        <v>1</v>
      </c>
      <c r="J90" s="176">
        <f t="shared" si="109"/>
        <v>0.25</v>
      </c>
      <c r="K90" s="176">
        <f t="shared" si="110"/>
        <v>0.125</v>
      </c>
      <c r="L90" s="176">
        <f t="shared" si="100"/>
        <v>0.125</v>
      </c>
      <c r="M90" s="176">
        <f t="shared" si="111"/>
        <v>0.05</v>
      </c>
      <c r="N90" s="176">
        <f t="shared" si="101"/>
        <v>2.5000000000000001E-2</v>
      </c>
      <c r="O90" s="176"/>
      <c r="P90" s="170">
        <v>1</v>
      </c>
      <c r="Q90" s="541">
        <v>0.38</v>
      </c>
      <c r="R90" s="541">
        <v>0.4</v>
      </c>
      <c r="S90" s="541">
        <v>0</v>
      </c>
      <c r="T90" s="541">
        <v>0.12</v>
      </c>
      <c r="U90" s="236"/>
      <c r="V90" s="170">
        <f t="shared" si="82"/>
        <v>0.9</v>
      </c>
      <c r="W90" s="170">
        <f t="shared" si="112"/>
        <v>1.9</v>
      </c>
      <c r="X90" s="541">
        <v>0</v>
      </c>
      <c r="Y90" s="170"/>
      <c r="Z90" s="170"/>
      <c r="AA90" s="170"/>
      <c r="AB90" s="170">
        <f t="shared" si="102"/>
        <v>0</v>
      </c>
      <c r="AC90" s="194">
        <f>+(P90/G90)</f>
        <v>0.5</v>
      </c>
      <c r="AD90" s="194">
        <f>+V90/H90</f>
        <v>0.9</v>
      </c>
      <c r="AE90" s="194">
        <f t="shared" si="103"/>
        <v>0</v>
      </c>
      <c r="AF90" s="194">
        <f>+AC90*E90</f>
        <v>0.1</v>
      </c>
      <c r="AG90" s="194">
        <f t="shared" si="104"/>
        <v>0.18000000000000002</v>
      </c>
      <c r="AH90" s="194">
        <f t="shared" si="105"/>
        <v>0</v>
      </c>
      <c r="AI90" s="194">
        <f>+P90/F90</f>
        <v>0.125</v>
      </c>
      <c r="AJ90" s="230">
        <v>0.23749999999999999</v>
      </c>
      <c r="AK90" s="230">
        <f>+W90/F90*2</f>
        <v>0.47499999999999998</v>
      </c>
      <c r="AL90" s="230">
        <f>+AI90*E90</f>
        <v>2.5000000000000001E-2</v>
      </c>
      <c r="AM90" s="230">
        <f t="shared" si="107"/>
        <v>4.7500000000000001E-2</v>
      </c>
      <c r="AN90" s="230">
        <f t="shared" si="108"/>
        <v>9.5000000000000001E-2</v>
      </c>
      <c r="AO90" s="916" t="s">
        <v>1546</v>
      </c>
      <c r="AP90" s="573" t="s">
        <v>1546</v>
      </c>
      <c r="AQ90" s="571" t="s">
        <v>2268</v>
      </c>
      <c r="AR90" s="567" t="s">
        <v>2288</v>
      </c>
      <c r="AS90" s="540" t="s">
        <v>1865</v>
      </c>
      <c r="AT90" s="1136" t="s">
        <v>2437</v>
      </c>
      <c r="AU90" s="567" t="s">
        <v>2496</v>
      </c>
      <c r="AV90" s="535"/>
    </row>
    <row r="91" spans="1:48" ht="114.75" customHeight="1" thickBot="1" x14ac:dyDescent="0.4">
      <c r="A91" s="155"/>
      <c r="B91" s="1557" t="s">
        <v>1739</v>
      </c>
      <c r="C91" s="1571"/>
      <c r="D91" s="231"/>
      <c r="E91" s="232">
        <v>0.45</v>
      </c>
      <c r="F91" s="226"/>
      <c r="G91" s="163"/>
      <c r="H91" s="163"/>
      <c r="I91" s="163"/>
      <c r="J91" s="169">
        <f>+AVERAGE(J92:J94)</f>
        <v>0.25</v>
      </c>
      <c r="K91" s="169">
        <f>+AVERAGE(K92:K94)</f>
        <v>0.29166666666666669</v>
      </c>
      <c r="L91" s="169">
        <f>+AVERAGE(L92:L94)</f>
        <v>0.46250000000000002</v>
      </c>
      <c r="M91" s="169">
        <f>+M92+M93+M94</f>
        <v>0.125</v>
      </c>
      <c r="N91" s="169">
        <f>+N92+N93+N94</f>
        <v>0.21875</v>
      </c>
      <c r="O91" s="169"/>
      <c r="P91" s="168"/>
      <c r="Q91" s="168"/>
      <c r="R91" s="168"/>
      <c r="S91" s="168"/>
      <c r="T91" s="168"/>
      <c r="U91" s="987"/>
      <c r="V91" s="170"/>
      <c r="W91" s="168"/>
      <c r="X91" s="168"/>
      <c r="Y91" s="168"/>
      <c r="Z91" s="168"/>
      <c r="AA91" s="168"/>
      <c r="AB91" s="168"/>
      <c r="AC91" s="192">
        <f>+AVERAGE(AC92:AC94)</f>
        <v>0</v>
      </c>
      <c r="AD91" s="192">
        <f>+AVERAGE(AD92:AD94)</f>
        <v>0.47833333333333333</v>
      </c>
      <c r="AE91" s="192">
        <f>+AVERAGE(AE92:AE94)</f>
        <v>0.20588235294117646</v>
      </c>
      <c r="AF91" s="192">
        <f>+(AF92+AF93+AF94)*E91</f>
        <v>0</v>
      </c>
      <c r="AG91" s="192">
        <f>+(AG92+AG93+AG94)*E91</f>
        <v>0.107625</v>
      </c>
      <c r="AH91" s="192">
        <f>+(AH92+AH93+AH94)*E91</f>
        <v>4.6323529411764708E-2</v>
      </c>
      <c r="AI91" s="169">
        <f>+AVERAGE(AI92:AI94)</f>
        <v>0</v>
      </c>
      <c r="AJ91" s="169">
        <v>0.1452</v>
      </c>
      <c r="AK91" s="169">
        <f>+(AK92*0.33)+(AK93*0.33)+(AK94*0.33)</f>
        <v>0.20295000000000002</v>
      </c>
      <c r="AL91" s="222">
        <f>+(AL92+AL93+AL94)*E91</f>
        <v>0</v>
      </c>
      <c r="AM91" s="222">
        <f>+(AM92+AM93+AM94)</f>
        <v>0.11</v>
      </c>
      <c r="AN91" s="222">
        <f>+(AN92+AN93+AN94)</f>
        <v>0.15375</v>
      </c>
      <c r="AO91" s="913"/>
      <c r="AP91" s="535"/>
      <c r="AQ91" s="535"/>
      <c r="AR91" s="535"/>
      <c r="AS91" s="535"/>
      <c r="AT91" s="1135"/>
      <c r="AU91" s="535"/>
      <c r="AV91" s="535"/>
    </row>
    <row r="92" spans="1:48" ht="144.6" customHeight="1" thickBot="1" x14ac:dyDescent="0.4">
      <c r="A92" s="155"/>
      <c r="B92" s="790" t="s">
        <v>878</v>
      </c>
      <c r="C92" s="791" t="s">
        <v>1327</v>
      </c>
      <c r="D92" s="231" t="s">
        <v>879</v>
      </c>
      <c r="E92" s="228">
        <v>0.25</v>
      </c>
      <c r="F92" s="226">
        <v>4</v>
      </c>
      <c r="G92" s="170">
        <v>1</v>
      </c>
      <c r="H92" s="170">
        <v>2</v>
      </c>
      <c r="I92" s="170">
        <v>1.7</v>
      </c>
      <c r="J92" s="176">
        <f>+G92/F92</f>
        <v>0.25</v>
      </c>
      <c r="K92" s="176">
        <f t="shared" si="110"/>
        <v>0.5</v>
      </c>
      <c r="L92" s="176">
        <f t="shared" ref="L92:L94" si="113">+I92/F92</f>
        <v>0.42499999999999999</v>
      </c>
      <c r="M92" s="176">
        <f>+(G92/F92)*E92</f>
        <v>6.25E-2</v>
      </c>
      <c r="N92" s="176">
        <f t="shared" ref="N92:N94" si="114">+(H92/F92)*E92</f>
        <v>0.125</v>
      </c>
      <c r="O92" s="176"/>
      <c r="P92" s="170">
        <v>0</v>
      </c>
      <c r="Q92" s="541">
        <v>0</v>
      </c>
      <c r="R92" s="541">
        <v>0</v>
      </c>
      <c r="S92" s="541">
        <v>0</v>
      </c>
      <c r="T92" s="541">
        <v>0</v>
      </c>
      <c r="U92" s="541">
        <v>1.3</v>
      </c>
      <c r="V92" s="170">
        <f t="shared" si="82"/>
        <v>1.3</v>
      </c>
      <c r="W92" s="170">
        <f>+V92+P92+AB92</f>
        <v>2</v>
      </c>
      <c r="X92" s="541">
        <v>0.7</v>
      </c>
      <c r="Y92" s="170"/>
      <c r="Z92" s="170"/>
      <c r="AA92" s="170"/>
      <c r="AB92" s="170">
        <f t="shared" si="102"/>
        <v>0.7</v>
      </c>
      <c r="AC92" s="194">
        <f>+(P92/G92)</f>
        <v>0</v>
      </c>
      <c r="AD92" s="194">
        <f>+V92/H92</f>
        <v>0.65</v>
      </c>
      <c r="AE92" s="194">
        <f t="shared" ref="AE92:AE94" si="115">+AB92/I92</f>
        <v>0.41176470588235292</v>
      </c>
      <c r="AF92" s="194">
        <f>+AC92*E92</f>
        <v>0</v>
      </c>
      <c r="AG92" s="194">
        <f>+AD92*E92</f>
        <v>0.16250000000000001</v>
      </c>
      <c r="AH92" s="194">
        <f t="shared" ref="AH92:AH94" si="116">+AE92*E92</f>
        <v>0.10294117647058823</v>
      </c>
      <c r="AI92" s="194">
        <f>+P92/F92</f>
        <v>0</v>
      </c>
      <c r="AJ92" s="230">
        <v>0.32500000000000001</v>
      </c>
      <c r="AK92" s="230">
        <f t="shared" ref="AK92:AK94" si="117">+W92/F92</f>
        <v>0.5</v>
      </c>
      <c r="AL92" s="230">
        <f>+AI92*E92</f>
        <v>0</v>
      </c>
      <c r="AM92" s="230">
        <f>+AJ92*E92</f>
        <v>8.1250000000000003E-2</v>
      </c>
      <c r="AN92" s="230">
        <f t="shared" ref="AN92:AN94" si="118">+AK92*E92</f>
        <v>0.125</v>
      </c>
      <c r="AO92" s="649" t="s">
        <v>1853</v>
      </c>
      <c r="AP92" s="569" t="s">
        <v>1895</v>
      </c>
      <c r="AQ92" s="571" t="s">
        <v>2268</v>
      </c>
      <c r="AR92" s="567" t="s">
        <v>2288</v>
      </c>
      <c r="AS92" s="687" t="s">
        <v>2415</v>
      </c>
      <c r="AT92" s="1136" t="s">
        <v>2437</v>
      </c>
      <c r="AU92" s="567" t="s">
        <v>2496</v>
      </c>
      <c r="AV92" s="567" t="s">
        <v>1893</v>
      </c>
    </row>
    <row r="93" spans="1:48" ht="148.19999999999999" customHeight="1" thickBot="1" x14ac:dyDescent="0.4">
      <c r="A93" s="155"/>
      <c r="B93" s="790" t="s">
        <v>880</v>
      </c>
      <c r="C93" s="791" t="s">
        <v>1328</v>
      </c>
      <c r="D93" s="231" t="s">
        <v>1855</v>
      </c>
      <c r="E93" s="228">
        <v>0.5</v>
      </c>
      <c r="F93" s="226">
        <v>3</v>
      </c>
      <c r="G93" s="170">
        <v>0</v>
      </c>
      <c r="H93" s="170">
        <v>0</v>
      </c>
      <c r="I93" s="170"/>
      <c r="J93" s="176"/>
      <c r="K93" s="176">
        <f t="shared" si="110"/>
        <v>0</v>
      </c>
      <c r="L93" s="176"/>
      <c r="M93" s="176"/>
      <c r="N93" s="176">
        <f t="shared" si="114"/>
        <v>0</v>
      </c>
      <c r="O93" s="176"/>
      <c r="P93" s="170"/>
      <c r="Q93" s="541"/>
      <c r="R93" s="170"/>
      <c r="S93" s="170"/>
      <c r="T93" s="170"/>
      <c r="U93" s="236"/>
      <c r="V93" s="170">
        <f t="shared" si="82"/>
        <v>0</v>
      </c>
      <c r="W93" s="170">
        <f t="shared" ref="W93" si="119">+V93+P93+AB93</f>
        <v>0</v>
      </c>
      <c r="X93" s="170"/>
      <c r="Y93" s="170"/>
      <c r="Z93" s="170"/>
      <c r="AA93" s="170"/>
      <c r="AB93" s="170">
        <f t="shared" si="102"/>
        <v>0</v>
      </c>
      <c r="AC93" s="194"/>
      <c r="AD93" s="194"/>
      <c r="AE93" s="194"/>
      <c r="AF93" s="194"/>
      <c r="AG93" s="194">
        <f>+AD93*E93</f>
        <v>0</v>
      </c>
      <c r="AH93" s="194">
        <f t="shared" si="116"/>
        <v>0</v>
      </c>
      <c r="AI93" s="194"/>
      <c r="AJ93" s="230">
        <v>0</v>
      </c>
      <c r="AK93" s="230">
        <f t="shared" si="117"/>
        <v>0</v>
      </c>
      <c r="AL93" s="230"/>
      <c r="AM93" s="230">
        <f>+AJ93*E93</f>
        <v>0</v>
      </c>
      <c r="AN93" s="230">
        <f t="shared" si="118"/>
        <v>0</v>
      </c>
      <c r="AO93" s="649" t="s">
        <v>1854</v>
      </c>
      <c r="AP93" s="540" t="s">
        <v>1975</v>
      </c>
      <c r="AQ93" s="535"/>
      <c r="AR93" s="535"/>
      <c r="AS93" s="535"/>
      <c r="AT93" s="1138" t="s">
        <v>1865</v>
      </c>
      <c r="AU93" s="535"/>
      <c r="AV93" s="535"/>
    </row>
    <row r="94" spans="1:48" ht="147.6" customHeight="1" thickBot="1" x14ac:dyDescent="0.4">
      <c r="A94" s="155"/>
      <c r="B94" s="790" t="s">
        <v>881</v>
      </c>
      <c r="C94" s="791" t="s">
        <v>1329</v>
      </c>
      <c r="D94" s="248" t="s">
        <v>882</v>
      </c>
      <c r="E94" s="239">
        <v>0.25</v>
      </c>
      <c r="F94" s="226">
        <v>2</v>
      </c>
      <c r="G94" s="170">
        <v>0.5</v>
      </c>
      <c r="H94" s="170">
        <v>0.75</v>
      </c>
      <c r="I94" s="170">
        <v>1</v>
      </c>
      <c r="J94" s="176">
        <f>+G94/F94</f>
        <v>0.25</v>
      </c>
      <c r="K94" s="176">
        <f t="shared" si="110"/>
        <v>0.375</v>
      </c>
      <c r="L94" s="176">
        <f t="shared" si="113"/>
        <v>0.5</v>
      </c>
      <c r="M94" s="176">
        <f>+(G94/F94)*E94</f>
        <v>6.25E-2</v>
      </c>
      <c r="N94" s="176">
        <f t="shared" si="114"/>
        <v>9.375E-2</v>
      </c>
      <c r="O94" s="176"/>
      <c r="P94" s="170">
        <v>0</v>
      </c>
      <c r="Q94" s="541">
        <v>0.08</v>
      </c>
      <c r="R94" s="170">
        <v>0.15</v>
      </c>
      <c r="S94" s="541">
        <v>0</v>
      </c>
      <c r="T94" s="541">
        <v>0</v>
      </c>
      <c r="U94" s="541">
        <v>0</v>
      </c>
      <c r="V94" s="170">
        <f t="shared" si="82"/>
        <v>0.22999999999999998</v>
      </c>
      <c r="W94" s="170">
        <f>+V94+P94+AB94</f>
        <v>0.22999999999999998</v>
      </c>
      <c r="X94" s="541">
        <v>0</v>
      </c>
      <c r="Y94" s="170"/>
      <c r="Z94" s="170"/>
      <c r="AA94" s="170"/>
      <c r="AB94" s="170">
        <f t="shared" si="102"/>
        <v>0</v>
      </c>
      <c r="AC94" s="194">
        <f>+(P94/G94)</f>
        <v>0</v>
      </c>
      <c r="AD94" s="194">
        <f>+V94/H94</f>
        <v>0.30666666666666664</v>
      </c>
      <c r="AE94" s="194">
        <f t="shared" si="115"/>
        <v>0</v>
      </c>
      <c r="AF94" s="194">
        <f>+AC94*E94</f>
        <v>0</v>
      </c>
      <c r="AG94" s="194">
        <f>+AD94*E94</f>
        <v>7.6666666666666661E-2</v>
      </c>
      <c r="AH94" s="194">
        <f t="shared" si="116"/>
        <v>0</v>
      </c>
      <c r="AI94" s="194">
        <f>+P94/F94</f>
        <v>0</v>
      </c>
      <c r="AJ94" s="230">
        <v>0.11499999999999999</v>
      </c>
      <c r="AK94" s="230">
        <f t="shared" si="117"/>
        <v>0.11499999999999999</v>
      </c>
      <c r="AL94" s="230">
        <f>+AI94*E94</f>
        <v>0</v>
      </c>
      <c r="AM94" s="230">
        <f>+AJ94*E94</f>
        <v>2.8749999999999998E-2</v>
      </c>
      <c r="AN94" s="230">
        <f t="shared" si="118"/>
        <v>2.8749999999999998E-2</v>
      </c>
      <c r="AO94" s="916" t="s">
        <v>1560</v>
      </c>
      <c r="AP94" s="540" t="s">
        <v>1895</v>
      </c>
      <c r="AQ94" s="571" t="s">
        <v>2268</v>
      </c>
      <c r="AR94" s="920" t="s">
        <v>1895</v>
      </c>
      <c r="AS94" s="687" t="s">
        <v>2415</v>
      </c>
      <c r="AT94" s="1139" t="s">
        <v>1895</v>
      </c>
      <c r="AU94" s="573" t="s">
        <v>1895</v>
      </c>
      <c r="AV94" s="567" t="s">
        <v>1893</v>
      </c>
    </row>
    <row r="95" spans="1:48" ht="28.2" customHeight="1" thickBot="1" x14ac:dyDescent="0.4">
      <c r="A95" s="155"/>
      <c r="B95" s="1557" t="s">
        <v>1740</v>
      </c>
      <c r="C95" s="1571"/>
      <c r="D95" s="231"/>
      <c r="E95" s="232">
        <v>0.1</v>
      </c>
      <c r="F95" s="226"/>
      <c r="G95" s="163"/>
      <c r="H95" s="163"/>
      <c r="I95" s="163"/>
      <c r="J95" s="169">
        <f>+AVERAGE(J96)</f>
        <v>0.25</v>
      </c>
      <c r="K95" s="169">
        <f>+AVERAGE(K96)</f>
        <v>0.25</v>
      </c>
      <c r="L95" s="169">
        <f>+AVERAGE(L96)</f>
        <v>0.125</v>
      </c>
      <c r="M95" s="169">
        <f>+M96</f>
        <v>0.25</v>
      </c>
      <c r="N95" s="169">
        <f>+N96</f>
        <v>0.25</v>
      </c>
      <c r="O95" s="169"/>
      <c r="P95" s="168"/>
      <c r="Q95" s="168"/>
      <c r="R95" s="168"/>
      <c r="S95" s="168"/>
      <c r="T95" s="168"/>
      <c r="U95" s="987"/>
      <c r="V95" s="170"/>
      <c r="W95" s="168"/>
      <c r="X95" s="168"/>
      <c r="Y95" s="168"/>
      <c r="Z95" s="168"/>
      <c r="AA95" s="168"/>
      <c r="AB95" s="168"/>
      <c r="AC95" s="192">
        <f>+AVERAGE(AC96)</f>
        <v>1</v>
      </c>
      <c r="AD95" s="192">
        <f>+AVERAGE(AD96)</f>
        <v>1</v>
      </c>
      <c r="AE95" s="192">
        <f>+AVERAGE(AE96)</f>
        <v>0</v>
      </c>
      <c r="AF95" s="192">
        <f>+(AF96)*E95</f>
        <v>0.1</v>
      </c>
      <c r="AG95" s="192">
        <f>+(AG96)*E95</f>
        <v>0.1</v>
      </c>
      <c r="AH95" s="192">
        <f>+(AH96)*E95</f>
        <v>0</v>
      </c>
      <c r="AI95" s="169">
        <f>+AVERAGE(AI96)</f>
        <v>0.375</v>
      </c>
      <c r="AJ95" s="169">
        <v>0.625</v>
      </c>
      <c r="AK95" s="169">
        <f>+AVERAGE(AK96)</f>
        <v>0.625</v>
      </c>
      <c r="AL95" s="222">
        <f>+(AL96)*E95</f>
        <v>3.7500000000000006E-2</v>
      </c>
      <c r="AM95" s="222">
        <f>+(AM96)</f>
        <v>0.625</v>
      </c>
      <c r="AN95" s="222">
        <f>+(AN96)</f>
        <v>0.625</v>
      </c>
      <c r="AO95" s="913"/>
      <c r="AP95" s="535"/>
      <c r="AQ95" s="535"/>
      <c r="AR95" s="535"/>
      <c r="AS95" s="535"/>
      <c r="AT95" s="1135"/>
      <c r="AU95" s="535"/>
      <c r="AV95" s="535"/>
    </row>
    <row r="96" spans="1:48" ht="108" customHeight="1" thickBot="1" x14ac:dyDescent="0.4">
      <c r="A96" s="155"/>
      <c r="B96" s="173" t="s">
        <v>883</v>
      </c>
      <c r="C96" s="223" t="s">
        <v>1330</v>
      </c>
      <c r="D96" s="231" t="s">
        <v>884</v>
      </c>
      <c r="E96" s="228">
        <v>1</v>
      </c>
      <c r="F96" s="226">
        <v>16</v>
      </c>
      <c r="G96" s="170">
        <v>4</v>
      </c>
      <c r="H96" s="170">
        <v>4</v>
      </c>
      <c r="I96" s="170">
        <v>2</v>
      </c>
      <c r="J96" s="176">
        <f>+G96/F96</f>
        <v>0.25</v>
      </c>
      <c r="K96" s="176">
        <f t="shared" si="110"/>
        <v>0.25</v>
      </c>
      <c r="L96" s="176">
        <f>+I96/F96</f>
        <v>0.125</v>
      </c>
      <c r="M96" s="176">
        <f>+(G96/F96)*E96</f>
        <v>0.25</v>
      </c>
      <c r="N96" s="176">
        <f t="shared" ref="N96" si="120">+(H96/F96)*E96</f>
        <v>0.25</v>
      </c>
      <c r="O96" s="176"/>
      <c r="P96" s="170">
        <v>6</v>
      </c>
      <c r="Q96" s="541">
        <v>0</v>
      </c>
      <c r="R96" s="541">
        <v>0</v>
      </c>
      <c r="S96" s="541">
        <v>2</v>
      </c>
      <c r="T96" s="541">
        <v>2</v>
      </c>
      <c r="U96" s="541">
        <v>0</v>
      </c>
      <c r="V96" s="170">
        <f t="shared" si="82"/>
        <v>4</v>
      </c>
      <c r="W96" s="170">
        <f>+V96+P96+AB96</f>
        <v>10</v>
      </c>
      <c r="X96" s="541">
        <v>0</v>
      </c>
      <c r="Y96" s="170"/>
      <c r="Z96" s="170"/>
      <c r="AA96" s="170"/>
      <c r="AB96" s="170">
        <f t="shared" si="102"/>
        <v>0</v>
      </c>
      <c r="AC96" s="194">
        <v>1</v>
      </c>
      <c r="AD96" s="194">
        <f>+V96/H96</f>
        <v>1</v>
      </c>
      <c r="AE96" s="194">
        <f>+AB96/I96</f>
        <v>0</v>
      </c>
      <c r="AF96" s="194">
        <f>+AC96*E96</f>
        <v>1</v>
      </c>
      <c r="AG96" s="194">
        <f>+AD96*E96</f>
        <v>1</v>
      </c>
      <c r="AH96" s="194">
        <f t="shared" ref="AH96" si="121">+AE96*E96</f>
        <v>0</v>
      </c>
      <c r="AI96" s="194">
        <f>+P96/F96</f>
        <v>0.375</v>
      </c>
      <c r="AJ96" s="230">
        <v>0.625</v>
      </c>
      <c r="AK96" s="230">
        <f t="shared" ref="AK96" si="122">+W96/F96</f>
        <v>0.625</v>
      </c>
      <c r="AL96" s="230">
        <f>+AI96*E96</f>
        <v>0.375</v>
      </c>
      <c r="AM96" s="230">
        <f>+AJ96*E96</f>
        <v>0.625</v>
      </c>
      <c r="AN96" s="230">
        <f t="shared" ref="AN96" si="123">+AK96*E96</f>
        <v>0.625</v>
      </c>
      <c r="AO96" s="649" t="s">
        <v>1852</v>
      </c>
      <c r="AP96" s="571" t="s">
        <v>1892</v>
      </c>
      <c r="AQ96" s="535"/>
      <c r="AR96" s="567" t="s">
        <v>2288</v>
      </c>
      <c r="AS96" s="571" t="s">
        <v>2403</v>
      </c>
      <c r="AT96" s="792" t="s">
        <v>2437</v>
      </c>
      <c r="AU96" s="567" t="s">
        <v>2496</v>
      </c>
      <c r="AV96" s="567" t="s">
        <v>1893</v>
      </c>
    </row>
    <row r="97" spans="1:48" ht="103.2" customHeight="1" thickBot="1" x14ac:dyDescent="0.4">
      <c r="A97" s="155"/>
      <c r="B97" s="1561" t="s">
        <v>1813</v>
      </c>
      <c r="C97" s="1571"/>
      <c r="D97" s="231"/>
      <c r="E97" s="234">
        <v>0.2</v>
      </c>
      <c r="F97" s="158">
        <f>+E97*AF97</f>
        <v>7.2980616242112467E-2</v>
      </c>
      <c r="G97" s="163"/>
      <c r="H97" s="159">
        <f>+E97*AG97</f>
        <v>0.1061478371933105</v>
      </c>
      <c r="I97" s="159">
        <f>+E97*AH97</f>
        <v>9.4896082994677666E-2</v>
      </c>
      <c r="J97" s="161">
        <f>+(J98+J100+J105+J109+J121)/4</f>
        <v>0.32233213614481815</v>
      </c>
      <c r="K97" s="161">
        <f>+(K98+K100+K105+K109+K121)/4</f>
        <v>0.32575564910040028</v>
      </c>
      <c r="L97" s="161">
        <f>+(L98+L100+L105+L109+L121)/4</f>
        <v>0.35996001167226793</v>
      </c>
      <c r="M97" s="162">
        <f>+(M98+M100+M105+M109+M121)/4</f>
        <v>0.24677777425020778</v>
      </c>
      <c r="N97" s="162">
        <f>+(N98+N100+N105+N109+N121)/4</f>
        <v>0.31408199614094051</v>
      </c>
      <c r="O97" s="162"/>
      <c r="P97" s="163"/>
      <c r="Q97" s="163"/>
      <c r="R97" s="163"/>
      <c r="S97" s="163"/>
      <c r="T97" s="163"/>
      <c r="U97" s="215"/>
      <c r="V97" s="967"/>
      <c r="W97" s="163"/>
      <c r="X97" s="163"/>
      <c r="Y97" s="163"/>
      <c r="Z97" s="163"/>
      <c r="AA97" s="163"/>
      <c r="AB97" s="163"/>
      <c r="AC97" s="161">
        <f>+(AC98+AC100+AC105+AC109+AC121)/4</f>
        <v>0.71155118289486519</v>
      </c>
      <c r="AD97" s="161">
        <f>+(AD98+AD100+AD105+AD109+AD121)/5</f>
        <v>0.7868098750030621</v>
      </c>
      <c r="AE97" s="161">
        <f>+(AE98+AE100+AE105+AE109+AE121)/5</f>
        <v>0.4308941632801101</v>
      </c>
      <c r="AF97" s="162">
        <f>+AF98+AF100+AF105+AF109+AF121</f>
        <v>0.36490308121056231</v>
      </c>
      <c r="AG97" s="162">
        <f>+AG98+AG100+AG105+AG109+AG121</f>
        <v>0.53073918596655245</v>
      </c>
      <c r="AH97" s="162">
        <f>+AH98+AH100+AH105+AH109+AH121</f>
        <v>0.47448041497338833</v>
      </c>
      <c r="AI97" s="161">
        <f>(AI98+AI100+AI105+AI109+AI121)/4</f>
        <v>0.28704669626851897</v>
      </c>
      <c r="AJ97" s="161">
        <v>0.50977979669828244</v>
      </c>
      <c r="AK97" s="161">
        <f>(AK98+AK100+AK105+AK109+AK121)/5</f>
        <v>0.58185716715215063</v>
      </c>
      <c r="AL97" s="245">
        <f>+(AL98+AL100+AL105+AL109+AL121)</f>
        <v>0.14970787104537839</v>
      </c>
      <c r="AM97" s="245">
        <f>+(AM98*E98+AM100*E100*+AM105*E105+AM109*E109+AM121*E121)</f>
        <v>0.23815278753134994</v>
      </c>
      <c r="AN97" s="245">
        <f>+(AN98*E98+AN100*E100*+AN105*E105+AN109*E109+AN121*E121)</f>
        <v>0.33495534128097743</v>
      </c>
      <c r="AO97" s="912"/>
      <c r="AP97" s="535"/>
      <c r="AQ97" s="535"/>
      <c r="AR97" s="535"/>
      <c r="AS97" s="535"/>
      <c r="AT97" s="1135"/>
      <c r="AU97" s="535"/>
      <c r="AV97" s="535"/>
    </row>
    <row r="98" spans="1:48" ht="42.75" customHeight="1" thickBot="1" x14ac:dyDescent="0.4">
      <c r="A98" s="155"/>
      <c r="B98" s="1557" t="s">
        <v>885</v>
      </c>
      <c r="C98" s="1571"/>
      <c r="D98" s="231"/>
      <c r="E98" s="232">
        <v>0.3</v>
      </c>
      <c r="F98" s="226"/>
      <c r="G98" s="163"/>
      <c r="H98" s="163"/>
      <c r="I98" s="163"/>
      <c r="J98" s="169">
        <f>+AVERAGE(J99)</f>
        <v>0</v>
      </c>
      <c r="K98" s="169">
        <f>+AVERAGE(K99)</f>
        <v>0.2</v>
      </c>
      <c r="L98" s="169">
        <f>+AVERAGE(L99)</f>
        <v>0.3</v>
      </c>
      <c r="M98" s="169">
        <f>+M99</f>
        <v>0</v>
      </c>
      <c r="N98" s="169">
        <f>+N99</f>
        <v>0.2</v>
      </c>
      <c r="O98" s="169"/>
      <c r="P98" s="168"/>
      <c r="Q98" s="168"/>
      <c r="R98" s="168"/>
      <c r="S98" s="168"/>
      <c r="T98" s="168"/>
      <c r="U98" s="987"/>
      <c r="V98" s="170"/>
      <c r="W98" s="168"/>
      <c r="X98" s="168"/>
      <c r="Y98" s="168"/>
      <c r="Z98" s="168"/>
      <c r="AA98" s="168"/>
      <c r="AB98" s="168"/>
      <c r="AC98" s="171"/>
      <c r="AD98" s="192">
        <f>+AVERAGE(AD99)</f>
        <v>0.5</v>
      </c>
      <c r="AE98" s="192">
        <f>+AVERAGE(AE99)</f>
        <v>1</v>
      </c>
      <c r="AF98" s="192"/>
      <c r="AG98" s="192">
        <f>+(AG99)*E98</f>
        <v>0.15</v>
      </c>
      <c r="AH98" s="192">
        <f>+(AH99)*E98</f>
        <v>0.3</v>
      </c>
      <c r="AI98" s="169"/>
      <c r="AJ98" s="222">
        <v>0.1</v>
      </c>
      <c r="AK98" s="222">
        <f>+AVERAGE(AK99)</f>
        <v>0.4</v>
      </c>
      <c r="AL98" s="222">
        <f>+(AL99)*E98</f>
        <v>0</v>
      </c>
      <c r="AM98" s="222">
        <f>+(AM99)</f>
        <v>0.1</v>
      </c>
      <c r="AN98" s="222">
        <f>+(AN99)</f>
        <v>0.4</v>
      </c>
      <c r="AO98" s="913"/>
      <c r="AP98" s="535"/>
      <c r="AQ98" s="535"/>
      <c r="AR98" s="535"/>
      <c r="AS98" s="535"/>
      <c r="AT98" s="1135"/>
      <c r="AU98" s="535"/>
      <c r="AV98" s="535"/>
    </row>
    <row r="99" spans="1:48" ht="54.75" customHeight="1" thickBot="1" x14ac:dyDescent="0.4">
      <c r="A99" s="155"/>
      <c r="B99" s="173" t="s">
        <v>886</v>
      </c>
      <c r="C99" s="223" t="s">
        <v>1331</v>
      </c>
      <c r="D99" s="224" t="s">
        <v>825</v>
      </c>
      <c r="E99" s="228">
        <v>1</v>
      </c>
      <c r="F99" s="226">
        <v>10</v>
      </c>
      <c r="G99" s="170">
        <v>0</v>
      </c>
      <c r="H99" s="170">
        <v>2</v>
      </c>
      <c r="I99" s="170">
        <v>3</v>
      </c>
      <c r="J99" s="176">
        <f>+G99/F99</f>
        <v>0</v>
      </c>
      <c r="K99" s="176">
        <f t="shared" ref="K99:K134" si="124">+H99/F99</f>
        <v>0.2</v>
      </c>
      <c r="L99" s="176">
        <f>+I99/F99</f>
        <v>0.3</v>
      </c>
      <c r="M99" s="176">
        <f>+(G99/F99)*E99</f>
        <v>0</v>
      </c>
      <c r="N99" s="176">
        <f t="shared" ref="N99:N134" si="125">+(H99/F99)*E99</f>
        <v>0.2</v>
      </c>
      <c r="O99" s="176"/>
      <c r="P99" s="170"/>
      <c r="Q99" s="541">
        <v>0</v>
      </c>
      <c r="R99" s="170"/>
      <c r="S99" s="541">
        <v>1</v>
      </c>
      <c r="T99" s="541"/>
      <c r="U99" s="236"/>
      <c r="V99" s="170">
        <f t="shared" si="82"/>
        <v>1</v>
      </c>
      <c r="W99" s="170">
        <f>+V99+P99+AB99</f>
        <v>4</v>
      </c>
      <c r="X99" s="541">
        <v>3</v>
      </c>
      <c r="Y99" s="170"/>
      <c r="Z99" s="170"/>
      <c r="AA99" s="170"/>
      <c r="AB99" s="170">
        <f t="shared" ref="AB99" si="126">+X99+Y99+Z99+AA99</f>
        <v>3</v>
      </c>
      <c r="AC99" s="176"/>
      <c r="AD99" s="176">
        <f>+V99/H99</f>
        <v>0.5</v>
      </c>
      <c r="AE99" s="176">
        <f>+AB99/I99</f>
        <v>1</v>
      </c>
      <c r="AF99" s="176"/>
      <c r="AG99" s="176">
        <f>+AD99*E99</f>
        <v>0.5</v>
      </c>
      <c r="AH99" s="176">
        <f t="shared" ref="AH99" si="127">+AE99*E99</f>
        <v>1</v>
      </c>
      <c r="AI99" s="176"/>
      <c r="AJ99" s="227">
        <v>0.1</v>
      </c>
      <c r="AK99" s="227">
        <f t="shared" ref="AK99" si="128">+W99/F99</f>
        <v>0.4</v>
      </c>
      <c r="AL99" s="227"/>
      <c r="AM99" s="227">
        <f>+AJ99*E99</f>
        <v>0.1</v>
      </c>
      <c r="AN99" s="227">
        <f>+AK99*E99</f>
        <v>0.4</v>
      </c>
      <c r="AO99" s="917" t="s">
        <v>1867</v>
      </c>
      <c r="AP99" s="571" t="s">
        <v>1892</v>
      </c>
      <c r="AQ99" s="535"/>
      <c r="AR99" s="567" t="s">
        <v>2288</v>
      </c>
      <c r="AS99" s="571" t="s">
        <v>2403</v>
      </c>
      <c r="AT99" s="792" t="s">
        <v>2437</v>
      </c>
      <c r="AU99" s="573" t="s">
        <v>2520</v>
      </c>
      <c r="AV99" s="567" t="s">
        <v>1893</v>
      </c>
    </row>
    <row r="100" spans="1:48" ht="100.5" customHeight="1" thickBot="1" x14ac:dyDescent="0.4">
      <c r="A100" s="155"/>
      <c r="B100" s="1557" t="s">
        <v>887</v>
      </c>
      <c r="C100" s="1571"/>
      <c r="D100" s="231"/>
      <c r="E100" s="232">
        <v>0.2</v>
      </c>
      <c r="F100" s="226"/>
      <c r="G100" s="163"/>
      <c r="H100" s="163"/>
      <c r="I100" s="163"/>
      <c r="J100" s="169">
        <f>+AVERAGE(J101:J104)</f>
        <v>0.1875</v>
      </c>
      <c r="K100" s="169">
        <f>+AVERAGE(K101:K104)</f>
        <v>0.27083333333333331</v>
      </c>
      <c r="L100" s="169"/>
      <c r="M100" s="169">
        <f>+M101+M102+M103+M104</f>
        <v>0.2</v>
      </c>
      <c r="N100" s="169">
        <f>+N101+N102+N103+N104</f>
        <v>0.26666666666666666</v>
      </c>
      <c r="O100" s="169"/>
      <c r="P100" s="168"/>
      <c r="Q100" s="168"/>
      <c r="R100" s="168"/>
      <c r="S100" s="168"/>
      <c r="T100" s="168"/>
      <c r="U100" s="987"/>
      <c r="V100" s="170"/>
      <c r="W100" s="168"/>
      <c r="X100" s="168"/>
      <c r="Y100" s="168"/>
      <c r="Z100" s="168"/>
      <c r="AA100" s="168"/>
      <c r="AB100" s="168"/>
      <c r="AC100" s="192">
        <f>+AVERAGE(AC101:AC104)</f>
        <v>1</v>
      </c>
      <c r="AD100" s="192">
        <f>+AVERAGE(AD101:AD104)</f>
        <v>1</v>
      </c>
      <c r="AE100" s="192">
        <f>+AVERAGE(AE101:AE104)</f>
        <v>0.75</v>
      </c>
      <c r="AF100" s="192">
        <f>+(AF101+AF102+AF103+AF104)*E100</f>
        <v>0.16000000000000003</v>
      </c>
      <c r="AG100" s="192">
        <f>+(AG101+AG102+AG103+AG104)*E100</f>
        <v>0.2</v>
      </c>
      <c r="AH100" s="192">
        <f>+(AH101+AH102+AH103+AH104)*E100</f>
        <v>0.13999999999999999</v>
      </c>
      <c r="AI100" s="169">
        <f>+AVERAGE(AI101:AI104)</f>
        <v>0.25510535714285715</v>
      </c>
      <c r="AJ100" s="169">
        <v>1</v>
      </c>
      <c r="AK100" s="169">
        <f>+AVERAGE(AK101:AK104)</f>
        <v>1</v>
      </c>
      <c r="AL100" s="222">
        <f>+(AL101+AL102+AL103+AL104)*E100</f>
        <v>5.427928571428571E-2</v>
      </c>
      <c r="AM100" s="222">
        <f>+(AM101+AM102+AM103+AM104)</f>
        <v>1</v>
      </c>
      <c r="AN100" s="222">
        <f>+(AN101+AN102+AN103+AN104)</f>
        <v>1</v>
      </c>
      <c r="AO100" s="913"/>
      <c r="AP100" s="535"/>
      <c r="AQ100" s="535"/>
      <c r="AR100" s="535"/>
      <c r="AS100" s="535"/>
      <c r="AT100" s="1135"/>
      <c r="AU100" s="535"/>
      <c r="AV100" s="535"/>
    </row>
    <row r="101" spans="1:48" ht="69.599999999999994" customHeight="1" thickBot="1" x14ac:dyDescent="0.4">
      <c r="A101" s="155"/>
      <c r="B101" s="173" t="s">
        <v>888</v>
      </c>
      <c r="C101" s="223" t="s">
        <v>1332</v>
      </c>
      <c r="D101" s="224" t="s">
        <v>825</v>
      </c>
      <c r="E101" s="228">
        <v>0.3</v>
      </c>
      <c r="F101" s="226">
        <v>60</v>
      </c>
      <c r="G101" s="170">
        <v>15</v>
      </c>
      <c r="H101" s="170">
        <v>15</v>
      </c>
      <c r="I101" s="170">
        <v>15</v>
      </c>
      <c r="J101" s="176">
        <f>+G101/F101</f>
        <v>0.25</v>
      </c>
      <c r="K101" s="176">
        <f t="shared" si="124"/>
        <v>0.25</v>
      </c>
      <c r="L101" s="176"/>
      <c r="M101" s="176">
        <f>+(G101/F101)*E101</f>
        <v>7.4999999999999997E-2</v>
      </c>
      <c r="N101" s="176">
        <f t="shared" si="125"/>
        <v>7.4999999999999997E-2</v>
      </c>
      <c r="O101" s="176"/>
      <c r="P101" s="170">
        <v>17.672999999999998</v>
      </c>
      <c r="Q101" s="541">
        <v>10.196</v>
      </c>
      <c r="R101" s="541">
        <v>22.79</v>
      </c>
      <c r="S101" s="541">
        <v>21.318000000000001</v>
      </c>
      <c r="T101" s="541">
        <v>13.023</v>
      </c>
      <c r="U101" s="541">
        <v>5.4930000000000003</v>
      </c>
      <c r="V101" s="170">
        <f t="shared" si="82"/>
        <v>72.819999999999993</v>
      </c>
      <c r="W101" s="170">
        <f>+V101+P101+AB101</f>
        <v>117.92399999999999</v>
      </c>
      <c r="X101" s="541">
        <v>27.431000000000001</v>
      </c>
      <c r="Y101" s="170"/>
      <c r="Z101" s="170"/>
      <c r="AA101" s="170"/>
      <c r="AB101" s="170">
        <f t="shared" ref="AB101:AB104" si="129">+X101+Y101+Z101+AA101</f>
        <v>27.431000000000001</v>
      </c>
      <c r="AC101" s="194">
        <v>1</v>
      </c>
      <c r="AD101" s="194">
        <v>1</v>
      </c>
      <c r="AE101" s="194">
        <v>1</v>
      </c>
      <c r="AF101" s="194">
        <f>+AC101*E101</f>
        <v>0.3</v>
      </c>
      <c r="AG101" s="194">
        <f>+AD101*E101</f>
        <v>0.3</v>
      </c>
      <c r="AH101" s="194">
        <f t="shared" ref="AH101:AH104" si="130">+AE101*E101</f>
        <v>0.3</v>
      </c>
      <c r="AI101" s="194">
        <f>+P101/F101</f>
        <v>0.29454999999999998</v>
      </c>
      <c r="AJ101" s="230">
        <v>1</v>
      </c>
      <c r="AK101" s="230">
        <v>1</v>
      </c>
      <c r="AL101" s="230">
        <f>+AI101*E101</f>
        <v>8.8364999999999985E-2</v>
      </c>
      <c r="AM101" s="230">
        <f>+AJ101*E101</f>
        <v>0.3</v>
      </c>
      <c r="AN101" s="230">
        <f t="shared" ref="AN101:AN104" si="131">+AK101*E101</f>
        <v>0.3</v>
      </c>
      <c r="AO101" s="649" t="s">
        <v>1852</v>
      </c>
      <c r="AP101" s="571" t="s">
        <v>1892</v>
      </c>
      <c r="AQ101" s="567" t="s">
        <v>2276</v>
      </c>
      <c r="AR101" s="571" t="s">
        <v>2288</v>
      </c>
      <c r="AS101" s="567" t="s">
        <v>2425</v>
      </c>
      <c r="AT101" s="792" t="s">
        <v>2437</v>
      </c>
      <c r="AU101" s="567" t="s">
        <v>2496</v>
      </c>
      <c r="AV101" s="535"/>
    </row>
    <row r="102" spans="1:48" ht="68.400000000000006" customHeight="1" thickBot="1" x14ac:dyDescent="0.4">
      <c r="A102" s="155"/>
      <c r="B102" s="173" t="s">
        <v>889</v>
      </c>
      <c r="C102" s="223" t="s">
        <v>1333</v>
      </c>
      <c r="D102" s="224" t="s">
        <v>825</v>
      </c>
      <c r="E102" s="228">
        <v>0.2</v>
      </c>
      <c r="F102" s="226">
        <v>4</v>
      </c>
      <c r="G102" s="170">
        <v>1</v>
      </c>
      <c r="H102" s="170">
        <v>1</v>
      </c>
      <c r="I102" s="170">
        <v>1</v>
      </c>
      <c r="J102" s="176">
        <f>+G102/F102</f>
        <v>0.25</v>
      </c>
      <c r="K102" s="176">
        <f t="shared" si="124"/>
        <v>0.25</v>
      </c>
      <c r="L102" s="176"/>
      <c r="M102" s="176">
        <f>+(G102/F102)*E102</f>
        <v>0.05</v>
      </c>
      <c r="N102" s="176">
        <f t="shared" si="125"/>
        <v>0.05</v>
      </c>
      <c r="O102" s="176"/>
      <c r="P102" s="170">
        <v>1.3892</v>
      </c>
      <c r="Q102" s="541">
        <v>2.1442000000000001</v>
      </c>
      <c r="R102" s="541">
        <v>33.701999999999998</v>
      </c>
      <c r="S102" s="541">
        <v>39.475999999999999</v>
      </c>
      <c r="T102" s="541">
        <v>8.157</v>
      </c>
      <c r="U102" s="541"/>
      <c r="V102" s="170">
        <f t="shared" si="82"/>
        <v>83.479199999999992</v>
      </c>
      <c r="W102" s="170">
        <f t="shared" ref="W102:W104" si="132">+V102+P102+AB102</f>
        <v>103.04979999999999</v>
      </c>
      <c r="X102" s="541">
        <v>18.1814</v>
      </c>
      <c r="Y102" s="170"/>
      <c r="Z102" s="170"/>
      <c r="AA102" s="170"/>
      <c r="AB102" s="170">
        <f t="shared" si="129"/>
        <v>18.1814</v>
      </c>
      <c r="AC102" s="194">
        <v>1</v>
      </c>
      <c r="AD102" s="194">
        <v>1</v>
      </c>
      <c r="AE102" s="194">
        <v>1</v>
      </c>
      <c r="AF102" s="194">
        <f>+AC102*E102</f>
        <v>0.2</v>
      </c>
      <c r="AG102" s="194">
        <f>+AD102*E102</f>
        <v>0.2</v>
      </c>
      <c r="AH102" s="194">
        <f t="shared" si="130"/>
        <v>0.2</v>
      </c>
      <c r="AI102" s="194">
        <f>+P102/F102</f>
        <v>0.3473</v>
      </c>
      <c r="AJ102" s="230">
        <v>1</v>
      </c>
      <c r="AK102" s="230">
        <v>1</v>
      </c>
      <c r="AL102" s="230">
        <f>+AI102*E102</f>
        <v>6.9460000000000008E-2</v>
      </c>
      <c r="AM102" s="230">
        <f>+AJ102*E102</f>
        <v>0.2</v>
      </c>
      <c r="AN102" s="230">
        <f t="shared" si="131"/>
        <v>0.2</v>
      </c>
      <c r="AO102" s="649" t="s">
        <v>1852</v>
      </c>
      <c r="AP102" s="573" t="s">
        <v>1865</v>
      </c>
      <c r="AQ102" s="535"/>
      <c r="AR102" s="573" t="s">
        <v>2323</v>
      </c>
      <c r="AS102" s="567" t="s">
        <v>2425</v>
      </c>
      <c r="AT102" s="792" t="s">
        <v>2437</v>
      </c>
      <c r="AU102" s="573" t="s">
        <v>2323</v>
      </c>
      <c r="AV102" s="535"/>
    </row>
    <row r="103" spans="1:48" ht="118.95" customHeight="1" thickBot="1" x14ac:dyDescent="0.4">
      <c r="A103" s="155"/>
      <c r="B103" s="173" t="s">
        <v>890</v>
      </c>
      <c r="C103" s="223" t="s">
        <v>1334</v>
      </c>
      <c r="D103" s="224" t="s">
        <v>825</v>
      </c>
      <c r="E103" s="228">
        <v>0.2</v>
      </c>
      <c r="F103" s="226">
        <v>3</v>
      </c>
      <c r="G103" s="170">
        <v>0</v>
      </c>
      <c r="H103" s="170">
        <v>1</v>
      </c>
      <c r="I103" s="170">
        <v>1</v>
      </c>
      <c r="J103" s="176">
        <v>0</v>
      </c>
      <c r="K103" s="176">
        <f t="shared" si="124"/>
        <v>0.33333333333333331</v>
      </c>
      <c r="L103" s="176"/>
      <c r="M103" s="176"/>
      <c r="N103" s="176">
        <f t="shared" si="125"/>
        <v>6.6666666666666666E-2</v>
      </c>
      <c r="O103" s="176"/>
      <c r="P103" s="170"/>
      <c r="Q103" s="541">
        <v>0</v>
      </c>
      <c r="R103" s="541">
        <v>3</v>
      </c>
      <c r="S103" s="541">
        <v>0</v>
      </c>
      <c r="T103" s="541">
        <v>1</v>
      </c>
      <c r="U103" s="236"/>
      <c r="V103" s="170">
        <f t="shared" si="82"/>
        <v>4</v>
      </c>
      <c r="W103" s="170">
        <f t="shared" si="132"/>
        <v>6</v>
      </c>
      <c r="X103" s="541">
        <v>2</v>
      </c>
      <c r="Y103" s="170"/>
      <c r="Z103" s="170"/>
      <c r="AA103" s="170"/>
      <c r="AB103" s="170">
        <f t="shared" si="129"/>
        <v>2</v>
      </c>
      <c r="AC103" s="194"/>
      <c r="AD103" s="194">
        <v>1</v>
      </c>
      <c r="AE103" s="194">
        <v>1</v>
      </c>
      <c r="AF103" s="194">
        <v>0</v>
      </c>
      <c r="AG103" s="194">
        <f>+AD103*E103</f>
        <v>0.2</v>
      </c>
      <c r="AH103" s="194">
        <f t="shared" si="130"/>
        <v>0.2</v>
      </c>
      <c r="AI103" s="194">
        <v>0</v>
      </c>
      <c r="AJ103" s="230">
        <v>1</v>
      </c>
      <c r="AK103" s="230">
        <v>1</v>
      </c>
      <c r="AL103" s="230">
        <v>0</v>
      </c>
      <c r="AM103" s="230">
        <f>+AJ103*E103</f>
        <v>0.2</v>
      </c>
      <c r="AN103" s="230">
        <f t="shared" si="131"/>
        <v>0.2</v>
      </c>
      <c r="AO103" s="649" t="s">
        <v>1852</v>
      </c>
      <c r="AP103" s="571" t="s">
        <v>1892</v>
      </c>
      <c r="AQ103" s="567" t="s">
        <v>2276</v>
      </c>
      <c r="AR103" s="571" t="s">
        <v>2324</v>
      </c>
      <c r="AS103" s="567" t="s">
        <v>2425</v>
      </c>
      <c r="AT103" s="792" t="s">
        <v>2437</v>
      </c>
      <c r="AU103" s="573" t="s">
        <v>2323</v>
      </c>
      <c r="AV103" s="535"/>
    </row>
    <row r="104" spans="1:48" ht="82.95" customHeight="1" thickBot="1" x14ac:dyDescent="0.4">
      <c r="A104" s="155"/>
      <c r="B104" s="173" t="s">
        <v>891</v>
      </c>
      <c r="C104" s="223" t="s">
        <v>1335</v>
      </c>
      <c r="D104" s="224" t="s">
        <v>825</v>
      </c>
      <c r="E104" s="228">
        <v>0.3</v>
      </c>
      <c r="F104" s="226">
        <v>7</v>
      </c>
      <c r="G104" s="170">
        <v>1.75</v>
      </c>
      <c r="H104" s="170">
        <v>1.75</v>
      </c>
      <c r="I104" s="170">
        <v>1.75</v>
      </c>
      <c r="J104" s="176">
        <f>+G104/F104</f>
        <v>0.25</v>
      </c>
      <c r="K104" s="176">
        <f t="shared" si="124"/>
        <v>0.25</v>
      </c>
      <c r="L104" s="176"/>
      <c r="M104" s="176">
        <f>+(G104/F104)*E104</f>
        <v>7.4999999999999997E-2</v>
      </c>
      <c r="N104" s="176">
        <f t="shared" si="125"/>
        <v>7.4999999999999997E-2</v>
      </c>
      <c r="O104" s="176"/>
      <c r="P104" s="170">
        <v>2.65</v>
      </c>
      <c r="Q104" s="541">
        <v>3.198</v>
      </c>
      <c r="R104" s="541">
        <v>7.8051000000000004</v>
      </c>
      <c r="S104" s="541">
        <v>0</v>
      </c>
      <c r="T104" s="541">
        <v>0</v>
      </c>
      <c r="U104" s="236"/>
      <c r="V104" s="170">
        <f>+Q104+R104</f>
        <v>11.0031</v>
      </c>
      <c r="W104" s="170">
        <f t="shared" si="132"/>
        <v>13.6531</v>
      </c>
      <c r="X104" s="541">
        <v>0</v>
      </c>
      <c r="Y104" s="170"/>
      <c r="Z104" s="170"/>
      <c r="AA104" s="170"/>
      <c r="AB104" s="170">
        <f t="shared" si="129"/>
        <v>0</v>
      </c>
      <c r="AC104" s="194">
        <v>1</v>
      </c>
      <c r="AD104" s="194">
        <v>1</v>
      </c>
      <c r="AE104" s="194">
        <f t="shared" ref="AE104" si="133">+AB104/I104</f>
        <v>0</v>
      </c>
      <c r="AF104" s="194">
        <f>+AC104*E104</f>
        <v>0.3</v>
      </c>
      <c r="AG104" s="194">
        <f>+AD104*E104</f>
        <v>0.3</v>
      </c>
      <c r="AH104" s="194">
        <f t="shared" si="130"/>
        <v>0</v>
      </c>
      <c r="AI104" s="194">
        <f>+P104/F104</f>
        <v>0.37857142857142856</v>
      </c>
      <c r="AJ104" s="230">
        <v>1</v>
      </c>
      <c r="AK104" s="230">
        <v>1</v>
      </c>
      <c r="AL104" s="230">
        <f>+AI104*E104</f>
        <v>0.11357142857142856</v>
      </c>
      <c r="AM104" s="230">
        <f>+AJ104*E104</f>
        <v>0.3</v>
      </c>
      <c r="AN104" s="230">
        <f t="shared" si="131"/>
        <v>0.3</v>
      </c>
      <c r="AO104" s="649" t="s">
        <v>1852</v>
      </c>
      <c r="AP104" s="571" t="s">
        <v>1892</v>
      </c>
      <c r="AQ104" s="535"/>
      <c r="AR104" s="571" t="s">
        <v>2324</v>
      </c>
      <c r="AS104" s="567" t="s">
        <v>2425</v>
      </c>
      <c r="AT104" s="792" t="s">
        <v>2437</v>
      </c>
      <c r="AU104" s="573" t="s">
        <v>2323</v>
      </c>
      <c r="AV104" s="535"/>
    </row>
    <row r="105" spans="1:48" ht="86.25" customHeight="1" thickBot="1" x14ac:dyDescent="0.4">
      <c r="A105" s="155"/>
      <c r="B105" s="1557" t="s">
        <v>1814</v>
      </c>
      <c r="C105" s="1571"/>
      <c r="D105" s="231"/>
      <c r="E105" s="232">
        <v>0.15</v>
      </c>
      <c r="F105" s="226"/>
      <c r="G105" s="163"/>
      <c r="H105" s="163"/>
      <c r="I105" s="163"/>
      <c r="J105" s="169">
        <f>+AVERAGE(J106:J108)</f>
        <v>0.25</v>
      </c>
      <c r="K105" s="169"/>
      <c r="L105" s="169">
        <f>+AVERAGE(L106:L108)</f>
        <v>0.39999999999999997</v>
      </c>
      <c r="M105" s="169">
        <f>+M106+M107+M108</f>
        <v>0.25</v>
      </c>
      <c r="N105" s="169"/>
      <c r="O105" s="169"/>
      <c r="P105" s="168"/>
      <c r="Q105" s="168"/>
      <c r="R105" s="168"/>
      <c r="S105" s="168"/>
      <c r="T105" s="168"/>
      <c r="U105" s="987"/>
      <c r="V105" s="168"/>
      <c r="W105" s="168"/>
      <c r="X105" s="168"/>
      <c r="Y105" s="168"/>
      <c r="Z105" s="168"/>
      <c r="AA105" s="168"/>
      <c r="AB105" s="168"/>
      <c r="AC105" s="192">
        <f>+AVERAGE(AC106:AC108)</f>
        <v>0</v>
      </c>
      <c r="AD105" s="192">
        <f>+AVERAGE(AD106:AD108)</f>
        <v>0.97499999999999998</v>
      </c>
      <c r="AE105" s="192">
        <f>+AVERAGE(AE106:AE108)</f>
        <v>0</v>
      </c>
      <c r="AF105" s="192">
        <f>+(AF106+AF107+AF108)*E105</f>
        <v>0</v>
      </c>
      <c r="AG105" s="192"/>
      <c r="AH105" s="192">
        <f>+(AH106+AH107+AH108)*E105</f>
        <v>0</v>
      </c>
      <c r="AI105" s="169">
        <f>+AVERAGE(AI106:AI108)</f>
        <v>0</v>
      </c>
      <c r="AJ105" s="169">
        <v>0.19499999999999998</v>
      </c>
      <c r="AK105" s="169">
        <f>+AVERAGE(AK106:AK108)</f>
        <v>0.19499999999999998</v>
      </c>
      <c r="AL105" s="222">
        <f>+(AL106+AL107+AL108)*E105</f>
        <v>0</v>
      </c>
      <c r="AM105" s="222">
        <f>+(AM106+AM107+AM108)</f>
        <v>0.26324999999999998</v>
      </c>
      <c r="AN105" s="222">
        <f>+(AN106+AN107+AN108)</f>
        <v>0.26324999999999998</v>
      </c>
      <c r="AO105" s="913"/>
      <c r="AP105" s="535"/>
      <c r="AQ105" s="535"/>
      <c r="AR105" s="535"/>
      <c r="AS105" s="535"/>
      <c r="AT105" s="1135"/>
      <c r="AU105" s="535"/>
      <c r="AV105" s="535"/>
    </row>
    <row r="106" spans="1:48" ht="88.95" customHeight="1" thickBot="1" x14ac:dyDescent="0.4">
      <c r="A106" s="155"/>
      <c r="B106" s="173" t="s">
        <v>892</v>
      </c>
      <c r="C106" s="223" t="s">
        <v>1336</v>
      </c>
      <c r="D106" s="231" t="s">
        <v>863</v>
      </c>
      <c r="E106" s="228">
        <v>0.3</v>
      </c>
      <c r="F106" s="226">
        <v>2</v>
      </c>
      <c r="G106" s="607">
        <v>0.5</v>
      </c>
      <c r="H106" s="608">
        <v>0</v>
      </c>
      <c r="I106" s="1131">
        <v>1</v>
      </c>
      <c r="J106" s="176">
        <f>+G106/F106</f>
        <v>0.25</v>
      </c>
      <c r="K106" s="176"/>
      <c r="L106" s="176">
        <f t="shared" ref="L106:L108" si="134">+I106/F106</f>
        <v>0.5</v>
      </c>
      <c r="M106" s="176">
        <f>+(G106/F106)*E106</f>
        <v>7.4999999999999997E-2</v>
      </c>
      <c r="N106" s="176"/>
      <c r="O106" s="176"/>
      <c r="P106" s="170">
        <v>0</v>
      </c>
      <c r="Q106" s="541">
        <v>0</v>
      </c>
      <c r="R106" s="541">
        <v>0</v>
      </c>
      <c r="S106" s="541">
        <v>0</v>
      </c>
      <c r="T106" s="541">
        <v>0</v>
      </c>
      <c r="U106" s="541">
        <v>0</v>
      </c>
      <c r="V106" s="170">
        <f>+Q106+R106+S106+T106+U106</f>
        <v>0</v>
      </c>
      <c r="W106" s="170">
        <f>+V106+P106+AB106</f>
        <v>0</v>
      </c>
      <c r="X106" s="541">
        <v>0</v>
      </c>
      <c r="Y106" s="170"/>
      <c r="Z106" s="170"/>
      <c r="AA106" s="170"/>
      <c r="AB106" s="170">
        <f t="shared" ref="AB106:AB134" si="135">+X106+Y106+Z106+AA106</f>
        <v>0</v>
      </c>
      <c r="AC106" s="194">
        <f>+(P106/G106)</f>
        <v>0</v>
      </c>
      <c r="AD106" s="194"/>
      <c r="AE106" s="194">
        <f t="shared" ref="AE106:AE108" si="136">+AB106/I106</f>
        <v>0</v>
      </c>
      <c r="AF106" s="194">
        <f>+AC106*E106</f>
        <v>0</v>
      </c>
      <c r="AG106" s="194"/>
      <c r="AH106" s="194">
        <f t="shared" ref="AH106:AH108" si="137">+AE106*E106</f>
        <v>0</v>
      </c>
      <c r="AI106" s="194">
        <f>+P106/F106</f>
        <v>0</v>
      </c>
      <c r="AJ106" s="230">
        <v>0</v>
      </c>
      <c r="AK106" s="230">
        <f t="shared" ref="AK106:AK108" si="138">+W106/F106</f>
        <v>0</v>
      </c>
      <c r="AL106" s="230">
        <f>+AI106*E106</f>
        <v>0</v>
      </c>
      <c r="AM106" s="230">
        <f>+AJ106*E106</f>
        <v>0</v>
      </c>
      <c r="AN106" s="230">
        <f t="shared" ref="AN106:AN108" si="139">+AK106*E106</f>
        <v>0</v>
      </c>
      <c r="AO106" s="649" t="s">
        <v>1852</v>
      </c>
      <c r="AP106" s="571" t="s">
        <v>1892</v>
      </c>
      <c r="AQ106" s="567" t="s">
        <v>2276</v>
      </c>
      <c r="AR106" s="571" t="s">
        <v>2288</v>
      </c>
      <c r="AS106" s="571" t="s">
        <v>2403</v>
      </c>
      <c r="AT106" s="792" t="s">
        <v>2437</v>
      </c>
      <c r="AU106" s="567" t="s">
        <v>2496</v>
      </c>
      <c r="AV106" s="535"/>
    </row>
    <row r="107" spans="1:48" ht="54" customHeight="1" thickBot="1" x14ac:dyDescent="0.4">
      <c r="A107" s="155"/>
      <c r="B107" s="173" t="s">
        <v>893</v>
      </c>
      <c r="C107" s="223" t="s">
        <v>1337</v>
      </c>
      <c r="D107" s="231" t="s">
        <v>863</v>
      </c>
      <c r="E107" s="228">
        <v>0.45</v>
      </c>
      <c r="F107" s="226">
        <v>10</v>
      </c>
      <c r="G107" s="607">
        <v>2.5</v>
      </c>
      <c r="H107" s="608">
        <v>6</v>
      </c>
      <c r="I107" s="531">
        <v>2</v>
      </c>
      <c r="J107" s="176">
        <f>+G107/F107</f>
        <v>0.25</v>
      </c>
      <c r="K107" s="176"/>
      <c r="L107" s="176">
        <f t="shared" si="134"/>
        <v>0.2</v>
      </c>
      <c r="M107" s="176">
        <f>+(G107/F107)*E107</f>
        <v>0.1125</v>
      </c>
      <c r="N107" s="176"/>
      <c r="O107" s="176"/>
      <c r="P107" s="170">
        <v>0</v>
      </c>
      <c r="Q107" s="541"/>
      <c r="R107" s="541">
        <v>0</v>
      </c>
      <c r="S107" s="541">
        <v>2.5</v>
      </c>
      <c r="T107" s="541">
        <v>1</v>
      </c>
      <c r="U107" s="541">
        <v>2.35</v>
      </c>
      <c r="V107" s="170">
        <f>+Q107+R107+S107+T107+U107</f>
        <v>5.85</v>
      </c>
      <c r="W107" s="170">
        <f t="shared" ref="W107:W108" si="140">+V107+P107+AB107</f>
        <v>5.85</v>
      </c>
      <c r="X107" s="541">
        <v>0</v>
      </c>
      <c r="Y107" s="170"/>
      <c r="Z107" s="170"/>
      <c r="AA107" s="170"/>
      <c r="AB107" s="170">
        <f t="shared" si="135"/>
        <v>0</v>
      </c>
      <c r="AC107" s="194">
        <f>+(P107/G107)</f>
        <v>0</v>
      </c>
      <c r="AD107" s="194">
        <f>+V107/H107</f>
        <v>0.97499999999999998</v>
      </c>
      <c r="AE107" s="194">
        <f t="shared" si="136"/>
        <v>0</v>
      </c>
      <c r="AF107" s="194">
        <f>+AC107*E107</f>
        <v>0</v>
      </c>
      <c r="AG107" s="194"/>
      <c r="AH107" s="194">
        <f t="shared" si="137"/>
        <v>0</v>
      </c>
      <c r="AI107" s="194">
        <f>+P107/F107</f>
        <v>0</v>
      </c>
      <c r="AJ107" s="230">
        <v>0.58499999999999996</v>
      </c>
      <c r="AK107" s="230">
        <f t="shared" si="138"/>
        <v>0.58499999999999996</v>
      </c>
      <c r="AL107" s="230">
        <f>+AI107*E107</f>
        <v>0</v>
      </c>
      <c r="AM107" s="230">
        <f>+AJ107*E107</f>
        <v>0.26324999999999998</v>
      </c>
      <c r="AN107" s="230">
        <f t="shared" si="139"/>
        <v>0.26324999999999998</v>
      </c>
      <c r="AO107" s="649" t="s">
        <v>1852</v>
      </c>
      <c r="AP107" s="571" t="s">
        <v>1892</v>
      </c>
      <c r="AQ107" s="567" t="s">
        <v>2276</v>
      </c>
      <c r="AR107" s="571" t="s">
        <v>2288</v>
      </c>
      <c r="AS107" s="686" t="s">
        <v>2381</v>
      </c>
      <c r="AT107" s="792" t="s">
        <v>2437</v>
      </c>
      <c r="AU107" s="567" t="s">
        <v>2496</v>
      </c>
      <c r="AV107" s="535"/>
    </row>
    <row r="108" spans="1:48" ht="79.2" customHeight="1" thickBot="1" x14ac:dyDescent="0.4">
      <c r="A108" s="155"/>
      <c r="B108" s="173" t="s">
        <v>894</v>
      </c>
      <c r="C108" s="223" t="s">
        <v>1338</v>
      </c>
      <c r="D108" s="231" t="s">
        <v>863</v>
      </c>
      <c r="E108" s="228">
        <v>0.25</v>
      </c>
      <c r="F108" s="226">
        <v>10000</v>
      </c>
      <c r="G108" s="607">
        <v>2500</v>
      </c>
      <c r="H108" s="608">
        <v>0</v>
      </c>
      <c r="I108" s="1131">
        <v>5000</v>
      </c>
      <c r="J108" s="176">
        <f>+G108/F108</f>
        <v>0.25</v>
      </c>
      <c r="K108" s="176"/>
      <c r="L108" s="176">
        <f t="shared" si="134"/>
        <v>0.5</v>
      </c>
      <c r="M108" s="176">
        <f>+(G108/F108)*E108</f>
        <v>6.25E-2</v>
      </c>
      <c r="N108" s="176"/>
      <c r="O108" s="176"/>
      <c r="P108" s="170">
        <v>0</v>
      </c>
      <c r="Q108" s="541"/>
      <c r="R108" s="541">
        <v>0</v>
      </c>
      <c r="S108" s="541">
        <v>0</v>
      </c>
      <c r="T108" s="541">
        <v>0</v>
      </c>
      <c r="U108" s="541">
        <v>0</v>
      </c>
      <c r="V108" s="170">
        <f t="shared" ref="V108:V170" si="141">+Q108+R108+S108+T108+U108</f>
        <v>0</v>
      </c>
      <c r="W108" s="170">
        <f t="shared" si="140"/>
        <v>0</v>
      </c>
      <c r="X108" s="541">
        <v>0</v>
      </c>
      <c r="Y108" s="170"/>
      <c r="Z108" s="170"/>
      <c r="AA108" s="170"/>
      <c r="AB108" s="170">
        <f t="shared" si="135"/>
        <v>0</v>
      </c>
      <c r="AC108" s="194">
        <f>+(P108/G108)</f>
        <v>0</v>
      </c>
      <c r="AD108" s="194"/>
      <c r="AE108" s="194">
        <f t="shared" si="136"/>
        <v>0</v>
      </c>
      <c r="AF108" s="194">
        <f>+AC108*E108</f>
        <v>0</v>
      </c>
      <c r="AG108" s="194"/>
      <c r="AH108" s="194">
        <f t="shared" si="137"/>
        <v>0</v>
      </c>
      <c r="AI108" s="194">
        <f>+P108/F108</f>
        <v>0</v>
      </c>
      <c r="AJ108" s="230">
        <v>0</v>
      </c>
      <c r="AK108" s="230">
        <f t="shared" si="138"/>
        <v>0</v>
      </c>
      <c r="AL108" s="230">
        <f>+AI108*E108</f>
        <v>0</v>
      </c>
      <c r="AM108" s="230">
        <f>+AJ108*E108</f>
        <v>0</v>
      </c>
      <c r="AN108" s="230">
        <f t="shared" si="139"/>
        <v>0</v>
      </c>
      <c r="AO108" s="649" t="s">
        <v>1852</v>
      </c>
      <c r="AP108" s="571" t="s">
        <v>1892</v>
      </c>
      <c r="AQ108" s="567" t="s">
        <v>2276</v>
      </c>
      <c r="AR108" s="571" t="s">
        <v>2288</v>
      </c>
      <c r="AS108" s="571" t="s">
        <v>2403</v>
      </c>
      <c r="AT108" s="792" t="s">
        <v>2437</v>
      </c>
      <c r="AU108" s="567" t="s">
        <v>2496</v>
      </c>
      <c r="AV108" s="535"/>
    </row>
    <row r="109" spans="1:48" ht="57" customHeight="1" thickBot="1" x14ac:dyDescent="0.4">
      <c r="A109" s="155"/>
      <c r="B109" s="1557" t="s">
        <v>1744</v>
      </c>
      <c r="C109" s="1571"/>
      <c r="D109" s="231"/>
      <c r="E109" s="232">
        <v>0.15</v>
      </c>
      <c r="F109" s="226"/>
      <c r="G109" s="163"/>
      <c r="H109" s="163"/>
      <c r="I109" s="163"/>
      <c r="J109" s="169">
        <f>+AVERAGE(J110:J120)</f>
        <v>0.30482468088463477</v>
      </c>
      <c r="K109" s="169">
        <f>+AVERAGE(K110:K120)</f>
        <v>0.4002361439382689</v>
      </c>
      <c r="L109" s="169">
        <f>+AVERAGE(L110:L120)</f>
        <v>0.38997529365523997</v>
      </c>
      <c r="M109" s="169">
        <f>+M110+M111+M112+M113+M114+M115+M116+M117+M118+M119+M120</f>
        <v>0.23385974470770779</v>
      </c>
      <c r="N109" s="169">
        <f>+N110+N111+N112+N113+N114+N115+N116+N117+N118+N119+N120</f>
        <v>0.3918847583320958</v>
      </c>
      <c r="O109" s="169"/>
      <c r="P109" s="168"/>
      <c r="Q109" s="168"/>
      <c r="R109" s="168"/>
      <c r="S109" s="168"/>
      <c r="T109" s="168"/>
      <c r="U109" s="987"/>
      <c r="V109" s="170"/>
      <c r="W109" s="168"/>
      <c r="X109" s="168"/>
      <c r="Y109" s="168"/>
      <c r="Z109" s="168"/>
      <c r="AA109" s="168"/>
      <c r="AB109" s="170"/>
      <c r="AC109" s="192">
        <f>+AVERAGE(AC110:AC120)</f>
        <v>0.87337500000000001</v>
      </c>
      <c r="AD109" s="192">
        <f>+AVERAGE(AD110:AD120)</f>
        <v>0.73092473296424987</v>
      </c>
      <c r="AE109" s="192">
        <f>+AVERAGE(AE110:AE120)</f>
        <v>6.6666666666666666E-2</v>
      </c>
      <c r="AF109" s="192">
        <f>+(AF110+AF111+AF112+AF113+AF114+AF115+AF116+AF117+AF118+AF119+AF120)*E109</f>
        <v>0.104805</v>
      </c>
      <c r="AG109" s="192">
        <f>+(AG110+AG111+AG112+AG113+AG114+AG115+AG116+AG117+AG118+AG119+AG120)*E109</f>
        <v>0.11448921460246757</v>
      </c>
      <c r="AH109" s="192">
        <f>+(AH110+AH111+AH112+AH113+AH114+AH115+AH116+AH117+AH118+AH119+AH120)*E109</f>
        <v>1.7999999999999999E-2</v>
      </c>
      <c r="AI109" s="169">
        <f>+AVERAGE(AI110:AI120)</f>
        <v>0.296857707518147</v>
      </c>
      <c r="AJ109" s="169">
        <v>0.56493453358717383</v>
      </c>
      <c r="AK109" s="169">
        <f>+AVERAGE(AK110:AK120)</f>
        <v>0.57857089722353749</v>
      </c>
      <c r="AL109" s="222">
        <f>+(AL110+AL111+AL112+AL113+AL114+AL115+AL116+AL117+AL118+AL119+AL120)*E109</f>
        <v>3.3372924902177636E-2</v>
      </c>
      <c r="AM109" s="222">
        <f>+(AM110+AM111+AM112+AM113+AM114+AM115+AM116+AM117+AM118+AM119+AM120)</f>
        <v>0.57192798694589131</v>
      </c>
      <c r="AN109" s="222">
        <f>+(AN110+AN111+AN112+AN113+AN114+AN115+AN116+AN117+AN118+AN119+AN120)</f>
        <v>0.60192798694589134</v>
      </c>
      <c r="AO109" s="913"/>
      <c r="AP109" s="721"/>
      <c r="AQ109" s="535"/>
      <c r="AR109" s="535"/>
      <c r="AS109" s="535"/>
      <c r="AT109" s="1135"/>
      <c r="AU109" s="535"/>
      <c r="AV109" s="535"/>
    </row>
    <row r="110" spans="1:48" ht="65.400000000000006" customHeight="1" thickBot="1" x14ac:dyDescent="0.4">
      <c r="A110" s="155"/>
      <c r="B110" s="173" t="s">
        <v>895</v>
      </c>
      <c r="C110" s="223" t="s">
        <v>1339</v>
      </c>
      <c r="D110" s="231" t="s">
        <v>48</v>
      </c>
      <c r="E110" s="228">
        <v>0.1</v>
      </c>
      <c r="F110" s="226">
        <v>2289</v>
      </c>
      <c r="G110" s="170">
        <v>570</v>
      </c>
      <c r="H110" s="170">
        <v>493</v>
      </c>
      <c r="I110" s="170">
        <v>600</v>
      </c>
      <c r="J110" s="176">
        <f t="shared" ref="J110:J120" si="142">+G110/F110</f>
        <v>0.24901703800786371</v>
      </c>
      <c r="K110" s="176">
        <f t="shared" si="124"/>
        <v>0.21537789427697684</v>
      </c>
      <c r="L110" s="176">
        <f t="shared" ref="L110:L120" si="143">+I110/F110</f>
        <v>0.26212319790301442</v>
      </c>
      <c r="M110" s="176">
        <f t="shared" ref="M110:M120" si="144">+(G110/F110)*E110</f>
        <v>2.4901703800786372E-2</v>
      </c>
      <c r="N110" s="176">
        <f t="shared" si="125"/>
        <v>2.1537789427697684E-2</v>
      </c>
      <c r="O110" s="176"/>
      <c r="P110" s="170">
        <v>647</v>
      </c>
      <c r="Q110" s="541">
        <v>153</v>
      </c>
      <c r="R110" s="541">
        <v>238</v>
      </c>
      <c r="S110" s="541">
        <v>1</v>
      </c>
      <c r="T110" s="541">
        <v>0</v>
      </c>
      <c r="U110" s="541">
        <v>0</v>
      </c>
      <c r="V110" s="170">
        <f>+Q110+R110+S110+T110+U110</f>
        <v>392</v>
      </c>
      <c r="W110" s="206">
        <f>+V110+P110+AB110</f>
        <v>1039</v>
      </c>
      <c r="X110" s="541">
        <v>0</v>
      </c>
      <c r="Y110" s="170"/>
      <c r="Z110" s="170"/>
      <c r="AA110" s="170"/>
      <c r="AB110" s="170">
        <f t="shared" si="135"/>
        <v>0</v>
      </c>
      <c r="AC110" s="194">
        <v>1</v>
      </c>
      <c r="AD110" s="194">
        <f>+V110/H110</f>
        <v>0.79513184584178498</v>
      </c>
      <c r="AE110" s="194">
        <f t="shared" ref="AE110:AE120" si="145">+AB110/I110</f>
        <v>0</v>
      </c>
      <c r="AF110" s="194">
        <f>+AC110*E110</f>
        <v>0.1</v>
      </c>
      <c r="AG110" s="194">
        <f t="shared" ref="AG110:AG120" si="146">+AD110*E110</f>
        <v>7.9513184584178498E-2</v>
      </c>
      <c r="AH110" s="194">
        <f t="shared" ref="AH110:AH120" si="147">+AE110*E110</f>
        <v>0</v>
      </c>
      <c r="AI110" s="194">
        <f>+P110/F110</f>
        <v>0.28265618173875057</v>
      </c>
      <c r="AJ110" s="230">
        <v>0.45391000436871998</v>
      </c>
      <c r="AK110" s="230">
        <f t="shared" ref="AK110:AK120" si="148">+W110/F110</f>
        <v>0.45391000436871998</v>
      </c>
      <c r="AL110" s="230">
        <f>+AI110*E110</f>
        <v>2.8265618173875059E-2</v>
      </c>
      <c r="AM110" s="230">
        <f t="shared" ref="AM110:AM120" si="149">+AJ110*E110</f>
        <v>4.5391000436871998E-2</v>
      </c>
      <c r="AN110" s="230">
        <f t="shared" ref="AN110:AN120" si="150">+AK110*E110</f>
        <v>4.5391000436871998E-2</v>
      </c>
      <c r="AO110" s="649" t="s">
        <v>1852</v>
      </c>
      <c r="AP110" s="571" t="s">
        <v>1892</v>
      </c>
      <c r="AQ110" s="571" t="s">
        <v>2268</v>
      </c>
      <c r="AR110" s="571" t="s">
        <v>2288</v>
      </c>
      <c r="AS110" s="571" t="s">
        <v>2403</v>
      </c>
      <c r="AT110" s="792" t="s">
        <v>2437</v>
      </c>
      <c r="AU110" s="567" t="s">
        <v>2496</v>
      </c>
      <c r="AV110" s="567" t="s">
        <v>1893</v>
      </c>
    </row>
    <row r="111" spans="1:48" ht="69" customHeight="1" thickBot="1" x14ac:dyDescent="0.4">
      <c r="A111" s="155"/>
      <c r="B111" s="173" t="s">
        <v>896</v>
      </c>
      <c r="C111" s="223" t="s">
        <v>1536</v>
      </c>
      <c r="D111" s="231" t="s">
        <v>48</v>
      </c>
      <c r="E111" s="228">
        <v>0.1</v>
      </c>
      <c r="F111" s="226">
        <v>190.58</v>
      </c>
      <c r="G111" s="170">
        <v>30</v>
      </c>
      <c r="H111" s="170">
        <v>70.39</v>
      </c>
      <c r="I111" s="170">
        <v>76.39</v>
      </c>
      <c r="J111" s="176">
        <f t="shared" si="142"/>
        <v>0.15741420925595551</v>
      </c>
      <c r="K111" s="176">
        <f t="shared" si="124"/>
        <v>0.36934620631755694</v>
      </c>
      <c r="L111" s="176">
        <f t="shared" si="143"/>
        <v>0.40082904816874804</v>
      </c>
      <c r="M111" s="176">
        <f t="shared" si="144"/>
        <v>1.5741420925595551E-2</v>
      </c>
      <c r="N111" s="176">
        <f t="shared" si="125"/>
        <v>3.6934620631755698E-2</v>
      </c>
      <c r="O111" s="176"/>
      <c r="P111" s="170">
        <v>19.61</v>
      </c>
      <c r="Q111" s="541">
        <v>3</v>
      </c>
      <c r="R111" s="541">
        <v>16</v>
      </c>
      <c r="S111" s="541">
        <v>0</v>
      </c>
      <c r="T111" s="541">
        <v>0</v>
      </c>
      <c r="U111" s="541">
        <v>0</v>
      </c>
      <c r="V111" s="170">
        <f t="shared" si="141"/>
        <v>19</v>
      </c>
      <c r="W111" s="206">
        <f t="shared" ref="W111:W120" si="151">+V111+P111+AB111</f>
        <v>38.61</v>
      </c>
      <c r="X111" s="541">
        <v>0</v>
      </c>
      <c r="Y111" s="170"/>
      <c r="Z111" s="170"/>
      <c r="AA111" s="170"/>
      <c r="AB111" s="170">
        <f t="shared" si="135"/>
        <v>0</v>
      </c>
      <c r="AC111" s="194">
        <f>+(P111/G111)</f>
        <v>0.65366666666666662</v>
      </c>
      <c r="AD111" s="194">
        <f>+V111/H111</f>
        <v>0.26992470521380879</v>
      </c>
      <c r="AE111" s="194">
        <f t="shared" si="145"/>
        <v>0</v>
      </c>
      <c r="AF111" s="194">
        <f>+AC111*E111</f>
        <v>6.536666666666667E-2</v>
      </c>
      <c r="AG111" s="194">
        <f t="shared" si="146"/>
        <v>2.699247052138088E-2</v>
      </c>
      <c r="AH111" s="194">
        <f t="shared" si="147"/>
        <v>0</v>
      </c>
      <c r="AI111" s="194">
        <f>+P111/F111</f>
        <v>0.10289642145030957</v>
      </c>
      <c r="AJ111" s="230">
        <v>0.20259208731241471</v>
      </c>
      <c r="AK111" s="230">
        <f t="shared" si="148"/>
        <v>0.20259208731241471</v>
      </c>
      <c r="AL111" s="230">
        <f>+AI111*E111</f>
        <v>1.0289642145030958E-2</v>
      </c>
      <c r="AM111" s="230">
        <f t="shared" si="149"/>
        <v>2.0259208731241471E-2</v>
      </c>
      <c r="AN111" s="230">
        <f t="shared" si="150"/>
        <v>2.0259208731241471E-2</v>
      </c>
      <c r="AO111" s="649" t="s">
        <v>1852</v>
      </c>
      <c r="AP111" s="571" t="s">
        <v>1892</v>
      </c>
      <c r="AQ111" s="571" t="s">
        <v>2268</v>
      </c>
      <c r="AR111" s="571" t="s">
        <v>2288</v>
      </c>
      <c r="AS111" s="571" t="s">
        <v>2403</v>
      </c>
      <c r="AT111" s="792" t="s">
        <v>2437</v>
      </c>
      <c r="AU111" s="567" t="s">
        <v>2496</v>
      </c>
      <c r="AV111" s="567" t="s">
        <v>1893</v>
      </c>
    </row>
    <row r="112" spans="1:48" ht="127.95" customHeight="1" thickBot="1" x14ac:dyDescent="0.4">
      <c r="A112" s="155"/>
      <c r="B112" s="790" t="s">
        <v>897</v>
      </c>
      <c r="C112" s="791" t="s">
        <v>1340</v>
      </c>
      <c r="D112" s="231" t="s">
        <v>1542</v>
      </c>
      <c r="E112" s="228">
        <v>0.05</v>
      </c>
      <c r="F112" s="226">
        <v>20</v>
      </c>
      <c r="G112" s="170">
        <v>0</v>
      </c>
      <c r="H112" s="170">
        <v>10.1</v>
      </c>
      <c r="I112" s="170">
        <f>9.75+10</f>
        <v>19.75</v>
      </c>
      <c r="J112" s="176"/>
      <c r="K112" s="176">
        <f t="shared" si="124"/>
        <v>0.505</v>
      </c>
      <c r="L112" s="176">
        <f t="shared" si="143"/>
        <v>0.98750000000000004</v>
      </c>
      <c r="M112" s="176"/>
      <c r="N112" s="176">
        <f t="shared" si="125"/>
        <v>2.5250000000000002E-2</v>
      </c>
      <c r="O112" s="176"/>
      <c r="P112" s="170"/>
      <c r="Q112" s="541">
        <v>0.1</v>
      </c>
      <c r="R112" s="541">
        <v>0.15</v>
      </c>
      <c r="S112" s="541">
        <v>0</v>
      </c>
      <c r="T112" s="541">
        <v>3</v>
      </c>
      <c r="U112" s="541">
        <v>0</v>
      </c>
      <c r="V112" s="170">
        <f t="shared" si="141"/>
        <v>3.25</v>
      </c>
      <c r="W112" s="206">
        <f t="shared" si="151"/>
        <v>3.25</v>
      </c>
      <c r="X112" s="541">
        <v>0</v>
      </c>
      <c r="Y112" s="170"/>
      <c r="Z112" s="170"/>
      <c r="AA112" s="170"/>
      <c r="AB112" s="170">
        <f t="shared" si="135"/>
        <v>0</v>
      </c>
      <c r="AC112" s="194"/>
      <c r="AD112" s="194">
        <f>+V112/H112</f>
        <v>0.32178217821782179</v>
      </c>
      <c r="AE112" s="194">
        <f t="shared" si="145"/>
        <v>0</v>
      </c>
      <c r="AF112" s="194"/>
      <c r="AG112" s="194">
        <f t="shared" si="146"/>
        <v>1.608910891089109E-2</v>
      </c>
      <c r="AH112" s="194">
        <f t="shared" si="147"/>
        <v>0</v>
      </c>
      <c r="AI112" s="194"/>
      <c r="AJ112" s="230">
        <v>0.16250000000000001</v>
      </c>
      <c r="AK112" s="230">
        <f t="shared" si="148"/>
        <v>0.16250000000000001</v>
      </c>
      <c r="AL112" s="230">
        <v>0</v>
      </c>
      <c r="AM112" s="230">
        <f t="shared" si="149"/>
        <v>8.1250000000000003E-3</v>
      </c>
      <c r="AN112" s="230">
        <f t="shared" si="150"/>
        <v>8.1250000000000003E-3</v>
      </c>
      <c r="AO112" s="649" t="s">
        <v>1856</v>
      </c>
      <c r="AP112" s="573" t="s">
        <v>1899</v>
      </c>
      <c r="AQ112" s="571" t="s">
        <v>2274</v>
      </c>
      <c r="AR112" s="571" t="s">
        <v>2294</v>
      </c>
      <c r="AS112" s="686" t="s">
        <v>2446</v>
      </c>
      <c r="AT112" s="792" t="s">
        <v>2441</v>
      </c>
      <c r="AU112" s="567" t="s">
        <v>2496</v>
      </c>
      <c r="AV112" s="573" t="s">
        <v>2552</v>
      </c>
    </row>
    <row r="113" spans="1:48" ht="50.4" customHeight="1" thickBot="1" x14ac:dyDescent="0.4">
      <c r="A113" s="155"/>
      <c r="B113" s="173" t="s">
        <v>898</v>
      </c>
      <c r="C113" s="223" t="s">
        <v>1341</v>
      </c>
      <c r="D113" s="231" t="s">
        <v>48</v>
      </c>
      <c r="E113" s="228">
        <v>0.2</v>
      </c>
      <c r="F113" s="226">
        <v>1</v>
      </c>
      <c r="G113" s="170">
        <v>0.25</v>
      </c>
      <c r="H113" s="170">
        <v>0.25</v>
      </c>
      <c r="I113" s="170">
        <v>0.25</v>
      </c>
      <c r="J113" s="176">
        <f t="shared" si="142"/>
        <v>0.25</v>
      </c>
      <c r="K113" s="176">
        <f t="shared" si="124"/>
        <v>0.25</v>
      </c>
      <c r="L113" s="176">
        <f t="shared" si="143"/>
        <v>0.25</v>
      </c>
      <c r="M113" s="176">
        <f t="shared" si="144"/>
        <v>0.05</v>
      </c>
      <c r="N113" s="176">
        <f t="shared" si="125"/>
        <v>0.05</v>
      </c>
      <c r="O113" s="176"/>
      <c r="P113" s="170">
        <v>0.25</v>
      </c>
      <c r="Q113" s="541">
        <v>0.15</v>
      </c>
      <c r="R113" s="541">
        <v>0.01</v>
      </c>
      <c r="S113" s="541">
        <v>0</v>
      </c>
      <c r="T113" s="541">
        <v>0.02</v>
      </c>
      <c r="U113" s="541">
        <v>0</v>
      </c>
      <c r="V113" s="170">
        <f t="shared" si="141"/>
        <v>0.18</v>
      </c>
      <c r="W113" s="206">
        <f t="shared" si="151"/>
        <v>0.57999999999999996</v>
      </c>
      <c r="X113" s="541">
        <v>0.15</v>
      </c>
      <c r="Y113" s="170"/>
      <c r="Z113" s="170"/>
      <c r="AA113" s="170"/>
      <c r="AB113" s="170">
        <f t="shared" si="135"/>
        <v>0.15</v>
      </c>
      <c r="AC113" s="194">
        <f>+(P113/G113)</f>
        <v>1</v>
      </c>
      <c r="AD113" s="194">
        <f>+V113/H113</f>
        <v>0.72</v>
      </c>
      <c r="AE113" s="194">
        <f t="shared" si="145"/>
        <v>0.6</v>
      </c>
      <c r="AF113" s="194">
        <f>+AC113*E113</f>
        <v>0.2</v>
      </c>
      <c r="AG113" s="194">
        <f t="shared" si="146"/>
        <v>0.14399999999999999</v>
      </c>
      <c r="AH113" s="194">
        <f t="shared" si="147"/>
        <v>0.12</v>
      </c>
      <c r="AI113" s="194">
        <f>+P113/F113</f>
        <v>0.25</v>
      </c>
      <c r="AJ113" s="230">
        <v>0.43</v>
      </c>
      <c r="AK113" s="230">
        <f t="shared" si="148"/>
        <v>0.57999999999999996</v>
      </c>
      <c r="AL113" s="230">
        <f>+AI113*E113</f>
        <v>0.05</v>
      </c>
      <c r="AM113" s="230">
        <f t="shared" si="149"/>
        <v>8.6000000000000007E-2</v>
      </c>
      <c r="AN113" s="230">
        <f t="shared" si="150"/>
        <v>0.11599999999999999</v>
      </c>
      <c r="AO113" s="649" t="s">
        <v>1852</v>
      </c>
      <c r="AP113" s="571" t="s">
        <v>1892</v>
      </c>
      <c r="AQ113" s="571" t="s">
        <v>2268</v>
      </c>
      <c r="AR113" s="571" t="s">
        <v>2288</v>
      </c>
      <c r="AS113" s="571" t="s">
        <v>2403</v>
      </c>
      <c r="AT113" s="792" t="s">
        <v>2437</v>
      </c>
      <c r="AU113" s="567" t="s">
        <v>2496</v>
      </c>
      <c r="AV113" s="567" t="s">
        <v>1893</v>
      </c>
    </row>
    <row r="114" spans="1:48" ht="58.2" customHeight="1" thickBot="1" x14ac:dyDescent="0.4">
      <c r="A114" s="155"/>
      <c r="B114" s="173" t="s">
        <v>899</v>
      </c>
      <c r="C114" s="223" t="s">
        <v>1342</v>
      </c>
      <c r="D114" s="231" t="s">
        <v>48</v>
      </c>
      <c r="E114" s="228">
        <v>0.1</v>
      </c>
      <c r="F114" s="226">
        <v>14</v>
      </c>
      <c r="G114" s="170">
        <v>3</v>
      </c>
      <c r="H114" s="170">
        <v>5</v>
      </c>
      <c r="I114" s="170">
        <v>4</v>
      </c>
      <c r="J114" s="176">
        <f t="shared" si="142"/>
        <v>0.21428571428571427</v>
      </c>
      <c r="K114" s="176">
        <f t="shared" si="124"/>
        <v>0.35714285714285715</v>
      </c>
      <c r="L114" s="176">
        <f>+I114/F114</f>
        <v>0.2857142857142857</v>
      </c>
      <c r="M114" s="176">
        <f t="shared" si="144"/>
        <v>2.1428571428571429E-2</v>
      </c>
      <c r="N114" s="176">
        <f t="shared" si="125"/>
        <v>3.5714285714285719E-2</v>
      </c>
      <c r="O114" s="176"/>
      <c r="P114" s="170">
        <v>1</v>
      </c>
      <c r="Q114" s="541">
        <v>0</v>
      </c>
      <c r="R114" s="541">
        <v>2</v>
      </c>
      <c r="S114" s="541">
        <v>1</v>
      </c>
      <c r="T114" s="541">
        <v>2</v>
      </c>
      <c r="U114" s="541">
        <v>1</v>
      </c>
      <c r="V114" s="170">
        <f t="shared" si="141"/>
        <v>6</v>
      </c>
      <c r="W114" s="206">
        <f t="shared" si="151"/>
        <v>7</v>
      </c>
      <c r="X114" s="541">
        <v>0</v>
      </c>
      <c r="Y114" s="170"/>
      <c r="Z114" s="170"/>
      <c r="AA114" s="170"/>
      <c r="AB114" s="170">
        <f t="shared" si="135"/>
        <v>0</v>
      </c>
      <c r="AC114" s="194">
        <f>+(P114/G114)</f>
        <v>0.33333333333333331</v>
      </c>
      <c r="AD114" s="194">
        <v>1</v>
      </c>
      <c r="AE114" s="194">
        <f t="shared" si="145"/>
        <v>0</v>
      </c>
      <c r="AF114" s="194">
        <f>+AC114*E114</f>
        <v>3.3333333333333333E-2</v>
      </c>
      <c r="AG114" s="194">
        <f t="shared" si="146"/>
        <v>0.1</v>
      </c>
      <c r="AH114" s="194">
        <f t="shared" si="147"/>
        <v>0</v>
      </c>
      <c r="AI114" s="194">
        <f>+P114/F114</f>
        <v>7.1428571428571425E-2</v>
      </c>
      <c r="AJ114" s="230">
        <v>0.5</v>
      </c>
      <c r="AK114" s="230">
        <f t="shared" si="148"/>
        <v>0.5</v>
      </c>
      <c r="AL114" s="230">
        <f>+AI114*E114</f>
        <v>7.1428571428571426E-3</v>
      </c>
      <c r="AM114" s="230">
        <f t="shared" si="149"/>
        <v>0.05</v>
      </c>
      <c r="AN114" s="230">
        <f t="shared" si="150"/>
        <v>0.05</v>
      </c>
      <c r="AO114" s="649" t="s">
        <v>1852</v>
      </c>
      <c r="AP114" s="571" t="s">
        <v>1893</v>
      </c>
      <c r="AQ114" s="571" t="s">
        <v>2268</v>
      </c>
      <c r="AR114" s="571" t="s">
        <v>2288</v>
      </c>
      <c r="AS114" s="571" t="s">
        <v>2403</v>
      </c>
      <c r="AT114" s="792" t="s">
        <v>2437</v>
      </c>
      <c r="AU114" s="567" t="s">
        <v>2496</v>
      </c>
      <c r="AV114" s="567" t="s">
        <v>1893</v>
      </c>
    </row>
    <row r="115" spans="1:48" ht="54" customHeight="1" thickBot="1" x14ac:dyDescent="0.4">
      <c r="A115" s="155"/>
      <c r="B115" s="173" t="s">
        <v>900</v>
      </c>
      <c r="C115" s="223" t="s">
        <v>1343</v>
      </c>
      <c r="D115" s="231" t="s">
        <v>48</v>
      </c>
      <c r="E115" s="228">
        <v>0.05</v>
      </c>
      <c r="F115" s="226">
        <v>10</v>
      </c>
      <c r="G115" s="170">
        <v>2</v>
      </c>
      <c r="H115" s="170">
        <v>2</v>
      </c>
      <c r="I115" s="170">
        <v>1</v>
      </c>
      <c r="J115" s="176">
        <f t="shared" si="142"/>
        <v>0.2</v>
      </c>
      <c r="K115" s="176">
        <f t="shared" si="124"/>
        <v>0.2</v>
      </c>
      <c r="L115" s="176">
        <f t="shared" si="143"/>
        <v>0.1</v>
      </c>
      <c r="M115" s="176">
        <f t="shared" si="144"/>
        <v>1.0000000000000002E-2</v>
      </c>
      <c r="N115" s="176">
        <f t="shared" si="125"/>
        <v>1.0000000000000002E-2</v>
      </c>
      <c r="O115" s="176"/>
      <c r="P115" s="170">
        <v>3</v>
      </c>
      <c r="Q115" s="541">
        <v>0</v>
      </c>
      <c r="R115" s="541">
        <v>4</v>
      </c>
      <c r="S115" s="541">
        <v>1</v>
      </c>
      <c r="T115" s="541">
        <v>0</v>
      </c>
      <c r="U115" s="541">
        <v>0</v>
      </c>
      <c r="V115" s="170">
        <f t="shared" si="141"/>
        <v>5</v>
      </c>
      <c r="W115" s="206">
        <f t="shared" si="151"/>
        <v>8</v>
      </c>
      <c r="X115" s="541">
        <v>0</v>
      </c>
      <c r="Y115" s="170"/>
      <c r="Z115" s="170"/>
      <c r="AA115" s="170"/>
      <c r="AB115" s="170">
        <f t="shared" si="135"/>
        <v>0</v>
      </c>
      <c r="AC115" s="194">
        <v>1</v>
      </c>
      <c r="AD115" s="194">
        <v>1</v>
      </c>
      <c r="AE115" s="194">
        <f t="shared" si="145"/>
        <v>0</v>
      </c>
      <c r="AF115" s="194">
        <f>+AC115*E115</f>
        <v>0.05</v>
      </c>
      <c r="AG115" s="194">
        <f t="shared" si="146"/>
        <v>0.05</v>
      </c>
      <c r="AH115" s="194">
        <f t="shared" si="147"/>
        <v>0</v>
      </c>
      <c r="AI115" s="194">
        <f>+P115/F115</f>
        <v>0.3</v>
      </c>
      <c r="AJ115" s="230">
        <v>0.8</v>
      </c>
      <c r="AK115" s="230">
        <f t="shared" si="148"/>
        <v>0.8</v>
      </c>
      <c r="AL115" s="230">
        <f>+AI115*E115</f>
        <v>1.4999999999999999E-2</v>
      </c>
      <c r="AM115" s="230">
        <f t="shared" si="149"/>
        <v>4.0000000000000008E-2</v>
      </c>
      <c r="AN115" s="230">
        <f t="shared" si="150"/>
        <v>4.0000000000000008E-2</v>
      </c>
      <c r="AO115" s="649" t="s">
        <v>1852</v>
      </c>
      <c r="AP115" s="571" t="s">
        <v>1894</v>
      </c>
      <c r="AQ115" s="571" t="s">
        <v>2268</v>
      </c>
      <c r="AR115" s="571" t="s">
        <v>2288</v>
      </c>
      <c r="AS115" s="571" t="s">
        <v>2403</v>
      </c>
      <c r="AT115" s="792" t="s">
        <v>2437</v>
      </c>
      <c r="AU115" s="567" t="s">
        <v>2496</v>
      </c>
      <c r="AV115" s="567" t="s">
        <v>1893</v>
      </c>
    </row>
    <row r="116" spans="1:48" ht="64.95" customHeight="1" thickBot="1" x14ac:dyDescent="0.4">
      <c r="A116" s="155"/>
      <c r="B116" s="173" t="s">
        <v>901</v>
      </c>
      <c r="C116" s="223" t="s">
        <v>1344</v>
      </c>
      <c r="D116" s="231" t="s">
        <v>48</v>
      </c>
      <c r="E116" s="228">
        <v>0.1</v>
      </c>
      <c r="F116" s="226">
        <v>18</v>
      </c>
      <c r="G116" s="170">
        <v>7</v>
      </c>
      <c r="H116" s="170">
        <v>4</v>
      </c>
      <c r="I116" s="170">
        <v>2</v>
      </c>
      <c r="J116" s="176">
        <f>+G116/F116</f>
        <v>0.3888888888888889</v>
      </c>
      <c r="K116" s="176">
        <f t="shared" si="124"/>
        <v>0.22222222222222221</v>
      </c>
      <c r="L116" s="176">
        <f t="shared" si="143"/>
        <v>0.1111111111111111</v>
      </c>
      <c r="M116" s="176">
        <f t="shared" si="144"/>
        <v>3.888888888888889E-2</v>
      </c>
      <c r="N116" s="176">
        <f t="shared" si="125"/>
        <v>2.2222222222222223E-2</v>
      </c>
      <c r="O116" s="176"/>
      <c r="P116" s="170">
        <v>7</v>
      </c>
      <c r="Q116" s="541">
        <v>3</v>
      </c>
      <c r="R116" s="541">
        <v>1</v>
      </c>
      <c r="S116" s="541">
        <v>2</v>
      </c>
      <c r="T116" s="541">
        <v>1</v>
      </c>
      <c r="U116" s="541"/>
      <c r="V116" s="170">
        <f t="shared" si="141"/>
        <v>7</v>
      </c>
      <c r="W116" s="206">
        <f t="shared" si="151"/>
        <v>14</v>
      </c>
      <c r="X116" s="541">
        <v>0</v>
      </c>
      <c r="Y116" s="170"/>
      <c r="Z116" s="170"/>
      <c r="AA116" s="170"/>
      <c r="AB116" s="170">
        <f t="shared" si="135"/>
        <v>0</v>
      </c>
      <c r="AC116" s="194">
        <f>+(P116/G116)</f>
        <v>1</v>
      </c>
      <c r="AD116" s="194">
        <v>1</v>
      </c>
      <c r="AE116" s="194">
        <f t="shared" si="145"/>
        <v>0</v>
      </c>
      <c r="AF116" s="194">
        <f>+AC116*E116</f>
        <v>0.1</v>
      </c>
      <c r="AG116" s="194">
        <f t="shared" si="146"/>
        <v>0.1</v>
      </c>
      <c r="AH116" s="194">
        <f t="shared" si="147"/>
        <v>0</v>
      </c>
      <c r="AI116" s="194">
        <f>+P116/F116</f>
        <v>0.3888888888888889</v>
      </c>
      <c r="AJ116" s="230">
        <v>0.77777777777777779</v>
      </c>
      <c r="AK116" s="230">
        <f t="shared" si="148"/>
        <v>0.77777777777777779</v>
      </c>
      <c r="AL116" s="230">
        <f>+AI116*E116</f>
        <v>3.888888888888889E-2</v>
      </c>
      <c r="AM116" s="230">
        <f t="shared" si="149"/>
        <v>7.7777777777777779E-2</v>
      </c>
      <c r="AN116" s="230">
        <f t="shared" si="150"/>
        <v>7.7777777777777779E-2</v>
      </c>
      <c r="AO116" s="649" t="s">
        <v>1852</v>
      </c>
      <c r="AP116" s="571" t="s">
        <v>1896</v>
      </c>
      <c r="AQ116" s="571" t="s">
        <v>2268</v>
      </c>
      <c r="AR116" s="571" t="s">
        <v>2288</v>
      </c>
      <c r="AS116" s="571" t="s">
        <v>2403</v>
      </c>
      <c r="AT116" s="792" t="s">
        <v>2437</v>
      </c>
      <c r="AU116" s="567" t="s">
        <v>2496</v>
      </c>
      <c r="AV116" s="567" t="s">
        <v>1893</v>
      </c>
    </row>
    <row r="117" spans="1:48" ht="156.6" customHeight="1" thickBot="1" x14ac:dyDescent="0.4">
      <c r="A117" s="1501"/>
      <c r="B117" s="790" t="s">
        <v>902</v>
      </c>
      <c r="C117" s="791" t="s">
        <v>1345</v>
      </c>
      <c r="D117" s="231" t="s">
        <v>1542</v>
      </c>
      <c r="E117" s="228">
        <v>0.05</v>
      </c>
      <c r="F117" s="226">
        <v>20</v>
      </c>
      <c r="G117" s="170">
        <v>0</v>
      </c>
      <c r="H117" s="170">
        <v>5.25</v>
      </c>
      <c r="I117" s="170">
        <f>9.75+8.5</f>
        <v>18.25</v>
      </c>
      <c r="J117" s="176"/>
      <c r="K117" s="176">
        <f t="shared" si="124"/>
        <v>0.26250000000000001</v>
      </c>
      <c r="L117" s="176">
        <f t="shared" si="143"/>
        <v>0.91249999999999998</v>
      </c>
      <c r="M117" s="176"/>
      <c r="N117" s="176">
        <f t="shared" si="125"/>
        <v>1.3125000000000001E-2</v>
      </c>
      <c r="O117" s="176"/>
      <c r="P117" s="170"/>
      <c r="Q117" s="541">
        <v>0.1</v>
      </c>
      <c r="R117" s="541">
        <v>0.15</v>
      </c>
      <c r="S117" s="541">
        <v>0</v>
      </c>
      <c r="T117" s="541">
        <v>1.5</v>
      </c>
      <c r="U117" s="541">
        <v>0</v>
      </c>
      <c r="V117" s="170">
        <f t="shared" si="141"/>
        <v>1.75</v>
      </c>
      <c r="W117" s="206">
        <f t="shared" si="151"/>
        <v>1.75</v>
      </c>
      <c r="X117" s="541">
        <v>0</v>
      </c>
      <c r="Y117" s="170"/>
      <c r="Z117" s="170"/>
      <c r="AA117" s="170"/>
      <c r="AB117" s="170">
        <f t="shared" si="135"/>
        <v>0</v>
      </c>
      <c r="AC117" s="194"/>
      <c r="AD117" s="194">
        <f>+V117/H117</f>
        <v>0.33333333333333331</v>
      </c>
      <c r="AE117" s="194">
        <f t="shared" si="145"/>
        <v>0</v>
      </c>
      <c r="AF117" s="194"/>
      <c r="AG117" s="194">
        <f t="shared" si="146"/>
        <v>1.6666666666666666E-2</v>
      </c>
      <c r="AH117" s="194">
        <f t="shared" si="147"/>
        <v>0</v>
      </c>
      <c r="AI117" s="194"/>
      <c r="AJ117" s="230">
        <v>8.7499999999999994E-2</v>
      </c>
      <c r="AK117" s="230">
        <f t="shared" si="148"/>
        <v>8.7499999999999994E-2</v>
      </c>
      <c r="AL117" s="230">
        <v>0</v>
      </c>
      <c r="AM117" s="230">
        <f t="shared" si="149"/>
        <v>4.3749999999999995E-3</v>
      </c>
      <c r="AN117" s="230">
        <f t="shared" si="150"/>
        <v>4.3749999999999995E-3</v>
      </c>
      <c r="AO117" s="649" t="s">
        <v>1857</v>
      </c>
      <c r="AP117" s="573" t="s">
        <v>1900</v>
      </c>
      <c r="AQ117" s="571" t="s">
        <v>2274</v>
      </c>
      <c r="AR117" s="571" t="s">
        <v>2294</v>
      </c>
      <c r="AS117" s="686" t="s">
        <v>2447</v>
      </c>
      <c r="AT117" s="792" t="s">
        <v>2437</v>
      </c>
      <c r="AU117" s="567" t="s">
        <v>2496</v>
      </c>
      <c r="AV117" s="573" t="s">
        <v>2553</v>
      </c>
    </row>
    <row r="118" spans="1:48" ht="67.2" customHeight="1" thickBot="1" x14ac:dyDescent="0.4">
      <c r="A118" s="155"/>
      <c r="B118" s="173" t="s">
        <v>903</v>
      </c>
      <c r="C118" s="223" t="s">
        <v>1346</v>
      </c>
      <c r="D118" s="231" t="s">
        <v>48</v>
      </c>
      <c r="E118" s="228">
        <v>0.1</v>
      </c>
      <c r="F118" s="226">
        <v>119</v>
      </c>
      <c r="G118" s="170">
        <v>57</v>
      </c>
      <c r="H118" s="170">
        <v>62</v>
      </c>
      <c r="I118" s="170"/>
      <c r="J118" s="176">
        <f t="shared" si="142"/>
        <v>0.47899159663865548</v>
      </c>
      <c r="K118" s="176">
        <f t="shared" si="124"/>
        <v>0.52100840336134457</v>
      </c>
      <c r="L118" s="176"/>
      <c r="M118" s="176">
        <f t="shared" si="144"/>
        <v>4.789915966386555E-2</v>
      </c>
      <c r="N118" s="176">
        <f t="shared" si="125"/>
        <v>5.2100840336134463E-2</v>
      </c>
      <c r="O118" s="176"/>
      <c r="P118" s="170">
        <v>57</v>
      </c>
      <c r="Q118" s="541">
        <v>0</v>
      </c>
      <c r="R118" s="541">
        <v>0</v>
      </c>
      <c r="S118" s="541">
        <v>0</v>
      </c>
      <c r="T118" s="541">
        <v>0</v>
      </c>
      <c r="U118" s="541">
        <v>62</v>
      </c>
      <c r="V118" s="170">
        <f t="shared" si="141"/>
        <v>62</v>
      </c>
      <c r="W118" s="206">
        <f t="shared" si="151"/>
        <v>119</v>
      </c>
      <c r="X118" s="170"/>
      <c r="Y118" s="170"/>
      <c r="Z118" s="170"/>
      <c r="AA118" s="170"/>
      <c r="AB118" s="170">
        <f t="shared" si="135"/>
        <v>0</v>
      </c>
      <c r="AC118" s="194">
        <f>+(P118/G118)</f>
        <v>1</v>
      </c>
      <c r="AD118" s="194">
        <f>+V118/H118</f>
        <v>1</v>
      </c>
      <c r="AE118" s="194"/>
      <c r="AF118" s="194">
        <f>+AC118*E118</f>
        <v>0.1</v>
      </c>
      <c r="AG118" s="194">
        <f t="shared" si="146"/>
        <v>0.1</v>
      </c>
      <c r="AH118" s="194">
        <f t="shared" si="147"/>
        <v>0</v>
      </c>
      <c r="AI118" s="194">
        <f>+P118/F118</f>
        <v>0.47899159663865548</v>
      </c>
      <c r="AJ118" s="230">
        <v>1</v>
      </c>
      <c r="AK118" s="230">
        <f t="shared" si="148"/>
        <v>1</v>
      </c>
      <c r="AL118" s="230">
        <f>+AI118*E118</f>
        <v>4.789915966386555E-2</v>
      </c>
      <c r="AM118" s="230">
        <f t="shared" si="149"/>
        <v>0.1</v>
      </c>
      <c r="AN118" s="230">
        <f t="shared" si="150"/>
        <v>0.1</v>
      </c>
      <c r="AO118" s="649" t="s">
        <v>1852</v>
      </c>
      <c r="AP118" s="571" t="s">
        <v>1892</v>
      </c>
      <c r="AQ118" s="571" t="s">
        <v>2268</v>
      </c>
      <c r="AR118" s="571" t="s">
        <v>2288</v>
      </c>
      <c r="AS118" s="571" t="s">
        <v>2403</v>
      </c>
      <c r="AT118" s="792" t="s">
        <v>2437</v>
      </c>
      <c r="AU118" s="567" t="s">
        <v>2496</v>
      </c>
      <c r="AV118" s="567" t="s">
        <v>1893</v>
      </c>
    </row>
    <row r="119" spans="1:48" ht="121.2" customHeight="1" thickBot="1" x14ac:dyDescent="0.4">
      <c r="A119" s="155"/>
      <c r="B119" s="173" t="s">
        <v>904</v>
      </c>
      <c r="C119" s="223" t="s">
        <v>1347</v>
      </c>
      <c r="D119" s="231" t="s">
        <v>48</v>
      </c>
      <c r="E119" s="228">
        <v>0.1</v>
      </c>
      <c r="F119" s="226">
        <v>60</v>
      </c>
      <c r="G119" s="170">
        <v>0</v>
      </c>
      <c r="H119" s="170">
        <v>60</v>
      </c>
      <c r="I119" s="170"/>
      <c r="J119" s="176"/>
      <c r="K119" s="176">
        <f t="shared" si="124"/>
        <v>1</v>
      </c>
      <c r="L119" s="176"/>
      <c r="M119" s="176"/>
      <c r="N119" s="176">
        <f t="shared" si="125"/>
        <v>0.1</v>
      </c>
      <c r="O119" s="176"/>
      <c r="P119" s="170"/>
      <c r="Q119" s="541">
        <v>0</v>
      </c>
      <c r="R119" s="541">
        <v>0</v>
      </c>
      <c r="S119" s="541">
        <v>0</v>
      </c>
      <c r="T119" s="541">
        <v>0</v>
      </c>
      <c r="U119" s="541">
        <v>60</v>
      </c>
      <c r="V119" s="170">
        <f t="shared" si="141"/>
        <v>60</v>
      </c>
      <c r="W119" s="206">
        <f t="shared" si="151"/>
        <v>60</v>
      </c>
      <c r="X119" s="170"/>
      <c r="Y119" s="170"/>
      <c r="Z119" s="170"/>
      <c r="AA119" s="170"/>
      <c r="AB119" s="170">
        <f t="shared" si="135"/>
        <v>0</v>
      </c>
      <c r="AC119" s="194"/>
      <c r="AD119" s="194">
        <f>+V119/H119</f>
        <v>1</v>
      </c>
      <c r="AE119" s="194"/>
      <c r="AF119" s="194"/>
      <c r="AG119" s="194">
        <f t="shared" si="146"/>
        <v>0.1</v>
      </c>
      <c r="AH119" s="194">
        <f t="shared" si="147"/>
        <v>0</v>
      </c>
      <c r="AI119" s="194"/>
      <c r="AJ119" s="230">
        <v>1</v>
      </c>
      <c r="AK119" s="230">
        <f t="shared" si="148"/>
        <v>1</v>
      </c>
      <c r="AL119" s="230">
        <f>+AI119*E119</f>
        <v>0</v>
      </c>
      <c r="AM119" s="230">
        <f t="shared" si="149"/>
        <v>0.1</v>
      </c>
      <c r="AN119" s="230">
        <f t="shared" si="150"/>
        <v>0.1</v>
      </c>
      <c r="AO119" s="649" t="s">
        <v>1858</v>
      </c>
      <c r="AP119" s="644" t="s">
        <v>1919</v>
      </c>
      <c r="AQ119" s="674" t="s">
        <v>2268</v>
      </c>
      <c r="AR119" s="571" t="s">
        <v>2288</v>
      </c>
      <c r="AS119" s="571" t="s">
        <v>2403</v>
      </c>
      <c r="AT119" s="792" t="s">
        <v>2437</v>
      </c>
      <c r="AU119" s="567" t="s">
        <v>2496</v>
      </c>
      <c r="AV119" s="567" t="s">
        <v>1893</v>
      </c>
    </row>
    <row r="120" spans="1:48" ht="73.2" customHeight="1" thickBot="1" x14ac:dyDescent="0.4">
      <c r="A120" s="155"/>
      <c r="B120" s="173" t="s">
        <v>905</v>
      </c>
      <c r="C120" s="223" t="s">
        <v>1348</v>
      </c>
      <c r="D120" s="231" t="s">
        <v>48</v>
      </c>
      <c r="E120" s="228">
        <v>0.05</v>
      </c>
      <c r="F120" s="226">
        <v>1</v>
      </c>
      <c r="G120" s="170">
        <v>0.5</v>
      </c>
      <c r="H120" s="170">
        <v>0.5</v>
      </c>
      <c r="I120" s="170">
        <v>0.2</v>
      </c>
      <c r="J120" s="176">
        <f t="shared" si="142"/>
        <v>0.5</v>
      </c>
      <c r="K120" s="176">
        <f t="shared" si="124"/>
        <v>0.5</v>
      </c>
      <c r="L120" s="176">
        <f t="shared" si="143"/>
        <v>0.2</v>
      </c>
      <c r="M120" s="176">
        <f t="shared" si="144"/>
        <v>2.5000000000000001E-2</v>
      </c>
      <c r="N120" s="176">
        <f t="shared" si="125"/>
        <v>2.5000000000000001E-2</v>
      </c>
      <c r="O120" s="176"/>
      <c r="P120" s="170">
        <v>0.5</v>
      </c>
      <c r="Q120" s="541">
        <v>0</v>
      </c>
      <c r="R120" s="541">
        <v>0.3</v>
      </c>
      <c r="S120" s="541">
        <v>0</v>
      </c>
      <c r="T120" s="541">
        <v>0</v>
      </c>
      <c r="U120" s="541">
        <v>0</v>
      </c>
      <c r="V120" s="170">
        <f t="shared" si="141"/>
        <v>0.3</v>
      </c>
      <c r="W120" s="206">
        <f t="shared" si="151"/>
        <v>0.8</v>
      </c>
      <c r="X120" s="541">
        <v>0</v>
      </c>
      <c r="Y120" s="170"/>
      <c r="Z120" s="170"/>
      <c r="AA120" s="170"/>
      <c r="AB120" s="170">
        <f t="shared" si="135"/>
        <v>0</v>
      </c>
      <c r="AC120" s="194">
        <f>+(P120/G120)</f>
        <v>1</v>
      </c>
      <c r="AD120" s="194">
        <f>+V120/H120</f>
        <v>0.6</v>
      </c>
      <c r="AE120" s="194">
        <f t="shared" si="145"/>
        <v>0</v>
      </c>
      <c r="AF120" s="194">
        <f>+AC120*E120</f>
        <v>0.05</v>
      </c>
      <c r="AG120" s="194">
        <f t="shared" si="146"/>
        <v>0.03</v>
      </c>
      <c r="AH120" s="194">
        <f t="shared" si="147"/>
        <v>0</v>
      </c>
      <c r="AI120" s="194">
        <f>+P120/F120</f>
        <v>0.5</v>
      </c>
      <c r="AJ120" s="230">
        <v>0.8</v>
      </c>
      <c r="AK120" s="230">
        <f t="shared" si="148"/>
        <v>0.8</v>
      </c>
      <c r="AL120" s="230">
        <f>+AI120*E120</f>
        <v>2.5000000000000001E-2</v>
      </c>
      <c r="AM120" s="230">
        <f t="shared" si="149"/>
        <v>4.0000000000000008E-2</v>
      </c>
      <c r="AN120" s="230">
        <f t="shared" si="150"/>
        <v>4.0000000000000008E-2</v>
      </c>
      <c r="AO120" s="649" t="s">
        <v>1852</v>
      </c>
      <c r="AP120" s="571" t="s">
        <v>1896</v>
      </c>
      <c r="AQ120" s="571" t="s">
        <v>2268</v>
      </c>
      <c r="AR120" s="571" t="s">
        <v>2288</v>
      </c>
      <c r="AS120" s="571" t="s">
        <v>2403</v>
      </c>
      <c r="AT120" s="792" t="s">
        <v>2437</v>
      </c>
      <c r="AU120" s="567" t="s">
        <v>2496</v>
      </c>
      <c r="AV120" s="567" t="s">
        <v>1893</v>
      </c>
    </row>
    <row r="121" spans="1:48" ht="57" customHeight="1" thickBot="1" x14ac:dyDescent="0.4">
      <c r="A121" s="155"/>
      <c r="B121" s="1557" t="s">
        <v>1745</v>
      </c>
      <c r="C121" s="1571"/>
      <c r="D121" s="231"/>
      <c r="E121" s="232">
        <v>0.2</v>
      </c>
      <c r="F121" s="226"/>
      <c r="G121" s="163"/>
      <c r="H121" s="163"/>
      <c r="I121" s="163"/>
      <c r="J121" s="169">
        <f>+AVERAGE(J122:J134)</f>
        <v>0.54700386369463794</v>
      </c>
      <c r="K121" s="169">
        <f>+AVERAGE(K122:K134)</f>
        <v>0.43195311912999895</v>
      </c>
      <c r="L121" s="169">
        <f>+AVERAGE(L122:L134)</f>
        <v>0.34986475303383169</v>
      </c>
      <c r="M121" s="169">
        <f>+M122+M123+M124+M125+M126+M127+M128+M129+M130+M131+M132+M133+M134</f>
        <v>0.30325135229312328</v>
      </c>
      <c r="N121" s="169">
        <f>+N122+N123+N124+N125+N126+N127+N128+N129+N130+N131+N132+N133+N134</f>
        <v>0.39777655956499952</v>
      </c>
      <c r="O121" s="169"/>
      <c r="P121" s="168"/>
      <c r="Q121" s="168"/>
      <c r="R121" s="168"/>
      <c r="S121" s="168"/>
      <c r="T121" s="168"/>
      <c r="U121" s="987"/>
      <c r="V121" s="170"/>
      <c r="W121" s="798"/>
      <c r="X121" s="798"/>
      <c r="Y121" s="798"/>
      <c r="Z121" s="798"/>
      <c r="AA121" s="798"/>
      <c r="AB121" s="1502"/>
      <c r="AC121" s="192">
        <f>+AVERAGE(AC122:AC134)</f>
        <v>0.97282973157946084</v>
      </c>
      <c r="AD121" s="192">
        <f>+AVERAGE(AD122:AD134)</f>
        <v>0.72812464205106042</v>
      </c>
      <c r="AE121" s="192">
        <f>+AVERAGE(AE122:AE134)</f>
        <v>0.33780414973388384</v>
      </c>
      <c r="AF121" s="192">
        <f>+(AF122+AF123+AF124+AF125+AF126+AF127+AF128+AF129+AF130+AF131+AF132+AF133+AF134)*E121</f>
        <v>0.10009808121056228</v>
      </c>
      <c r="AG121" s="192">
        <f>+(AG122+AG123+AG124+AG125+AG126+AG127+AG128+AG129+AG130+AG131+AG132+AG133+AG134)*E121</f>
        <v>6.6249971364084836E-2</v>
      </c>
      <c r="AH121" s="192">
        <f>+(AH122+AH123+AH124+AH125+AH126+AH127+AH128+AH129+AH130+AH131+AH132+AH133+AH134)*E121</f>
        <v>1.6480414973388386E-2</v>
      </c>
      <c r="AI121" s="169">
        <f>+AVERAGE(AI122:AI134)</f>
        <v>0.59622372041307181</v>
      </c>
      <c r="AJ121" s="169">
        <v>0.68896444990423822</v>
      </c>
      <c r="AK121" s="169">
        <f>+AVERAGE(AK122:AK134)</f>
        <v>0.7357149385372157</v>
      </c>
      <c r="AL121" s="222">
        <f>+(AL122+AL123+AL124+AL125+AL126+AL127+AL128+AL129+AL130+AL131+AL132+AL133+AL134)*E121</f>
        <v>6.2055660428915041E-2</v>
      </c>
      <c r="AM121" s="222">
        <f>+(AM122+AM123+AM124+AM125+AM126+AM127+AM128+AM129+AM130+AM131+AM132+AM133+AM134)</f>
        <v>0.57233044744733119</v>
      </c>
      <c r="AN121" s="222">
        <f>+(AN122+AN123+AN124+AN125+AN126+AN127+AN128+AN129+AN130+AN131+AN132+AN133+AN134)</f>
        <v>0.58384321619546875</v>
      </c>
      <c r="AO121" s="913"/>
      <c r="AP121" s="535"/>
      <c r="AQ121" s="535"/>
      <c r="AR121" s="535"/>
      <c r="AS121" s="535"/>
      <c r="AT121" s="1135"/>
      <c r="AU121" s="535"/>
      <c r="AV121" s="535"/>
    </row>
    <row r="122" spans="1:48" ht="42.6" customHeight="1" thickBot="1" x14ac:dyDescent="0.4">
      <c r="A122" s="155"/>
      <c r="B122" s="173" t="s">
        <v>906</v>
      </c>
      <c r="C122" s="223" t="s">
        <v>1349</v>
      </c>
      <c r="D122" s="224" t="s">
        <v>907</v>
      </c>
      <c r="E122" s="228">
        <v>0.2</v>
      </c>
      <c r="F122" s="226">
        <v>18</v>
      </c>
      <c r="G122" s="170">
        <v>18</v>
      </c>
      <c r="H122" s="170"/>
      <c r="I122" s="170">
        <v>18</v>
      </c>
      <c r="J122" s="176">
        <f t="shared" ref="J122:J134" si="152">+G122/F122</f>
        <v>1</v>
      </c>
      <c r="K122" s="176"/>
      <c r="L122" s="176"/>
      <c r="M122" s="176">
        <f t="shared" ref="M122:M134" si="153">+(G122/F122)*E122</f>
        <v>0.2</v>
      </c>
      <c r="N122" s="176"/>
      <c r="O122" s="176"/>
      <c r="P122" s="170">
        <v>18</v>
      </c>
      <c r="Q122" s="541"/>
      <c r="R122" s="541"/>
      <c r="S122" s="541"/>
      <c r="T122" s="541"/>
      <c r="U122" s="541"/>
      <c r="V122" s="170">
        <f t="shared" si="141"/>
        <v>0</v>
      </c>
      <c r="W122" s="170">
        <f>+V122+P122+AB122</f>
        <v>18</v>
      </c>
      <c r="X122" s="541"/>
      <c r="Y122" s="170"/>
      <c r="Z122" s="170"/>
      <c r="AA122" s="170"/>
      <c r="AB122" s="170">
        <f t="shared" si="135"/>
        <v>0</v>
      </c>
      <c r="AC122" s="194">
        <f>+(P122/G122)</f>
        <v>1</v>
      </c>
      <c r="AD122" s="194"/>
      <c r="AE122" s="194">
        <f t="shared" ref="AE122:AE134" si="154">+AB122/I122</f>
        <v>0</v>
      </c>
      <c r="AF122" s="194">
        <f>+AC122*E122</f>
        <v>0.2</v>
      </c>
      <c r="AG122" s="194"/>
      <c r="AH122" s="194">
        <f t="shared" ref="AH122:AH134" si="155">+AE122*E122</f>
        <v>0</v>
      </c>
      <c r="AI122" s="194">
        <f>+P122/F122</f>
        <v>1</v>
      </c>
      <c r="AJ122" s="230">
        <v>1</v>
      </c>
      <c r="AK122" s="230">
        <f t="shared" ref="AK122:AK134" si="156">+W122/F122</f>
        <v>1</v>
      </c>
      <c r="AL122" s="230">
        <f>+AI122*E122</f>
        <v>0.2</v>
      </c>
      <c r="AM122" s="230">
        <f t="shared" ref="AM122:AM134" si="157">+AJ122*E122</f>
        <v>0.2</v>
      </c>
      <c r="AN122" s="230">
        <f t="shared" ref="AN122:AN134" si="158">+AK122*E122</f>
        <v>0.2</v>
      </c>
      <c r="AO122" s="792" t="s">
        <v>1589</v>
      </c>
      <c r="AP122" s="535"/>
      <c r="AQ122" s="535"/>
      <c r="AR122" s="571" t="s">
        <v>2288</v>
      </c>
      <c r="AS122" s="571" t="s">
        <v>2403</v>
      </c>
      <c r="AT122" s="792" t="s">
        <v>2437</v>
      </c>
      <c r="AU122" s="571" t="s">
        <v>2496</v>
      </c>
      <c r="AV122" s="567" t="s">
        <v>1893</v>
      </c>
    </row>
    <row r="123" spans="1:48" ht="51.6" customHeight="1" thickBot="1" x14ac:dyDescent="0.4">
      <c r="A123" s="155"/>
      <c r="B123" s="181" t="s">
        <v>908</v>
      </c>
      <c r="C123" s="235" t="s">
        <v>1350</v>
      </c>
      <c r="D123" s="224" t="s">
        <v>907</v>
      </c>
      <c r="E123" s="228">
        <v>0.2</v>
      </c>
      <c r="F123" s="226">
        <v>1</v>
      </c>
      <c r="G123" s="170">
        <v>0</v>
      </c>
      <c r="H123" s="170">
        <v>1</v>
      </c>
      <c r="I123" s="170">
        <v>0</v>
      </c>
      <c r="J123" s="176"/>
      <c r="K123" s="176">
        <f t="shared" si="124"/>
        <v>1</v>
      </c>
      <c r="L123" s="176"/>
      <c r="M123" s="176"/>
      <c r="N123" s="176">
        <f t="shared" si="125"/>
        <v>0.2</v>
      </c>
      <c r="O123" s="176"/>
      <c r="P123" s="170"/>
      <c r="Q123" s="541">
        <v>0.8</v>
      </c>
      <c r="R123" s="541">
        <v>0.2</v>
      </c>
      <c r="S123" s="541">
        <v>0</v>
      </c>
      <c r="T123" s="541"/>
      <c r="U123" s="541"/>
      <c r="V123" s="206">
        <f t="shared" si="141"/>
        <v>1</v>
      </c>
      <c r="W123" s="170">
        <f t="shared" ref="W123:W132" si="159">+V123+P123+AB123</f>
        <v>1.8</v>
      </c>
      <c r="X123" s="542">
        <v>0.8</v>
      </c>
      <c r="Y123" s="206"/>
      <c r="Z123" s="206"/>
      <c r="AA123" s="206"/>
      <c r="AB123" s="206">
        <f t="shared" si="135"/>
        <v>0.8</v>
      </c>
      <c r="AC123" s="194"/>
      <c r="AD123" s="194">
        <f>+V123/H123</f>
        <v>1</v>
      </c>
      <c r="AE123" s="194"/>
      <c r="AF123" s="194"/>
      <c r="AG123" s="194">
        <f>+AD123*E123</f>
        <v>0.2</v>
      </c>
      <c r="AH123" s="194">
        <f t="shared" si="155"/>
        <v>0</v>
      </c>
      <c r="AI123" s="194"/>
      <c r="AJ123" s="230">
        <v>1</v>
      </c>
      <c r="AK123" s="230">
        <v>1</v>
      </c>
      <c r="AL123" s="230"/>
      <c r="AM123" s="230">
        <f t="shared" si="157"/>
        <v>0.2</v>
      </c>
      <c r="AN123" s="230">
        <f t="shared" si="158"/>
        <v>0.2</v>
      </c>
      <c r="AO123" s="792" t="s">
        <v>1589</v>
      </c>
      <c r="AP123" s="571" t="s">
        <v>1896</v>
      </c>
      <c r="AQ123" s="571" t="s">
        <v>2268</v>
      </c>
      <c r="AR123" s="571" t="s">
        <v>2288</v>
      </c>
      <c r="AS123" s="571" t="s">
        <v>2403</v>
      </c>
      <c r="AT123" s="792" t="s">
        <v>2437</v>
      </c>
      <c r="AU123" s="571" t="s">
        <v>2496</v>
      </c>
      <c r="AV123" s="567" t="s">
        <v>1893</v>
      </c>
    </row>
    <row r="124" spans="1:48" ht="108.6" customHeight="1" thickBot="1" x14ac:dyDescent="0.4">
      <c r="A124" s="155"/>
      <c r="B124" s="181" t="s">
        <v>909</v>
      </c>
      <c r="C124" s="235" t="s">
        <v>1351</v>
      </c>
      <c r="D124" s="224" t="s">
        <v>907</v>
      </c>
      <c r="E124" s="228">
        <v>0.1</v>
      </c>
      <c r="F124" s="226">
        <v>1</v>
      </c>
      <c r="G124" s="170">
        <v>0</v>
      </c>
      <c r="H124" s="170">
        <v>1</v>
      </c>
      <c r="I124" s="170">
        <v>0</v>
      </c>
      <c r="J124" s="176"/>
      <c r="K124" s="176">
        <f t="shared" si="124"/>
        <v>1</v>
      </c>
      <c r="L124" s="176"/>
      <c r="M124" s="176"/>
      <c r="N124" s="176">
        <f t="shared" si="125"/>
        <v>0.1</v>
      </c>
      <c r="O124" s="176"/>
      <c r="P124" s="170"/>
      <c r="Q124" s="541">
        <v>0</v>
      </c>
      <c r="R124" s="541">
        <v>0</v>
      </c>
      <c r="S124" s="541">
        <v>0</v>
      </c>
      <c r="T124" s="541">
        <v>0</v>
      </c>
      <c r="U124" s="236"/>
      <c r="V124" s="170">
        <f t="shared" si="141"/>
        <v>0</v>
      </c>
      <c r="W124" s="170">
        <f t="shared" si="159"/>
        <v>0</v>
      </c>
      <c r="X124" s="541"/>
      <c r="Y124" s="170"/>
      <c r="Z124" s="170"/>
      <c r="AA124" s="170"/>
      <c r="AB124" s="170">
        <f>+X124+Y124+Z124+AA124</f>
        <v>0</v>
      </c>
      <c r="AC124" s="194"/>
      <c r="AD124" s="194">
        <f>+V124/H124</f>
        <v>0</v>
      </c>
      <c r="AE124" s="194"/>
      <c r="AF124" s="194"/>
      <c r="AG124" s="194">
        <f>+AD124*E124</f>
        <v>0</v>
      </c>
      <c r="AH124" s="194">
        <f t="shared" si="155"/>
        <v>0</v>
      </c>
      <c r="AI124" s="194"/>
      <c r="AJ124" s="230">
        <v>0</v>
      </c>
      <c r="AK124" s="230">
        <f t="shared" si="156"/>
        <v>0</v>
      </c>
      <c r="AL124" s="230"/>
      <c r="AM124" s="230">
        <f t="shared" si="157"/>
        <v>0</v>
      </c>
      <c r="AN124" s="230">
        <f t="shared" si="158"/>
        <v>0</v>
      </c>
      <c r="AO124" s="649" t="s">
        <v>1852</v>
      </c>
      <c r="AP124" s="644" t="s">
        <v>1919</v>
      </c>
      <c r="AQ124" s="571" t="s">
        <v>2268</v>
      </c>
      <c r="AR124" s="571" t="s">
        <v>2288</v>
      </c>
      <c r="AS124" s="571" t="s">
        <v>2403</v>
      </c>
      <c r="AT124" s="792" t="s">
        <v>2437</v>
      </c>
      <c r="AU124" s="644" t="s">
        <v>2304</v>
      </c>
      <c r="AV124" s="567" t="s">
        <v>1893</v>
      </c>
    </row>
    <row r="125" spans="1:48" ht="78.599999999999994" customHeight="1" thickBot="1" x14ac:dyDescent="0.4">
      <c r="A125" s="155"/>
      <c r="B125" s="181" t="s">
        <v>910</v>
      </c>
      <c r="C125" s="235" t="s">
        <v>1352</v>
      </c>
      <c r="D125" s="224" t="s">
        <v>907</v>
      </c>
      <c r="E125" s="228">
        <v>0.03</v>
      </c>
      <c r="F125" s="226">
        <v>1</v>
      </c>
      <c r="G125" s="170">
        <v>1</v>
      </c>
      <c r="H125" s="170">
        <v>0</v>
      </c>
      <c r="I125" s="170">
        <v>1</v>
      </c>
      <c r="J125" s="176">
        <f t="shared" si="152"/>
        <v>1</v>
      </c>
      <c r="K125" s="176"/>
      <c r="L125" s="176"/>
      <c r="M125" s="176">
        <f t="shared" si="153"/>
        <v>0.03</v>
      </c>
      <c r="N125" s="176"/>
      <c r="O125" s="176"/>
      <c r="P125" s="170">
        <v>1</v>
      </c>
      <c r="Q125" s="541"/>
      <c r="R125" s="541"/>
      <c r="S125" s="541"/>
      <c r="T125" s="541"/>
      <c r="U125" s="541"/>
      <c r="V125" s="170">
        <f t="shared" si="141"/>
        <v>0</v>
      </c>
      <c r="W125" s="170">
        <f t="shared" si="159"/>
        <v>2</v>
      </c>
      <c r="X125" s="541">
        <v>1</v>
      </c>
      <c r="Y125" s="170"/>
      <c r="Z125" s="170"/>
      <c r="AA125" s="170"/>
      <c r="AB125" s="170">
        <f t="shared" si="135"/>
        <v>1</v>
      </c>
      <c r="AC125" s="194">
        <f>+(P125/G125)</f>
        <v>1</v>
      </c>
      <c r="AD125" s="194"/>
      <c r="AE125" s="194">
        <f t="shared" si="154"/>
        <v>1</v>
      </c>
      <c r="AF125" s="194">
        <f>+AC125*E125</f>
        <v>0.03</v>
      </c>
      <c r="AG125" s="194"/>
      <c r="AH125" s="194">
        <f t="shared" si="155"/>
        <v>0.03</v>
      </c>
      <c r="AI125" s="194">
        <f>+P125/F125</f>
        <v>1</v>
      </c>
      <c r="AJ125" s="230">
        <v>1</v>
      </c>
      <c r="AK125" s="230">
        <v>1</v>
      </c>
      <c r="AL125" s="230">
        <f>+AI125*E125</f>
        <v>0.03</v>
      </c>
      <c r="AM125" s="230">
        <f t="shared" si="157"/>
        <v>0.03</v>
      </c>
      <c r="AN125" s="230">
        <f t="shared" si="158"/>
        <v>0.03</v>
      </c>
      <c r="AO125" s="792" t="s">
        <v>1589</v>
      </c>
      <c r="AP125" s="644" t="s">
        <v>1974</v>
      </c>
      <c r="AQ125" s="571" t="s">
        <v>2268</v>
      </c>
      <c r="AR125" s="644" t="s">
        <v>2305</v>
      </c>
      <c r="AS125" s="571" t="s">
        <v>2403</v>
      </c>
      <c r="AT125" s="792" t="s">
        <v>2437</v>
      </c>
      <c r="AU125" s="644" t="s">
        <v>2304</v>
      </c>
      <c r="AV125" s="567" t="s">
        <v>1893</v>
      </c>
    </row>
    <row r="126" spans="1:48" ht="61.8" customHeight="1" thickBot="1" x14ac:dyDescent="0.4">
      <c r="A126" s="155"/>
      <c r="B126" s="181" t="s">
        <v>911</v>
      </c>
      <c r="C126" s="235" t="s">
        <v>1353</v>
      </c>
      <c r="D126" s="224" t="s">
        <v>907</v>
      </c>
      <c r="E126" s="228">
        <v>0.1</v>
      </c>
      <c r="F126" s="226">
        <v>482</v>
      </c>
      <c r="G126" s="170">
        <v>0</v>
      </c>
      <c r="H126" s="170">
        <v>0</v>
      </c>
      <c r="I126" s="170">
        <v>300</v>
      </c>
      <c r="J126" s="176"/>
      <c r="K126" s="176">
        <f t="shared" si="124"/>
        <v>0</v>
      </c>
      <c r="L126" s="176">
        <f t="shared" ref="L126:L131" si="160">+I126/F126</f>
        <v>0.62240663900414939</v>
      </c>
      <c r="M126" s="176"/>
      <c r="N126" s="176">
        <f t="shared" si="125"/>
        <v>0</v>
      </c>
      <c r="O126" s="176"/>
      <c r="P126" s="170"/>
      <c r="Q126" s="541"/>
      <c r="R126" s="170"/>
      <c r="S126" s="170"/>
      <c r="T126" s="170"/>
      <c r="U126" s="236"/>
      <c r="V126" s="170">
        <f t="shared" si="141"/>
        <v>0</v>
      </c>
      <c r="W126" s="170">
        <f t="shared" si="159"/>
        <v>0</v>
      </c>
      <c r="X126" s="541">
        <v>0</v>
      </c>
      <c r="Y126" s="170"/>
      <c r="Z126" s="170"/>
      <c r="AA126" s="170"/>
      <c r="AB126" s="170">
        <f t="shared" si="135"/>
        <v>0</v>
      </c>
      <c r="AC126" s="194"/>
      <c r="AD126" s="194"/>
      <c r="AE126" s="194">
        <f t="shared" si="154"/>
        <v>0</v>
      </c>
      <c r="AF126" s="194"/>
      <c r="AG126" s="194"/>
      <c r="AH126" s="194">
        <f>+AE126*E126</f>
        <v>0</v>
      </c>
      <c r="AI126" s="194"/>
      <c r="AJ126" s="230"/>
      <c r="AK126" s="230"/>
      <c r="AL126" s="230"/>
      <c r="AM126" s="230">
        <f t="shared" si="157"/>
        <v>0</v>
      </c>
      <c r="AN126" s="230">
        <f t="shared" si="158"/>
        <v>0</v>
      </c>
      <c r="AO126" s="649" t="s">
        <v>1852</v>
      </c>
      <c r="AP126" s="644" t="s">
        <v>1975</v>
      </c>
      <c r="AQ126" s="535"/>
      <c r="AR126" s="644" t="s">
        <v>2304</v>
      </c>
      <c r="AS126" s="571" t="s">
        <v>2403</v>
      </c>
      <c r="AT126" s="925" t="s">
        <v>2304</v>
      </c>
      <c r="AU126" s="644" t="s">
        <v>2304</v>
      </c>
      <c r="AV126" s="567" t="s">
        <v>1893</v>
      </c>
    </row>
    <row r="127" spans="1:48" ht="68.400000000000006" customHeight="1" thickBot="1" x14ac:dyDescent="0.4">
      <c r="A127" s="155"/>
      <c r="B127" s="181" t="s">
        <v>912</v>
      </c>
      <c r="C127" s="235" t="s">
        <v>1354</v>
      </c>
      <c r="D127" s="224" t="s">
        <v>907</v>
      </c>
      <c r="E127" s="228">
        <v>0.03</v>
      </c>
      <c r="F127" s="226">
        <v>1</v>
      </c>
      <c r="G127" s="170">
        <v>0.15</v>
      </c>
      <c r="H127" s="170">
        <v>0.2</v>
      </c>
      <c r="I127" s="170">
        <v>0.3</v>
      </c>
      <c r="J127" s="176">
        <f t="shared" si="152"/>
        <v>0.15</v>
      </c>
      <c r="K127" s="176">
        <f t="shared" si="124"/>
        <v>0.2</v>
      </c>
      <c r="L127" s="176"/>
      <c r="M127" s="176">
        <f t="shared" si="153"/>
        <v>4.4999999999999997E-3</v>
      </c>
      <c r="N127" s="176">
        <f t="shared" si="125"/>
        <v>6.0000000000000001E-3</v>
      </c>
      <c r="O127" s="176"/>
      <c r="P127" s="170">
        <v>0.3</v>
      </c>
      <c r="Q127" s="541">
        <v>0.2</v>
      </c>
      <c r="R127" s="541">
        <v>0.1</v>
      </c>
      <c r="S127" s="541">
        <v>0.5</v>
      </c>
      <c r="T127" s="541">
        <v>0.5</v>
      </c>
      <c r="U127" s="541"/>
      <c r="V127" s="170">
        <f t="shared" si="141"/>
        <v>1.3</v>
      </c>
      <c r="W127" s="170">
        <f t="shared" si="159"/>
        <v>1.6</v>
      </c>
      <c r="X127" s="541">
        <v>0</v>
      </c>
      <c r="Y127" s="170"/>
      <c r="Z127" s="170"/>
      <c r="AA127" s="170"/>
      <c r="AB127" s="170">
        <f t="shared" si="135"/>
        <v>0</v>
      </c>
      <c r="AC127" s="194">
        <v>1</v>
      </c>
      <c r="AD127" s="194">
        <v>1</v>
      </c>
      <c r="AE127" s="194">
        <f t="shared" si="154"/>
        <v>0</v>
      </c>
      <c r="AF127" s="194">
        <f>+AC127*E127</f>
        <v>0.03</v>
      </c>
      <c r="AG127" s="194">
        <f>+AD127*E127</f>
        <v>0.03</v>
      </c>
      <c r="AH127" s="194">
        <f t="shared" si="155"/>
        <v>0</v>
      </c>
      <c r="AI127" s="194">
        <f>+P127/F127</f>
        <v>0.3</v>
      </c>
      <c r="AJ127" s="230">
        <v>1</v>
      </c>
      <c r="AK127" s="230">
        <v>1</v>
      </c>
      <c r="AL127" s="230">
        <f>+AI127*E127</f>
        <v>8.9999999999999993E-3</v>
      </c>
      <c r="AM127" s="230">
        <f t="shared" si="157"/>
        <v>0.03</v>
      </c>
      <c r="AN127" s="230">
        <f>+AK127*E127</f>
        <v>0.03</v>
      </c>
      <c r="AO127" s="649" t="s">
        <v>1852</v>
      </c>
      <c r="AP127" s="571" t="s">
        <v>1896</v>
      </c>
      <c r="AQ127" s="535"/>
      <c r="AR127" s="571" t="s">
        <v>2288</v>
      </c>
      <c r="AS127" s="571" t="s">
        <v>2403</v>
      </c>
      <c r="AT127" s="792" t="s">
        <v>2437</v>
      </c>
      <c r="AU127" s="571" t="s">
        <v>2496</v>
      </c>
      <c r="AV127" s="567" t="s">
        <v>1893</v>
      </c>
    </row>
    <row r="128" spans="1:48" ht="72" customHeight="1" thickBot="1" x14ac:dyDescent="0.4">
      <c r="A128" s="155"/>
      <c r="B128" s="790" t="s">
        <v>913</v>
      </c>
      <c r="C128" s="791" t="s">
        <v>1355</v>
      </c>
      <c r="D128" s="224" t="s">
        <v>907</v>
      </c>
      <c r="E128" s="228">
        <v>0.02</v>
      </c>
      <c r="F128" s="226">
        <v>25</v>
      </c>
      <c r="G128" s="170">
        <v>6</v>
      </c>
      <c r="H128" s="170">
        <v>6</v>
      </c>
      <c r="I128" s="170">
        <v>6</v>
      </c>
      <c r="J128" s="176">
        <f t="shared" si="152"/>
        <v>0.24</v>
      </c>
      <c r="K128" s="176">
        <f t="shared" si="124"/>
        <v>0.24</v>
      </c>
      <c r="L128" s="176">
        <f t="shared" si="160"/>
        <v>0.24</v>
      </c>
      <c r="M128" s="176">
        <f t="shared" si="153"/>
        <v>4.7999999999999996E-3</v>
      </c>
      <c r="N128" s="176">
        <f t="shared" si="125"/>
        <v>4.7999999999999996E-3</v>
      </c>
      <c r="O128" s="176"/>
      <c r="P128" s="236">
        <v>12</v>
      </c>
      <c r="Q128" s="541">
        <v>3</v>
      </c>
      <c r="R128" s="541">
        <v>1</v>
      </c>
      <c r="S128" s="541">
        <v>0</v>
      </c>
      <c r="T128" s="541">
        <v>1</v>
      </c>
      <c r="U128" s="541">
        <v>1</v>
      </c>
      <c r="V128" s="170">
        <f t="shared" si="141"/>
        <v>6</v>
      </c>
      <c r="W128" s="170">
        <f>+V128+P128+AB128</f>
        <v>19</v>
      </c>
      <c r="X128" s="541">
        <v>1</v>
      </c>
      <c r="Y128" s="170"/>
      <c r="Z128" s="170"/>
      <c r="AA128" s="170"/>
      <c r="AB128" s="170">
        <f t="shared" si="135"/>
        <v>1</v>
      </c>
      <c r="AC128" s="194">
        <v>1</v>
      </c>
      <c r="AD128" s="194">
        <f>+V128/H128</f>
        <v>1</v>
      </c>
      <c r="AE128" s="194">
        <f t="shared" si="154"/>
        <v>0.16666666666666666</v>
      </c>
      <c r="AF128" s="194">
        <f>+AC128*E128</f>
        <v>0.02</v>
      </c>
      <c r="AG128" s="194">
        <f>+AD128*E128</f>
        <v>0.02</v>
      </c>
      <c r="AH128" s="194">
        <f t="shared" si="155"/>
        <v>3.3333333333333331E-3</v>
      </c>
      <c r="AI128" s="194">
        <f>+P128/F128</f>
        <v>0.48</v>
      </c>
      <c r="AJ128" s="230">
        <v>0.72</v>
      </c>
      <c r="AK128" s="230">
        <f t="shared" si="156"/>
        <v>0.76</v>
      </c>
      <c r="AL128" s="230">
        <f>+AI128*E128</f>
        <v>9.5999999999999992E-3</v>
      </c>
      <c r="AM128" s="230">
        <f t="shared" si="157"/>
        <v>1.44E-2</v>
      </c>
      <c r="AN128" s="230">
        <f t="shared" si="158"/>
        <v>1.52E-2</v>
      </c>
      <c r="AO128" s="649" t="s">
        <v>1852</v>
      </c>
      <c r="AP128" s="644" t="s">
        <v>1973</v>
      </c>
      <c r="AQ128" s="535"/>
      <c r="AR128" s="571" t="s">
        <v>2288</v>
      </c>
      <c r="AS128" s="571" t="s">
        <v>2403</v>
      </c>
      <c r="AT128" s="792" t="s">
        <v>2437</v>
      </c>
      <c r="AU128" s="644" t="s">
        <v>2304</v>
      </c>
      <c r="AV128" s="571" t="s">
        <v>1893</v>
      </c>
    </row>
    <row r="129" spans="1:48" ht="88.2" customHeight="1" thickBot="1" x14ac:dyDescent="0.4">
      <c r="A129" s="155"/>
      <c r="B129" s="181" t="s">
        <v>914</v>
      </c>
      <c r="C129" s="235" t="s">
        <v>1356</v>
      </c>
      <c r="D129" s="224" t="s">
        <v>915</v>
      </c>
      <c r="E129" s="228">
        <v>0.02</v>
      </c>
      <c r="F129" s="226">
        <v>3</v>
      </c>
      <c r="G129" s="170">
        <v>0</v>
      </c>
      <c r="H129" s="170">
        <v>1</v>
      </c>
      <c r="I129" s="170">
        <v>1</v>
      </c>
      <c r="J129" s="176"/>
      <c r="K129" s="176">
        <f t="shared" si="124"/>
        <v>0.33333333333333331</v>
      </c>
      <c r="L129" s="176">
        <f t="shared" si="160"/>
        <v>0.33333333333333331</v>
      </c>
      <c r="M129" s="176"/>
      <c r="N129" s="176">
        <f t="shared" si="125"/>
        <v>6.6666666666666662E-3</v>
      </c>
      <c r="O129" s="176"/>
      <c r="P129" s="170"/>
      <c r="Q129" s="541">
        <v>0.3</v>
      </c>
      <c r="R129" s="541">
        <v>0.4</v>
      </c>
      <c r="S129" s="541">
        <v>0</v>
      </c>
      <c r="T129" s="541">
        <v>0</v>
      </c>
      <c r="U129" s="541">
        <v>0.3</v>
      </c>
      <c r="V129" s="170">
        <f t="shared" si="141"/>
        <v>1</v>
      </c>
      <c r="W129" s="170">
        <f>+V129+P129+AB129</f>
        <v>2</v>
      </c>
      <c r="X129" s="541">
        <v>1</v>
      </c>
      <c r="Y129" s="170"/>
      <c r="Z129" s="170"/>
      <c r="AA129" s="170"/>
      <c r="AB129" s="170">
        <f t="shared" si="135"/>
        <v>1</v>
      </c>
      <c r="AC129" s="194"/>
      <c r="AD129" s="194">
        <f>+V129/H129</f>
        <v>1</v>
      </c>
      <c r="AE129" s="194">
        <f t="shared" si="154"/>
        <v>1</v>
      </c>
      <c r="AF129" s="194"/>
      <c r="AG129" s="194">
        <f>+AD129*E129</f>
        <v>0.02</v>
      </c>
      <c r="AH129" s="194">
        <f t="shared" si="155"/>
        <v>0.02</v>
      </c>
      <c r="AI129" s="194"/>
      <c r="AJ129" s="230">
        <v>0.23333333333333331</v>
      </c>
      <c r="AK129" s="230">
        <f t="shared" si="156"/>
        <v>0.66666666666666663</v>
      </c>
      <c r="AL129" s="230"/>
      <c r="AM129" s="230">
        <f t="shared" si="157"/>
        <v>4.6666666666666662E-3</v>
      </c>
      <c r="AN129" s="230">
        <f t="shared" si="158"/>
        <v>1.3333333333333332E-2</v>
      </c>
      <c r="AO129" s="649" t="s">
        <v>1852</v>
      </c>
      <c r="AP129" s="571" t="s">
        <v>1896</v>
      </c>
      <c r="AQ129" s="535"/>
      <c r="AR129" s="571" t="s">
        <v>2288</v>
      </c>
      <c r="AS129" s="571" t="s">
        <v>2403</v>
      </c>
      <c r="AT129" s="925" t="s">
        <v>2304</v>
      </c>
      <c r="AU129" s="571" t="s">
        <v>2496</v>
      </c>
      <c r="AV129" s="571" t="s">
        <v>1893</v>
      </c>
    </row>
    <row r="130" spans="1:48" ht="82.2" customHeight="1" thickBot="1" x14ac:dyDescent="0.4">
      <c r="A130" s="155"/>
      <c r="B130" s="790" t="s">
        <v>916</v>
      </c>
      <c r="C130" s="791" t="s">
        <v>1357</v>
      </c>
      <c r="D130" s="224" t="s">
        <v>917</v>
      </c>
      <c r="E130" s="228">
        <v>0.05</v>
      </c>
      <c r="F130" s="226">
        <v>3</v>
      </c>
      <c r="G130" s="170">
        <v>0</v>
      </c>
      <c r="H130" s="170">
        <v>0</v>
      </c>
      <c r="I130" s="170"/>
      <c r="J130" s="176"/>
      <c r="K130" s="176">
        <f t="shared" si="124"/>
        <v>0</v>
      </c>
      <c r="L130" s="176"/>
      <c r="M130" s="176"/>
      <c r="N130" s="176">
        <f t="shared" si="125"/>
        <v>0</v>
      </c>
      <c r="O130" s="176"/>
      <c r="P130" s="170"/>
      <c r="Q130" s="541"/>
      <c r="R130" s="170"/>
      <c r="S130" s="170"/>
      <c r="T130" s="170"/>
      <c r="U130" s="236"/>
      <c r="V130" s="170">
        <f t="shared" si="141"/>
        <v>0</v>
      </c>
      <c r="W130" s="170">
        <f t="shared" si="159"/>
        <v>0</v>
      </c>
      <c r="X130" s="170"/>
      <c r="Y130" s="170"/>
      <c r="Z130" s="170"/>
      <c r="AA130" s="170"/>
      <c r="AB130" s="170">
        <f t="shared" si="135"/>
        <v>0</v>
      </c>
      <c r="AC130" s="194"/>
      <c r="AD130" s="194"/>
      <c r="AE130" s="194"/>
      <c r="AF130" s="194"/>
      <c r="AG130" s="194"/>
      <c r="AH130" s="194">
        <f t="shared" si="155"/>
        <v>0</v>
      </c>
      <c r="AI130" s="194"/>
      <c r="AJ130" s="230"/>
      <c r="AK130" s="230"/>
      <c r="AL130" s="230"/>
      <c r="AM130" s="230">
        <f t="shared" si="157"/>
        <v>0</v>
      </c>
      <c r="AN130" s="230">
        <f t="shared" si="158"/>
        <v>0</v>
      </c>
      <c r="AO130" s="649" t="s">
        <v>1573</v>
      </c>
      <c r="AP130" s="644" t="s">
        <v>1975</v>
      </c>
      <c r="AQ130" s="644" t="s">
        <v>2304</v>
      </c>
      <c r="AR130" s="644" t="s">
        <v>2304</v>
      </c>
      <c r="AS130" s="644" t="s">
        <v>2304</v>
      </c>
      <c r="AT130" s="925" t="s">
        <v>2304</v>
      </c>
      <c r="AU130" s="644" t="s">
        <v>2304</v>
      </c>
      <c r="AV130" s="535"/>
    </row>
    <row r="131" spans="1:48" ht="84" customHeight="1" thickBot="1" x14ac:dyDescent="0.4">
      <c r="A131" s="155"/>
      <c r="B131" s="181" t="s">
        <v>918</v>
      </c>
      <c r="C131" s="235" t="s">
        <v>1358</v>
      </c>
      <c r="D131" s="224" t="s">
        <v>917</v>
      </c>
      <c r="E131" s="228">
        <v>0.16</v>
      </c>
      <c r="F131" s="226">
        <v>10</v>
      </c>
      <c r="G131" s="170">
        <v>2</v>
      </c>
      <c r="H131" s="170">
        <v>3</v>
      </c>
      <c r="I131" s="170">
        <v>3</v>
      </c>
      <c r="J131" s="176">
        <f t="shared" si="152"/>
        <v>0.2</v>
      </c>
      <c r="K131" s="176">
        <f t="shared" si="124"/>
        <v>0.3</v>
      </c>
      <c r="L131" s="176">
        <f t="shared" si="160"/>
        <v>0.3</v>
      </c>
      <c r="M131" s="176">
        <f t="shared" si="153"/>
        <v>3.2000000000000001E-2</v>
      </c>
      <c r="N131" s="176">
        <f t="shared" si="125"/>
        <v>4.8000000000000001E-2</v>
      </c>
      <c r="O131" s="176"/>
      <c r="P131" s="170">
        <v>2</v>
      </c>
      <c r="Q131" s="541">
        <v>0</v>
      </c>
      <c r="R131" s="541">
        <v>0</v>
      </c>
      <c r="S131" s="541">
        <v>0</v>
      </c>
      <c r="T131" s="541">
        <v>0</v>
      </c>
      <c r="U131" s="236"/>
      <c r="V131" s="170">
        <f t="shared" si="141"/>
        <v>0</v>
      </c>
      <c r="W131" s="170">
        <f>+V131+P131+AB131</f>
        <v>2</v>
      </c>
      <c r="X131" s="541">
        <v>0</v>
      </c>
      <c r="Y131" s="170"/>
      <c r="Z131" s="170"/>
      <c r="AA131" s="170"/>
      <c r="AB131" s="170">
        <f t="shared" si="135"/>
        <v>0</v>
      </c>
      <c r="AC131" s="194">
        <f>+(P131/G131)</f>
        <v>1</v>
      </c>
      <c r="AD131" s="194">
        <f>+V131/H131</f>
        <v>0</v>
      </c>
      <c r="AE131" s="194">
        <f t="shared" si="154"/>
        <v>0</v>
      </c>
      <c r="AF131" s="194">
        <f>+AC131*E131</f>
        <v>0.16</v>
      </c>
      <c r="AG131" s="194">
        <f>+AD131*E131</f>
        <v>0</v>
      </c>
      <c r="AH131" s="194">
        <f t="shared" si="155"/>
        <v>0</v>
      </c>
      <c r="AI131" s="194">
        <f>+P131/F131</f>
        <v>0.2</v>
      </c>
      <c r="AJ131" s="230">
        <v>0.2</v>
      </c>
      <c r="AK131" s="230">
        <f t="shared" si="156"/>
        <v>0.2</v>
      </c>
      <c r="AL131" s="230">
        <f>+AI131*E131</f>
        <v>3.2000000000000001E-2</v>
      </c>
      <c r="AM131" s="230">
        <f t="shared" si="157"/>
        <v>3.2000000000000001E-2</v>
      </c>
      <c r="AN131" s="230">
        <f t="shared" si="158"/>
        <v>3.2000000000000001E-2</v>
      </c>
      <c r="AO131" s="649" t="s">
        <v>1852</v>
      </c>
      <c r="AP131" s="571" t="s">
        <v>1896</v>
      </c>
      <c r="AQ131" s="571" t="s">
        <v>2268</v>
      </c>
      <c r="AR131" s="571" t="s">
        <v>2288</v>
      </c>
      <c r="AS131" s="571" t="s">
        <v>2403</v>
      </c>
      <c r="AT131" s="792" t="s">
        <v>2437</v>
      </c>
      <c r="AU131" s="571" t="s">
        <v>2496</v>
      </c>
      <c r="AV131" s="571" t="s">
        <v>1893</v>
      </c>
    </row>
    <row r="132" spans="1:48" ht="54" customHeight="1" thickBot="1" x14ac:dyDescent="0.4">
      <c r="A132" s="155"/>
      <c r="B132" s="181" t="s">
        <v>919</v>
      </c>
      <c r="C132" s="235" t="s">
        <v>1359</v>
      </c>
      <c r="D132" s="224" t="s">
        <v>907</v>
      </c>
      <c r="E132" s="228">
        <v>0.02</v>
      </c>
      <c r="F132" s="226">
        <v>1</v>
      </c>
      <c r="G132" s="170">
        <v>0</v>
      </c>
      <c r="H132" s="170">
        <v>1</v>
      </c>
      <c r="I132" s="170">
        <v>1</v>
      </c>
      <c r="J132" s="176"/>
      <c r="K132" s="176">
        <f t="shared" si="124"/>
        <v>1</v>
      </c>
      <c r="L132" s="176"/>
      <c r="M132" s="176"/>
      <c r="N132" s="176">
        <f t="shared" si="125"/>
        <v>0.02</v>
      </c>
      <c r="O132" s="176"/>
      <c r="P132" s="170"/>
      <c r="Q132" s="541">
        <v>0.8</v>
      </c>
      <c r="R132" s="541">
        <v>0</v>
      </c>
      <c r="S132" s="541">
        <v>0.2</v>
      </c>
      <c r="T132" s="541">
        <v>0.2</v>
      </c>
      <c r="U132" s="236"/>
      <c r="V132" s="170">
        <f t="shared" si="141"/>
        <v>1.2</v>
      </c>
      <c r="W132" s="170">
        <f t="shared" si="159"/>
        <v>2</v>
      </c>
      <c r="X132" s="541">
        <v>0.8</v>
      </c>
      <c r="Y132" s="170"/>
      <c r="Z132" s="170"/>
      <c r="AA132" s="170"/>
      <c r="AB132" s="170">
        <f t="shared" si="135"/>
        <v>0.8</v>
      </c>
      <c r="AC132" s="194"/>
      <c r="AD132" s="194">
        <v>1</v>
      </c>
      <c r="AE132" s="194">
        <f t="shared" si="154"/>
        <v>0.8</v>
      </c>
      <c r="AF132" s="194"/>
      <c r="AG132" s="194">
        <f>+AD132*E132</f>
        <v>0.02</v>
      </c>
      <c r="AH132" s="194">
        <f t="shared" si="155"/>
        <v>1.6E-2</v>
      </c>
      <c r="AI132" s="194"/>
      <c r="AJ132" s="230">
        <v>1</v>
      </c>
      <c r="AK132" s="230">
        <v>1</v>
      </c>
      <c r="AL132" s="230"/>
      <c r="AM132" s="230">
        <f t="shared" si="157"/>
        <v>0.02</v>
      </c>
      <c r="AN132" s="230">
        <f t="shared" si="158"/>
        <v>0.02</v>
      </c>
      <c r="AO132" s="649" t="s">
        <v>1852</v>
      </c>
      <c r="AP132" s="571" t="s">
        <v>1896</v>
      </c>
      <c r="AQ132" s="571" t="s">
        <v>2268</v>
      </c>
      <c r="AR132" s="571" t="s">
        <v>2288</v>
      </c>
      <c r="AS132" s="571" t="s">
        <v>2403</v>
      </c>
      <c r="AT132" s="792" t="s">
        <v>2437</v>
      </c>
      <c r="AU132" s="571" t="s">
        <v>2496</v>
      </c>
      <c r="AV132" s="571" t="s">
        <v>1893</v>
      </c>
    </row>
    <row r="133" spans="1:48" ht="90.6" customHeight="1" thickBot="1" x14ac:dyDescent="0.4">
      <c r="A133" s="155"/>
      <c r="B133" s="181" t="s">
        <v>920</v>
      </c>
      <c r="C133" s="235" t="s">
        <v>1360</v>
      </c>
      <c r="D133" s="224" t="s">
        <v>907</v>
      </c>
      <c r="E133" s="228">
        <v>0.02</v>
      </c>
      <c r="F133" s="226">
        <v>1</v>
      </c>
      <c r="G133" s="170">
        <v>1</v>
      </c>
      <c r="H133" s="170">
        <v>0</v>
      </c>
      <c r="I133" s="170">
        <v>1</v>
      </c>
      <c r="J133" s="176">
        <f t="shared" si="152"/>
        <v>1</v>
      </c>
      <c r="K133" s="176"/>
      <c r="L133" s="176"/>
      <c r="M133" s="176">
        <f t="shared" si="153"/>
        <v>0.02</v>
      </c>
      <c r="N133" s="176"/>
      <c r="O133" s="176"/>
      <c r="P133" s="170">
        <v>1</v>
      </c>
      <c r="Q133" s="541">
        <v>1</v>
      </c>
      <c r="R133" s="541">
        <v>1</v>
      </c>
      <c r="S133" s="541">
        <v>0</v>
      </c>
      <c r="T133" s="541">
        <v>0</v>
      </c>
      <c r="U133" s="541">
        <v>0</v>
      </c>
      <c r="V133" s="170">
        <f t="shared" si="141"/>
        <v>2</v>
      </c>
      <c r="W133" s="170">
        <f>+V133+P133+AB133</f>
        <v>3.25</v>
      </c>
      <c r="X133" s="541">
        <v>0.25</v>
      </c>
      <c r="Y133" s="170"/>
      <c r="Z133" s="170"/>
      <c r="AA133" s="170"/>
      <c r="AB133" s="170">
        <f>+X133+Y133+Z133+AA133</f>
        <v>0.25</v>
      </c>
      <c r="AC133" s="194">
        <f>+(P133/G133)</f>
        <v>1</v>
      </c>
      <c r="AD133" s="194"/>
      <c r="AE133" s="194">
        <f t="shared" si="154"/>
        <v>0.25</v>
      </c>
      <c r="AF133" s="194">
        <f>+AC133*E133</f>
        <v>0.02</v>
      </c>
      <c r="AG133" s="194"/>
      <c r="AH133" s="194">
        <f t="shared" si="155"/>
        <v>5.0000000000000001E-3</v>
      </c>
      <c r="AI133" s="194">
        <f>+P133/F133</f>
        <v>1</v>
      </c>
      <c r="AJ133" s="230">
        <v>1</v>
      </c>
      <c r="AK133" s="230">
        <v>1</v>
      </c>
      <c r="AL133" s="230">
        <f>+AI133*E133</f>
        <v>0.02</v>
      </c>
      <c r="AM133" s="230">
        <f t="shared" si="157"/>
        <v>0.02</v>
      </c>
      <c r="AN133" s="230">
        <f t="shared" si="158"/>
        <v>0.02</v>
      </c>
      <c r="AO133" s="792" t="s">
        <v>1589</v>
      </c>
      <c r="AP133" s="644" t="s">
        <v>1974</v>
      </c>
      <c r="AQ133" s="535"/>
      <c r="AR133" s="571" t="s">
        <v>2288</v>
      </c>
      <c r="AS133" s="571" t="s">
        <v>2403</v>
      </c>
      <c r="AT133" s="792" t="s">
        <v>2437</v>
      </c>
      <c r="AU133" s="571" t="s">
        <v>2496</v>
      </c>
      <c r="AV133" s="571" t="s">
        <v>1893</v>
      </c>
    </row>
    <row r="134" spans="1:48" ht="100.95" customHeight="1" thickBot="1" x14ac:dyDescent="0.4">
      <c r="A134" s="155"/>
      <c r="B134" s="181" t="s">
        <v>921</v>
      </c>
      <c r="C134" s="235" t="s">
        <v>1361</v>
      </c>
      <c r="D134" s="237" t="s">
        <v>907</v>
      </c>
      <c r="E134" s="238">
        <v>0.05</v>
      </c>
      <c r="F134" s="226">
        <v>137302998</v>
      </c>
      <c r="G134" s="249">
        <v>32819130</v>
      </c>
      <c r="H134" s="249">
        <v>33803704</v>
      </c>
      <c r="I134" s="249">
        <v>34817815</v>
      </c>
      <c r="J134" s="176">
        <f t="shared" si="152"/>
        <v>0.23902704586246543</v>
      </c>
      <c r="K134" s="176">
        <f t="shared" si="124"/>
        <v>0.24619785796665561</v>
      </c>
      <c r="L134" s="176">
        <f>+I134/F134</f>
        <v>0.25358379283167581</v>
      </c>
      <c r="M134" s="176">
        <f t="shared" si="153"/>
        <v>1.1951352293123272E-2</v>
      </c>
      <c r="N134" s="176">
        <f t="shared" si="125"/>
        <v>1.2309892898332781E-2</v>
      </c>
      <c r="O134" s="176"/>
      <c r="P134" s="249">
        <v>26577198</v>
      </c>
      <c r="Q134" s="544">
        <v>7665351</v>
      </c>
      <c r="R134" s="544">
        <v>7029082</v>
      </c>
      <c r="S134" s="544">
        <v>4761706</v>
      </c>
      <c r="T134" s="544">
        <v>4215910</v>
      </c>
      <c r="U134" s="988">
        <v>4215910</v>
      </c>
      <c r="V134" s="249">
        <f>+Q134+R134+S134+T134+U134</f>
        <v>27887959</v>
      </c>
      <c r="W134" s="988">
        <f>+V134+30503658+AB134</f>
        <v>64010336</v>
      </c>
      <c r="X134" s="544">
        <v>5618719</v>
      </c>
      <c r="Y134" s="988"/>
      <c r="Z134" s="988"/>
      <c r="AA134" s="988"/>
      <c r="AB134" s="236">
        <f t="shared" si="135"/>
        <v>5618719</v>
      </c>
      <c r="AC134" s="194">
        <f>+(P134/G134)</f>
        <v>0.80980812105622546</v>
      </c>
      <c r="AD134" s="194">
        <f>+V134/H134</f>
        <v>0.82499713640848349</v>
      </c>
      <c r="AE134" s="194">
        <f t="shared" si="154"/>
        <v>0.1613748306721717</v>
      </c>
      <c r="AF134" s="194">
        <f>+AC134*E134</f>
        <v>4.0490406052811276E-2</v>
      </c>
      <c r="AG134" s="194">
        <f>+AD134*E134</f>
        <v>4.1249856820424174E-2</v>
      </c>
      <c r="AH134" s="194">
        <f t="shared" si="155"/>
        <v>8.0687415336085852E-3</v>
      </c>
      <c r="AI134" s="194">
        <f>+P134/F134</f>
        <v>0.19356604289150336</v>
      </c>
      <c r="AJ134" s="230">
        <v>0.42527561561328764</v>
      </c>
      <c r="AK134" s="230">
        <f t="shared" si="156"/>
        <v>0.4661976572427064</v>
      </c>
      <c r="AL134" s="230">
        <f>+AI134*E134</f>
        <v>9.6783021445751693E-3</v>
      </c>
      <c r="AM134" s="230">
        <f t="shared" si="157"/>
        <v>2.1263780780664383E-2</v>
      </c>
      <c r="AN134" s="230">
        <f t="shared" si="158"/>
        <v>2.3309882862135322E-2</v>
      </c>
      <c r="AO134" s="914" t="s">
        <v>1865</v>
      </c>
      <c r="AP134" s="644" t="s">
        <v>1975</v>
      </c>
      <c r="AQ134" s="535"/>
      <c r="AR134" s="644" t="s">
        <v>2306</v>
      </c>
      <c r="AS134" s="644" t="s">
        <v>2304</v>
      </c>
      <c r="AT134" s="925" t="s">
        <v>2304</v>
      </c>
      <c r="AU134" s="644" t="s">
        <v>2304</v>
      </c>
      <c r="AV134" s="535"/>
    </row>
    <row r="135" spans="1:48" s="1184" customFormat="1" ht="93" customHeight="1" thickBot="1" x14ac:dyDescent="0.65">
      <c r="A135" s="1169"/>
      <c r="B135" s="1574" t="s">
        <v>1815</v>
      </c>
      <c r="C135" s="1575"/>
      <c r="D135" s="1170"/>
      <c r="E135" s="1171">
        <v>0.1</v>
      </c>
      <c r="F135" s="1172">
        <f>+E135*AF135</f>
        <v>5.3999446153846158E-2</v>
      </c>
      <c r="G135" s="1173"/>
      <c r="H135" s="1174">
        <f>+E135*AG135</f>
        <v>4.7113079310344835E-2</v>
      </c>
      <c r="I135" s="1174">
        <f>+E135*AH135</f>
        <v>1.482404047619048E-2</v>
      </c>
      <c r="J135" s="1175">
        <f>+(J136+J140+J144+J150+J159)/4</f>
        <v>0.23930555555555558</v>
      </c>
      <c r="K135" s="1175">
        <f>+(K136+K140+K144+K150+K159)/5</f>
        <v>0.19171428571428567</v>
      </c>
      <c r="L135" s="1175">
        <f>+(L136+L140+L144+L150+L159)/5</f>
        <v>0.30333333333333334</v>
      </c>
      <c r="M135" s="1176">
        <f>+(M136+M140+M144+M150+M159)/4</f>
        <v>0.17302083333333335</v>
      </c>
      <c r="N135" s="1176">
        <f>+(N136+N140+N144+N150+N159)/5</f>
        <v>0.19663333333333333</v>
      </c>
      <c r="O135" s="1176"/>
      <c r="P135" s="1173"/>
      <c r="Q135" s="1173"/>
      <c r="R135" s="1173"/>
      <c r="S135" s="1173"/>
      <c r="T135" s="1173"/>
      <c r="U135" s="1177"/>
      <c r="V135" s="1178"/>
      <c r="W135" s="1173"/>
      <c r="X135" s="1173"/>
      <c r="Y135" s="1173"/>
      <c r="Z135" s="1173"/>
      <c r="AA135" s="1173"/>
      <c r="AB135" s="1173"/>
      <c r="AC135" s="1175">
        <f>+(AC136+AC140+AC144+AC150+AC159)/4</f>
        <v>0.90415128205128203</v>
      </c>
      <c r="AD135" s="1175">
        <f>+(AD136+AD140+AD144+AD150+AD159)/4</f>
        <v>0.75154181034482759</v>
      </c>
      <c r="AE135" s="1175">
        <f>+(AE136+AE140+AE144+AE150+AE159)/4</f>
        <v>0.23331825396825398</v>
      </c>
      <c r="AF135" s="1176">
        <f>+AF136+AF140+AF144+AF150+AF159</f>
        <v>0.53999446153846153</v>
      </c>
      <c r="AG135" s="1176">
        <f>+AG136+AG140+AG144+AG150+AG159</f>
        <v>0.4711307931034483</v>
      </c>
      <c r="AH135" s="1176">
        <f>+AH136+AH140+AH144+AH150+AH159</f>
        <v>0.14824040476190478</v>
      </c>
      <c r="AI135" s="1175">
        <f>(AI136+AI140+AI144+AI150+AI159)/4</f>
        <v>0.22665666666666667</v>
      </c>
      <c r="AJ135" s="1175">
        <v>0.51947152777777772</v>
      </c>
      <c r="AK135" s="1175">
        <f>(AK136+AK140+AK144+AK150+AK159)/4</f>
        <v>0.52641994047619045</v>
      </c>
      <c r="AL135" s="1179">
        <f>+(AL136+AL140+AL144+AL150+AL159)</f>
        <v>0.15220140000000001</v>
      </c>
      <c r="AM135" s="1179">
        <f>+(AM136*E136+AM140*E140+AM144*E144+AM150*E150+AM159*E159)</f>
        <v>0.42935424999999999</v>
      </c>
      <c r="AN135" s="1179">
        <f>+(AN136*E136+AN140*E140+AN144*E144+AN150*E150+AN159*E159)</f>
        <v>0.45584175000000005</v>
      </c>
      <c r="AO135" s="1180"/>
      <c r="AP135" s="1181"/>
      <c r="AQ135" s="1181"/>
      <c r="AR135" s="1181"/>
      <c r="AS135" s="1181"/>
      <c r="AT135" s="1182"/>
      <c r="AU135" s="1183" t="s">
        <v>2496</v>
      </c>
      <c r="AV135" s="1181"/>
    </row>
    <row r="136" spans="1:48" ht="42.75" customHeight="1" thickBot="1" x14ac:dyDescent="0.4">
      <c r="A136" s="155"/>
      <c r="B136" s="1557" t="s">
        <v>1816</v>
      </c>
      <c r="C136" s="1571"/>
      <c r="D136" s="231"/>
      <c r="E136" s="232">
        <v>0.2</v>
      </c>
      <c r="F136" s="226"/>
      <c r="G136" s="163"/>
      <c r="H136" s="163"/>
      <c r="I136" s="163"/>
      <c r="J136" s="169">
        <f>+AVERAGE(J137:J139)</f>
        <v>0.125</v>
      </c>
      <c r="K136" s="169">
        <f>+AVERAGE(K137:K139)</f>
        <v>0.25</v>
      </c>
      <c r="L136" s="169">
        <f>+AVERAGE(L137:L139)</f>
        <v>0.6875</v>
      </c>
      <c r="M136" s="169">
        <f>+M137+M138+M139</f>
        <v>5.6250000000000001E-2</v>
      </c>
      <c r="N136" s="169">
        <f>+N137+N138+N139</f>
        <v>0.36249999999999999</v>
      </c>
      <c r="O136" s="169"/>
      <c r="P136" s="168"/>
      <c r="Q136" s="168"/>
      <c r="R136" s="168"/>
      <c r="S136" s="168"/>
      <c r="T136" s="168"/>
      <c r="U136" s="987"/>
      <c r="V136" s="170"/>
      <c r="W136" s="168"/>
      <c r="X136" s="168"/>
      <c r="Y136" s="168"/>
      <c r="Z136" s="168"/>
      <c r="AA136" s="168"/>
      <c r="AB136" s="168"/>
      <c r="AC136" s="192">
        <f>+AVERAGE(AC137:AC139)</f>
        <v>1</v>
      </c>
      <c r="AD136" s="192">
        <f>+AVERAGE(AD137:AD139)</f>
        <v>0.17065000000000002</v>
      </c>
      <c r="AE136" s="192">
        <f>+AVERAGE(AE137:AE139)</f>
        <v>2.5000000000000001E-2</v>
      </c>
      <c r="AF136" s="192">
        <f>+(AF137+AF138+AF139)*E136</f>
        <v>9.0000000000000011E-2</v>
      </c>
      <c r="AG136" s="192">
        <f>+(AG137+AG138+AG139)*E136</f>
        <v>3.0717000000000008E-2</v>
      </c>
      <c r="AH136" s="192">
        <f>+(AH137+AH138+AH139)*E136</f>
        <v>4.5000000000000005E-3</v>
      </c>
      <c r="AI136" s="169">
        <f>+AVERAGE(AI137:AI139)</f>
        <v>0.185</v>
      </c>
      <c r="AJ136" s="169">
        <v>0.21344166666666667</v>
      </c>
      <c r="AK136" s="169">
        <f>+AJ136+((AK137-AJ137)/3)</f>
        <v>0.21969166666666667</v>
      </c>
      <c r="AL136" s="222">
        <f>+(AL137+AL138+AL139)*E136</f>
        <v>1.6650000000000002E-2</v>
      </c>
      <c r="AM136" s="222">
        <f>+(AM137+AM138+AM139)</f>
        <v>0.12164625000000003</v>
      </c>
      <c r="AN136" s="222">
        <f>+(AN137+AN138+AN139)</f>
        <v>0.13008375000000003</v>
      </c>
      <c r="AO136" s="913"/>
      <c r="AP136" s="535"/>
      <c r="AQ136" s="535"/>
      <c r="AR136" s="535"/>
      <c r="AS136" s="535"/>
      <c r="AT136" s="1135"/>
      <c r="AU136" s="535"/>
      <c r="AV136" s="535"/>
    </row>
    <row r="137" spans="1:48" ht="74.400000000000006" customHeight="1" thickBot="1" x14ac:dyDescent="0.4">
      <c r="A137" s="155"/>
      <c r="B137" s="181" t="s">
        <v>922</v>
      </c>
      <c r="C137" s="235" t="s">
        <v>1362</v>
      </c>
      <c r="D137" s="231" t="s">
        <v>790</v>
      </c>
      <c r="E137" s="228">
        <v>0.45</v>
      </c>
      <c r="F137" s="226">
        <v>40</v>
      </c>
      <c r="G137" s="170">
        <v>5</v>
      </c>
      <c r="H137" s="170">
        <v>10</v>
      </c>
      <c r="I137" s="170">
        <v>15</v>
      </c>
      <c r="J137" s="176">
        <f>+G137/F137</f>
        <v>0.125</v>
      </c>
      <c r="K137" s="176">
        <f t="shared" ref="K137:K139" si="161">+H137/F137</f>
        <v>0.25</v>
      </c>
      <c r="L137" s="176">
        <f t="shared" ref="L137:L138" si="162">+I137/F137</f>
        <v>0.375</v>
      </c>
      <c r="M137" s="176">
        <f>+(G137/F137)*E137</f>
        <v>5.6250000000000001E-2</v>
      </c>
      <c r="N137" s="176">
        <f t="shared" ref="N137:N139" si="163">+(H137/F137)*E137</f>
        <v>0.1125</v>
      </c>
      <c r="O137" s="176"/>
      <c r="P137" s="170">
        <v>7.4</v>
      </c>
      <c r="Q137" s="541">
        <v>3.0000000000000001E-3</v>
      </c>
      <c r="R137" s="541">
        <v>2.2000000000000002</v>
      </c>
      <c r="S137" s="541">
        <v>1.1000000000000001</v>
      </c>
      <c r="T137" s="541">
        <v>0</v>
      </c>
      <c r="U137" s="236">
        <v>0.11</v>
      </c>
      <c r="V137" s="170">
        <f>+Q137+R137+S137+T137+U137</f>
        <v>3.4130000000000003</v>
      </c>
      <c r="W137" s="170">
        <f>+V137+P137+AB137</f>
        <v>11.563000000000001</v>
      </c>
      <c r="X137" s="541">
        <v>0.75</v>
      </c>
      <c r="Y137" s="170"/>
      <c r="Z137" s="170"/>
      <c r="AA137" s="170"/>
      <c r="AB137" s="170">
        <f t="shared" ref="AB137:AB166" si="164">+X137+Y137+Z137+AA137</f>
        <v>0.75</v>
      </c>
      <c r="AC137" s="176">
        <v>1</v>
      </c>
      <c r="AD137" s="194">
        <f>+V137/H137</f>
        <v>0.34130000000000005</v>
      </c>
      <c r="AE137" s="194">
        <f t="shared" ref="AE137:AE138" si="165">+AB137/I137</f>
        <v>0.05</v>
      </c>
      <c r="AF137" s="194">
        <f>+AC137*E137</f>
        <v>0.45</v>
      </c>
      <c r="AG137" s="194">
        <f>+AD137*E137</f>
        <v>0.15358500000000003</v>
      </c>
      <c r="AH137" s="194">
        <f t="shared" ref="AH137:AH139" si="166">+AE137*E137</f>
        <v>2.2500000000000003E-2</v>
      </c>
      <c r="AI137" s="194">
        <f>+P137/F137</f>
        <v>0.185</v>
      </c>
      <c r="AJ137" s="230">
        <v>0.27032500000000004</v>
      </c>
      <c r="AK137" s="230">
        <f t="shared" ref="AK137:AK139" si="167">+W137/F137</f>
        <v>0.28907500000000003</v>
      </c>
      <c r="AL137" s="230">
        <f>+AI137*E137</f>
        <v>8.3250000000000005E-2</v>
      </c>
      <c r="AM137" s="227">
        <f>+AJ137*E137</f>
        <v>0.12164625000000003</v>
      </c>
      <c r="AN137" s="227">
        <f t="shared" ref="AN137:AN139" si="168">+AK137*E137</f>
        <v>0.13008375000000003</v>
      </c>
      <c r="AO137" s="649" t="s">
        <v>1852</v>
      </c>
      <c r="AP137" s="535"/>
      <c r="AQ137" s="570" t="s">
        <v>2268</v>
      </c>
      <c r="AR137" s="644" t="s">
        <v>2306</v>
      </c>
      <c r="AS137" s="571" t="s">
        <v>2403</v>
      </c>
      <c r="AT137" s="792" t="s">
        <v>2442</v>
      </c>
      <c r="AU137" s="571" t="s">
        <v>2496</v>
      </c>
      <c r="AV137" s="571" t="s">
        <v>1893</v>
      </c>
    </row>
    <row r="138" spans="1:48" ht="88.2" customHeight="1" thickBot="1" x14ac:dyDescent="0.4">
      <c r="A138" s="155"/>
      <c r="B138" s="181" t="s">
        <v>923</v>
      </c>
      <c r="C138" s="235" t="s">
        <v>1363</v>
      </c>
      <c r="D138" s="231" t="s">
        <v>924</v>
      </c>
      <c r="E138" s="228">
        <v>0.5</v>
      </c>
      <c r="F138" s="226">
        <v>140000</v>
      </c>
      <c r="G138" s="170">
        <v>0</v>
      </c>
      <c r="H138" s="170">
        <v>70000</v>
      </c>
      <c r="I138" s="170">
        <v>140000</v>
      </c>
      <c r="J138" s="176"/>
      <c r="K138" s="176">
        <f t="shared" si="161"/>
        <v>0.5</v>
      </c>
      <c r="L138" s="176">
        <f t="shared" si="162"/>
        <v>1</v>
      </c>
      <c r="M138" s="176"/>
      <c r="N138" s="176">
        <f t="shared" si="163"/>
        <v>0.25</v>
      </c>
      <c r="O138" s="176"/>
      <c r="P138" s="170"/>
      <c r="Q138" s="541">
        <v>0</v>
      </c>
      <c r="R138" s="541">
        <v>0</v>
      </c>
      <c r="S138" s="541">
        <v>0</v>
      </c>
      <c r="T138" s="541">
        <v>0</v>
      </c>
      <c r="U138" s="236">
        <v>0</v>
      </c>
      <c r="V138" s="170">
        <f t="shared" si="141"/>
        <v>0</v>
      </c>
      <c r="W138" s="170">
        <f t="shared" ref="W138:W142" si="169">+V138+P138+AB138</f>
        <v>0</v>
      </c>
      <c r="X138" s="541">
        <v>0</v>
      </c>
      <c r="Y138" s="170"/>
      <c r="Z138" s="170"/>
      <c r="AA138" s="170"/>
      <c r="AB138" s="170">
        <f t="shared" si="164"/>
        <v>0</v>
      </c>
      <c r="AC138" s="176"/>
      <c r="AD138" s="194">
        <f>+V138/H138</f>
        <v>0</v>
      </c>
      <c r="AE138" s="194">
        <f t="shared" si="165"/>
        <v>0</v>
      </c>
      <c r="AF138" s="194"/>
      <c r="AG138" s="194">
        <f>+AD138*E138</f>
        <v>0</v>
      </c>
      <c r="AH138" s="194">
        <f t="shared" si="166"/>
        <v>0</v>
      </c>
      <c r="AI138" s="194"/>
      <c r="AJ138" s="230">
        <v>0</v>
      </c>
      <c r="AK138" s="230">
        <f t="shared" si="167"/>
        <v>0</v>
      </c>
      <c r="AL138" s="230"/>
      <c r="AM138" s="227">
        <f>+AJ138*E138</f>
        <v>0</v>
      </c>
      <c r="AN138" s="227">
        <f t="shared" si="168"/>
        <v>0</v>
      </c>
      <c r="AO138" s="914" t="s">
        <v>1571</v>
      </c>
      <c r="AP138" s="644" t="s">
        <v>1919</v>
      </c>
      <c r="AQ138" s="776"/>
      <c r="AR138" s="571" t="s">
        <v>2336</v>
      </c>
      <c r="AS138" s="571" t="s">
        <v>2403</v>
      </c>
      <c r="AT138" s="792" t="s">
        <v>2442</v>
      </c>
      <c r="AU138" s="571" t="s">
        <v>2496</v>
      </c>
      <c r="AV138" s="571" t="s">
        <v>1893</v>
      </c>
    </row>
    <row r="139" spans="1:48" ht="106.95" customHeight="1" thickBot="1" x14ac:dyDescent="0.4">
      <c r="A139" s="155"/>
      <c r="B139" s="790" t="s">
        <v>925</v>
      </c>
      <c r="C139" s="791" t="s">
        <v>1364</v>
      </c>
      <c r="D139" s="231" t="s">
        <v>1570</v>
      </c>
      <c r="E139" s="228">
        <v>0.05</v>
      </c>
      <c r="F139" s="226">
        <v>1</v>
      </c>
      <c r="G139" s="170">
        <v>0</v>
      </c>
      <c r="H139" s="170">
        <v>0</v>
      </c>
      <c r="I139" s="170">
        <v>0</v>
      </c>
      <c r="J139" s="176"/>
      <c r="K139" s="176">
        <f t="shared" si="161"/>
        <v>0</v>
      </c>
      <c r="L139" s="176"/>
      <c r="M139" s="176"/>
      <c r="N139" s="176">
        <f t="shared" si="163"/>
        <v>0</v>
      </c>
      <c r="O139" s="176"/>
      <c r="P139" s="170"/>
      <c r="Q139" s="541"/>
      <c r="R139" s="170"/>
      <c r="S139" s="170"/>
      <c r="T139" s="170"/>
      <c r="U139" s="236"/>
      <c r="V139" s="170">
        <f t="shared" si="141"/>
        <v>0</v>
      </c>
      <c r="W139" s="170">
        <f t="shared" si="169"/>
        <v>0</v>
      </c>
      <c r="X139" s="170"/>
      <c r="Y139" s="170"/>
      <c r="Z139" s="170"/>
      <c r="AA139" s="170"/>
      <c r="AB139" s="170">
        <f t="shared" si="164"/>
        <v>0</v>
      </c>
      <c r="AC139" s="176"/>
      <c r="AD139" s="194"/>
      <c r="AE139" s="194"/>
      <c r="AF139" s="194"/>
      <c r="AG139" s="194">
        <f>+AD139*E139</f>
        <v>0</v>
      </c>
      <c r="AH139" s="194">
        <f t="shared" si="166"/>
        <v>0</v>
      </c>
      <c r="AI139" s="194"/>
      <c r="AJ139" s="230"/>
      <c r="AK139" s="230">
        <f t="shared" si="167"/>
        <v>0</v>
      </c>
      <c r="AL139" s="230"/>
      <c r="AM139" s="227">
        <f>+AJ139*E139</f>
        <v>0</v>
      </c>
      <c r="AN139" s="227">
        <f t="shared" si="168"/>
        <v>0</v>
      </c>
      <c r="AO139" s="649" t="s">
        <v>1852</v>
      </c>
      <c r="AP139" s="644" t="s">
        <v>1975</v>
      </c>
      <c r="AQ139" s="535"/>
      <c r="AR139" s="644" t="s">
        <v>2321</v>
      </c>
      <c r="AS139" s="535"/>
      <c r="AT139" s="1135"/>
      <c r="AU139" s="535"/>
      <c r="AV139" s="568" t="s">
        <v>1865</v>
      </c>
    </row>
    <row r="140" spans="1:48" ht="57" customHeight="1" thickBot="1" x14ac:dyDescent="0.4">
      <c r="A140" s="155"/>
      <c r="B140" s="1557" t="s">
        <v>1817</v>
      </c>
      <c r="C140" s="1571"/>
      <c r="D140" s="231"/>
      <c r="E140" s="232">
        <v>0.15</v>
      </c>
      <c r="F140" s="226"/>
      <c r="G140" s="163"/>
      <c r="H140" s="163"/>
      <c r="I140" s="163"/>
      <c r="J140" s="169">
        <f>+AVERAGE(J141:J143)</f>
        <v>0.27</v>
      </c>
      <c r="K140" s="169">
        <f>+AVERAGE(K141:K143)</f>
        <v>0.33333333333333331</v>
      </c>
      <c r="L140" s="169"/>
      <c r="M140" s="169">
        <f>+M141+M142+M143</f>
        <v>0.22900000000000001</v>
      </c>
      <c r="N140" s="169">
        <f>+N141+N142+N143</f>
        <v>0.26250000000000001</v>
      </c>
      <c r="O140" s="169"/>
      <c r="P140" s="168"/>
      <c r="Q140" s="168"/>
      <c r="R140" s="168"/>
      <c r="S140" s="168"/>
      <c r="T140" s="168"/>
      <c r="U140" s="987"/>
      <c r="V140" s="170"/>
      <c r="W140" s="170"/>
      <c r="X140" s="168"/>
      <c r="Y140" s="168"/>
      <c r="Z140" s="168"/>
      <c r="AA140" s="168"/>
      <c r="AB140" s="168"/>
      <c r="AC140" s="192">
        <f>+AVERAGE(AC141:AC143)</f>
        <v>0.84660512820512823</v>
      </c>
      <c r="AD140" s="192">
        <f>+AVERAGE(AD141:AD143)</f>
        <v>1</v>
      </c>
      <c r="AE140" s="192">
        <f>+AVERAGE(AE141:AE143)</f>
        <v>0.34549523809523808</v>
      </c>
      <c r="AF140" s="192">
        <f>+(AF141+AF142+AF143)*E140</f>
        <v>0.13619446153846154</v>
      </c>
      <c r="AG140" s="192">
        <f>+(AG141+AG142+AG143)*E140</f>
        <v>0.15</v>
      </c>
      <c r="AH140" s="192">
        <f>+(AH141+AH142+AH143)*E140</f>
        <v>0.11359457142857143</v>
      </c>
      <c r="AI140" s="169">
        <f>+AVERAGE(AI141:AI143)</f>
        <v>0.2016266666666667</v>
      </c>
      <c r="AJ140" s="169">
        <v>1</v>
      </c>
      <c r="AK140" s="169">
        <f>+AVERAGE(AK141:AK143)</f>
        <v>1</v>
      </c>
      <c r="AL140" s="222">
        <f>+(AL141+AL142+AL143)*E140</f>
        <v>3.5951400000000001E-2</v>
      </c>
      <c r="AM140" s="222">
        <f>+(AM141+AM142+AM143)</f>
        <v>1</v>
      </c>
      <c r="AN140" s="222">
        <f>+(AN141+AN142+AN143)</f>
        <v>1</v>
      </c>
      <c r="AO140" s="913"/>
      <c r="AP140" s="535"/>
      <c r="AQ140" s="535"/>
      <c r="AR140" s="535"/>
      <c r="AS140" s="535"/>
      <c r="AT140" s="1135"/>
      <c r="AU140" s="535"/>
      <c r="AV140" s="535"/>
    </row>
    <row r="141" spans="1:48" ht="108" customHeight="1" thickBot="1" x14ac:dyDescent="0.4">
      <c r="A141" s="155"/>
      <c r="B141" s="173" t="s">
        <v>926</v>
      </c>
      <c r="C141" s="223" t="s">
        <v>1365</v>
      </c>
      <c r="D141" s="231" t="s">
        <v>927</v>
      </c>
      <c r="E141" s="228">
        <v>0.05</v>
      </c>
      <c r="F141" s="226">
        <v>10</v>
      </c>
      <c r="G141" s="170">
        <v>0.3</v>
      </c>
      <c r="H141" s="647">
        <v>5</v>
      </c>
      <c r="I141" s="647">
        <v>4.5</v>
      </c>
      <c r="J141" s="176">
        <f>+G141/F141</f>
        <v>0.03</v>
      </c>
      <c r="K141" s="176">
        <f t="shared" ref="K141:K143" si="170">+H141/F141</f>
        <v>0.5</v>
      </c>
      <c r="L141" s="176"/>
      <c r="M141" s="176">
        <f>+(G141/F141)*E141</f>
        <v>1.5E-3</v>
      </c>
      <c r="N141" s="176">
        <f t="shared" ref="N141:N143" si="171">+(H141/F141)*E141</f>
        <v>2.5000000000000001E-2</v>
      </c>
      <c r="O141" s="176"/>
      <c r="P141" s="170">
        <v>0.3</v>
      </c>
      <c r="Q141" s="541">
        <v>0</v>
      </c>
      <c r="R141" s="541">
        <v>0.57948999999999995</v>
      </c>
      <c r="S141" s="541">
        <v>4</v>
      </c>
      <c r="T141" s="541">
        <v>4.42</v>
      </c>
      <c r="U141" s="541">
        <f>8.62-T141</f>
        <v>4.1999999999999993</v>
      </c>
      <c r="V141" s="206">
        <f t="shared" si="141"/>
        <v>13.199489999999999</v>
      </c>
      <c r="W141" s="206">
        <f>+V141+P141+AB141</f>
        <v>13.49949</v>
      </c>
      <c r="X141" s="542">
        <v>0</v>
      </c>
      <c r="Y141" s="206"/>
      <c r="Z141" s="206"/>
      <c r="AA141" s="206"/>
      <c r="AB141" s="206">
        <f t="shared" si="164"/>
        <v>0</v>
      </c>
      <c r="AC141" s="194">
        <f>+(P141/G141)</f>
        <v>1</v>
      </c>
      <c r="AD141" s="194">
        <v>1</v>
      </c>
      <c r="AE141" s="194">
        <f t="shared" ref="AE141:AE143" si="172">+AB141/I141</f>
        <v>0</v>
      </c>
      <c r="AF141" s="194">
        <f>+AC141*E141</f>
        <v>0.05</v>
      </c>
      <c r="AG141" s="194">
        <f>+AD141*E141</f>
        <v>0.05</v>
      </c>
      <c r="AH141" s="194">
        <f t="shared" ref="AH141:AH143" si="173">+AE141*E141</f>
        <v>0</v>
      </c>
      <c r="AI141" s="194">
        <f>+P141/F141</f>
        <v>0.03</v>
      </c>
      <c r="AJ141" s="230">
        <v>1</v>
      </c>
      <c r="AK141" s="230">
        <v>1</v>
      </c>
      <c r="AL141" s="230">
        <f>+AI141*E141</f>
        <v>1.5E-3</v>
      </c>
      <c r="AM141" s="230">
        <f>+AJ141*E141</f>
        <v>0.05</v>
      </c>
      <c r="AN141" s="230">
        <f t="shared" ref="AN141:AN143" si="174">+AK141*E141</f>
        <v>0.05</v>
      </c>
      <c r="AO141" s="649" t="s">
        <v>1852</v>
      </c>
      <c r="AP141" s="570" t="s">
        <v>1892</v>
      </c>
      <c r="AQ141" s="567" t="s">
        <v>2276</v>
      </c>
      <c r="AR141" s="571" t="s">
        <v>2288</v>
      </c>
      <c r="AS141" s="908" t="s">
        <v>2382</v>
      </c>
      <c r="AT141" s="792" t="s">
        <v>2442</v>
      </c>
      <c r="AU141" s="571" t="s">
        <v>2496</v>
      </c>
      <c r="AV141" s="571" t="s">
        <v>1893</v>
      </c>
    </row>
    <row r="142" spans="1:48" ht="87" customHeight="1" thickBot="1" x14ac:dyDescent="0.4">
      <c r="A142" s="155"/>
      <c r="B142" s="173" t="s">
        <v>928</v>
      </c>
      <c r="C142" s="223" t="s">
        <v>1366</v>
      </c>
      <c r="D142" s="231" t="s">
        <v>927</v>
      </c>
      <c r="E142" s="228">
        <v>0.75</v>
      </c>
      <c r="F142" s="226">
        <v>1</v>
      </c>
      <c r="G142" s="170">
        <v>0.13</v>
      </c>
      <c r="H142" s="170">
        <v>0.25</v>
      </c>
      <c r="I142" s="170">
        <f>0.25+0.13</f>
        <v>0.38</v>
      </c>
      <c r="J142" s="176">
        <f>+G142/F142</f>
        <v>0.13</v>
      </c>
      <c r="K142" s="176">
        <f t="shared" si="170"/>
        <v>0.25</v>
      </c>
      <c r="L142" s="176"/>
      <c r="M142" s="176">
        <f>+(G142/F142)*E142</f>
        <v>9.7500000000000003E-2</v>
      </c>
      <c r="N142" s="176">
        <f t="shared" si="171"/>
        <v>0.1875</v>
      </c>
      <c r="O142" s="176"/>
      <c r="P142" s="170">
        <v>0.224</v>
      </c>
      <c r="Q142" s="541">
        <f>0.296-P142</f>
        <v>7.1999999999999981E-2</v>
      </c>
      <c r="R142" s="541">
        <v>0</v>
      </c>
      <c r="S142" s="541">
        <v>0.18</v>
      </c>
      <c r="T142" s="541">
        <v>0.18</v>
      </c>
      <c r="U142" s="541">
        <f>0.27+0.125</f>
        <v>0.39500000000000002</v>
      </c>
      <c r="V142" s="170">
        <f t="shared" si="141"/>
        <v>0.82699999999999996</v>
      </c>
      <c r="W142" s="170">
        <f t="shared" si="169"/>
        <v>1.4510000000000001</v>
      </c>
      <c r="X142" s="541">
        <v>0.4</v>
      </c>
      <c r="Y142" s="170"/>
      <c r="Z142" s="170"/>
      <c r="AA142" s="170"/>
      <c r="AB142" s="170">
        <f t="shared" si="164"/>
        <v>0.4</v>
      </c>
      <c r="AC142" s="194">
        <v>1</v>
      </c>
      <c r="AD142" s="194">
        <v>1</v>
      </c>
      <c r="AE142" s="194">
        <v>1</v>
      </c>
      <c r="AF142" s="194">
        <f>+AC142*E142</f>
        <v>0.75</v>
      </c>
      <c r="AG142" s="194">
        <f>+AD142*E142</f>
        <v>0.75</v>
      </c>
      <c r="AH142" s="194">
        <f t="shared" si="173"/>
        <v>0.75</v>
      </c>
      <c r="AI142" s="194">
        <f>+P142/F142</f>
        <v>0.224</v>
      </c>
      <c r="AJ142" s="230">
        <v>1</v>
      </c>
      <c r="AK142" s="230">
        <v>1</v>
      </c>
      <c r="AL142" s="230">
        <f>+AI142*E142</f>
        <v>0.16800000000000001</v>
      </c>
      <c r="AM142" s="230">
        <f>+AJ142*E142</f>
        <v>0.75</v>
      </c>
      <c r="AN142" s="230">
        <f t="shared" si="174"/>
        <v>0.75</v>
      </c>
      <c r="AO142" s="649" t="s">
        <v>1852</v>
      </c>
      <c r="AP142" s="644" t="s">
        <v>1971</v>
      </c>
      <c r="AQ142" s="644" t="s">
        <v>2275</v>
      </c>
      <c r="AR142" s="644" t="s">
        <v>2321</v>
      </c>
      <c r="AS142" s="644" t="s">
        <v>2426</v>
      </c>
      <c r="AT142" s="792" t="s">
        <v>2442</v>
      </c>
      <c r="AU142" s="644" t="s">
        <v>2523</v>
      </c>
      <c r="AV142" s="571" t="s">
        <v>1893</v>
      </c>
    </row>
    <row r="143" spans="1:48" ht="108.6" customHeight="1" thickBot="1" x14ac:dyDescent="0.4">
      <c r="A143" s="155"/>
      <c r="B143" s="173" t="s">
        <v>929</v>
      </c>
      <c r="C143" s="223" t="s">
        <v>1367</v>
      </c>
      <c r="D143" s="250" t="s">
        <v>927</v>
      </c>
      <c r="E143" s="228">
        <v>0.2</v>
      </c>
      <c r="F143" s="226">
        <v>100000</v>
      </c>
      <c r="G143" s="170">
        <f>40000+25000</f>
        <v>65000</v>
      </c>
      <c r="H143" s="170">
        <v>25000</v>
      </c>
      <c r="I143" s="170">
        <f>45000+25000</f>
        <v>70000</v>
      </c>
      <c r="J143" s="176">
        <f>+G143/F143</f>
        <v>0.65</v>
      </c>
      <c r="K143" s="176">
        <f t="shared" si="170"/>
        <v>0.25</v>
      </c>
      <c r="L143" s="176"/>
      <c r="M143" s="176">
        <f>+(G143/F143)*E143</f>
        <v>0.13</v>
      </c>
      <c r="N143" s="176">
        <f t="shared" si="171"/>
        <v>0.05</v>
      </c>
      <c r="O143" s="176"/>
      <c r="P143" s="170">
        <v>35088</v>
      </c>
      <c r="Q143" s="541">
        <v>28873</v>
      </c>
      <c r="R143" s="541">
        <v>694</v>
      </c>
      <c r="S143" s="541">
        <f>6826+112289</f>
        <v>119115</v>
      </c>
      <c r="T143" s="541">
        <v>16799</v>
      </c>
      <c r="U143" s="541">
        <v>3178</v>
      </c>
      <c r="V143" s="170">
        <f t="shared" si="141"/>
        <v>168659</v>
      </c>
      <c r="W143" s="249">
        <f>+V143+P143+19455+28873+AB143</f>
        <v>254629</v>
      </c>
      <c r="X143" s="544">
        <v>2554</v>
      </c>
      <c r="Y143" s="249"/>
      <c r="Z143" s="249"/>
      <c r="AA143" s="249"/>
      <c r="AB143" s="170">
        <f t="shared" si="164"/>
        <v>2554</v>
      </c>
      <c r="AC143" s="194">
        <f>+(P143/G143)</f>
        <v>0.53981538461538459</v>
      </c>
      <c r="AD143" s="194">
        <v>1</v>
      </c>
      <c r="AE143" s="194">
        <f t="shared" si="172"/>
        <v>3.6485714285714288E-2</v>
      </c>
      <c r="AF143" s="194">
        <f>+AC143*E143</f>
        <v>0.10796307692307693</v>
      </c>
      <c r="AG143" s="194">
        <f>+AD143*E143</f>
        <v>0.2</v>
      </c>
      <c r="AH143" s="194">
        <f t="shared" si="173"/>
        <v>7.2971428571428579E-3</v>
      </c>
      <c r="AI143" s="194">
        <f>+P143/F143</f>
        <v>0.35088000000000003</v>
      </c>
      <c r="AJ143" s="230">
        <v>1</v>
      </c>
      <c r="AK143" s="230">
        <v>1</v>
      </c>
      <c r="AL143" s="230">
        <f>+AI143*E143</f>
        <v>7.0176000000000002E-2</v>
      </c>
      <c r="AM143" s="230">
        <f>+AJ143*E143</f>
        <v>0.2</v>
      </c>
      <c r="AN143" s="230">
        <f t="shared" si="174"/>
        <v>0.2</v>
      </c>
      <c r="AO143" s="649" t="s">
        <v>1852</v>
      </c>
      <c r="AP143" s="686" t="s">
        <v>1907</v>
      </c>
      <c r="AQ143" s="535"/>
      <c r="AR143" s="571" t="s">
        <v>2288</v>
      </c>
      <c r="AS143" s="908" t="s">
        <v>2405</v>
      </c>
      <c r="AT143" s="792" t="s">
        <v>2442</v>
      </c>
      <c r="AU143" s="571" t="s">
        <v>2496</v>
      </c>
      <c r="AV143" s="571" t="s">
        <v>1893</v>
      </c>
    </row>
    <row r="144" spans="1:48" ht="121.95" customHeight="1" thickBot="1" x14ac:dyDescent="0.4">
      <c r="A144" s="155"/>
      <c r="B144" s="1557" t="s">
        <v>1748</v>
      </c>
      <c r="C144" s="1571"/>
      <c r="D144" s="231"/>
      <c r="E144" s="232">
        <v>0.25</v>
      </c>
      <c r="F144" s="226"/>
      <c r="G144" s="163"/>
      <c r="H144" s="163"/>
      <c r="I144" s="163"/>
      <c r="J144" s="169">
        <f>+AVERAGE(J145:J149)</f>
        <v>0.42000000000000004</v>
      </c>
      <c r="K144" s="169">
        <f>+AVERAGE(K145:K149)</f>
        <v>0.19</v>
      </c>
      <c r="L144" s="169">
        <f>+AVERAGE(L145:L149)</f>
        <v>0.4</v>
      </c>
      <c r="M144" s="169">
        <f>+M145+M146+M147+M148+M149</f>
        <v>0.30500000000000005</v>
      </c>
      <c r="N144" s="169">
        <f>+N145+N146+N147+N148+N149</f>
        <v>0.11000000000000001</v>
      </c>
      <c r="O144" s="169"/>
      <c r="P144" s="168"/>
      <c r="Q144" s="168"/>
      <c r="R144" s="168"/>
      <c r="S144" s="168"/>
      <c r="T144" s="168"/>
      <c r="U144" s="987"/>
      <c r="V144" s="170"/>
      <c r="W144" s="168"/>
      <c r="X144" s="168"/>
      <c r="Y144" s="168"/>
      <c r="Z144" s="168"/>
      <c r="AA144" s="168"/>
      <c r="AB144" s="168"/>
      <c r="AC144" s="192">
        <f>+AVERAGE(AC145:AC149)</f>
        <v>0.96666666666666667</v>
      </c>
      <c r="AD144" s="192">
        <f>+AVERAGE(AD145:AD149)</f>
        <v>1</v>
      </c>
      <c r="AE144" s="192">
        <f>+AVERAGE(AE145:AE149)</f>
        <v>8.5000000000000006E-2</v>
      </c>
      <c r="AF144" s="192">
        <f>+(AF145+AF146+AF147+AF148+AF149)*E144</f>
        <v>8.2500000000000004E-2</v>
      </c>
      <c r="AG144" s="192">
        <f>+(AG145+AG146+AG147+AG148+AG149)*E144</f>
        <v>8.7500000000000008E-2</v>
      </c>
      <c r="AH144" s="192">
        <f>+(AH145+AH146+AH147+AH148+AH149)*E144</f>
        <v>1.1812500000000002E-2</v>
      </c>
      <c r="AI144" s="169">
        <f>+AVERAGE(AI145:AI149)</f>
        <v>0.4</v>
      </c>
      <c r="AJ144" s="169">
        <v>0.45</v>
      </c>
      <c r="AK144" s="169">
        <f>+AVERAGE(AK145:AK149)</f>
        <v>0.46200000000000002</v>
      </c>
      <c r="AL144" s="222">
        <f>+(AL145+AL146+AL147+AL148+AL149)*E144</f>
        <v>7.1250000000000008E-2</v>
      </c>
      <c r="AM144" s="222">
        <f>+(AM145+AM146+AM147+AM148+AM149)</f>
        <v>0.31250000000000006</v>
      </c>
      <c r="AN144" s="222">
        <f>+(AN145+AN146+AN147+AN148+AN149)</f>
        <v>0.31550000000000006</v>
      </c>
      <c r="AO144" s="918" t="s">
        <v>1866</v>
      </c>
      <c r="AP144" s="535"/>
      <c r="AQ144" s="535"/>
      <c r="AR144" s="535"/>
      <c r="AS144" s="535"/>
      <c r="AT144" s="1135"/>
      <c r="AU144" s="535"/>
      <c r="AV144" s="535"/>
    </row>
    <row r="145" spans="1:48" ht="120.6" customHeight="1" thickBot="1" x14ac:dyDescent="0.4">
      <c r="A145" s="155"/>
      <c r="B145" s="181" t="s">
        <v>930</v>
      </c>
      <c r="C145" s="235" t="s">
        <v>1368</v>
      </c>
      <c r="D145" s="224" t="s">
        <v>1572</v>
      </c>
      <c r="E145" s="228">
        <v>0.5</v>
      </c>
      <c r="F145" s="226">
        <v>10</v>
      </c>
      <c r="G145" s="170">
        <v>0</v>
      </c>
      <c r="H145" s="170">
        <v>0</v>
      </c>
      <c r="I145" s="170">
        <v>4</v>
      </c>
      <c r="J145" s="176">
        <v>0</v>
      </c>
      <c r="K145" s="176">
        <f t="shared" ref="K145:K149" si="175">+H145/F145</f>
        <v>0</v>
      </c>
      <c r="L145" s="176">
        <f t="shared" ref="L145:L148" si="176">+I145/F145</f>
        <v>0.4</v>
      </c>
      <c r="M145" s="176"/>
      <c r="N145" s="176">
        <f t="shared" ref="N145:N149" si="177">+(H145/F145)*E145</f>
        <v>0</v>
      </c>
      <c r="O145" s="176"/>
      <c r="P145" s="170"/>
      <c r="Q145" s="541"/>
      <c r="R145" s="541"/>
      <c r="S145" s="541"/>
      <c r="T145" s="541"/>
      <c r="U145" s="541"/>
      <c r="V145" s="170">
        <f t="shared" si="141"/>
        <v>0</v>
      </c>
      <c r="W145" s="206">
        <f>+V145+P145+AB145</f>
        <v>0</v>
      </c>
      <c r="X145" s="541">
        <v>0</v>
      </c>
      <c r="Y145" s="170"/>
      <c r="Z145" s="170"/>
      <c r="AA145" s="170"/>
      <c r="AB145" s="170">
        <f t="shared" si="164"/>
        <v>0</v>
      </c>
      <c r="AC145" s="194"/>
      <c r="AD145" s="194"/>
      <c r="AE145" s="194">
        <f t="shared" ref="AE145:AE148" si="178">+AB145/I145</f>
        <v>0</v>
      </c>
      <c r="AF145" s="194"/>
      <c r="AG145" s="194">
        <f>+AD145*E145</f>
        <v>0</v>
      </c>
      <c r="AH145" s="194">
        <f t="shared" ref="AH145:AH149" si="179">+AE145*E145</f>
        <v>0</v>
      </c>
      <c r="AI145" s="194">
        <v>0</v>
      </c>
      <c r="AJ145" s="230">
        <v>0</v>
      </c>
      <c r="AK145" s="230">
        <f t="shared" ref="AK145:AK149" si="180">+W145/F145</f>
        <v>0</v>
      </c>
      <c r="AL145" s="230">
        <v>0</v>
      </c>
      <c r="AM145" s="230">
        <f>+AJ145*E145</f>
        <v>0</v>
      </c>
      <c r="AN145" s="230">
        <f t="shared" ref="AN145:AN149" si="181">+AK145*E145</f>
        <v>0</v>
      </c>
      <c r="AO145" s="649" t="s">
        <v>1852</v>
      </c>
      <c r="AP145" s="570" t="s">
        <v>1892</v>
      </c>
      <c r="AQ145" s="535"/>
      <c r="AR145" s="571" t="s">
        <v>2288</v>
      </c>
      <c r="AS145" s="644" t="s">
        <v>2366</v>
      </c>
      <c r="AT145" s="792" t="s">
        <v>2442</v>
      </c>
      <c r="AU145" s="571" t="s">
        <v>2496</v>
      </c>
      <c r="AV145" s="571" t="s">
        <v>1893</v>
      </c>
    </row>
    <row r="146" spans="1:48" ht="55.2" customHeight="1" thickBot="1" x14ac:dyDescent="0.4">
      <c r="A146" s="155"/>
      <c r="B146" s="173" t="s">
        <v>931</v>
      </c>
      <c r="C146" s="223" t="s">
        <v>1369</v>
      </c>
      <c r="D146" s="224" t="s">
        <v>790</v>
      </c>
      <c r="E146" s="228">
        <v>0.1</v>
      </c>
      <c r="F146" s="226">
        <v>1</v>
      </c>
      <c r="G146" s="170">
        <v>1</v>
      </c>
      <c r="H146" s="170">
        <v>0.5</v>
      </c>
      <c r="I146" s="170">
        <v>0</v>
      </c>
      <c r="J146" s="176">
        <f>+G146/F146</f>
        <v>1</v>
      </c>
      <c r="K146" s="176">
        <f t="shared" si="175"/>
        <v>0.5</v>
      </c>
      <c r="L146" s="176"/>
      <c r="M146" s="176">
        <f>+(G146/F146)*E146</f>
        <v>0.1</v>
      </c>
      <c r="N146" s="176">
        <f t="shared" si="177"/>
        <v>0.05</v>
      </c>
      <c r="O146" s="176"/>
      <c r="P146" s="206">
        <v>1</v>
      </c>
      <c r="Q146" s="541">
        <v>0</v>
      </c>
      <c r="R146" s="541">
        <v>0.8</v>
      </c>
      <c r="S146" s="541">
        <v>0.6</v>
      </c>
      <c r="T146" s="541">
        <v>0</v>
      </c>
      <c r="U146" s="541">
        <v>0</v>
      </c>
      <c r="V146" s="170">
        <f t="shared" si="141"/>
        <v>1.4</v>
      </c>
      <c r="W146" s="206">
        <f t="shared" ref="W146:W149" si="182">+V146+P146+AB146</f>
        <v>2.4</v>
      </c>
      <c r="X146" s="541">
        <v>0</v>
      </c>
      <c r="Y146" s="170"/>
      <c r="Z146" s="170"/>
      <c r="AA146" s="170"/>
      <c r="AB146" s="170">
        <f t="shared" si="164"/>
        <v>0</v>
      </c>
      <c r="AC146" s="194">
        <f>+(P146/G146)</f>
        <v>1</v>
      </c>
      <c r="AD146" s="194">
        <v>1</v>
      </c>
      <c r="AE146" s="194"/>
      <c r="AF146" s="194">
        <f>+AC146*E146</f>
        <v>0.1</v>
      </c>
      <c r="AG146" s="194">
        <f>+AD146*E146</f>
        <v>0.1</v>
      </c>
      <c r="AH146" s="194"/>
      <c r="AI146" s="194">
        <f>+P146/F146</f>
        <v>1</v>
      </c>
      <c r="AJ146" s="230">
        <v>1</v>
      </c>
      <c r="AK146" s="230">
        <v>1</v>
      </c>
      <c r="AL146" s="230">
        <f>+AI146*E146</f>
        <v>0.1</v>
      </c>
      <c r="AM146" s="230">
        <f>+AJ146*E146</f>
        <v>0.1</v>
      </c>
      <c r="AN146" s="230">
        <f t="shared" si="181"/>
        <v>0.1</v>
      </c>
      <c r="AO146" s="649" t="s">
        <v>1591</v>
      </c>
      <c r="AP146" s="570" t="s">
        <v>1892</v>
      </c>
      <c r="AQ146" s="570" t="s">
        <v>2268</v>
      </c>
      <c r="AR146" s="571" t="s">
        <v>2288</v>
      </c>
      <c r="AS146" s="571" t="s">
        <v>2403</v>
      </c>
      <c r="AT146" s="792" t="s">
        <v>2442</v>
      </c>
      <c r="AU146" s="571" t="s">
        <v>2496</v>
      </c>
      <c r="AV146" s="571" t="s">
        <v>1893</v>
      </c>
    </row>
    <row r="147" spans="1:48" ht="54.6" customHeight="1" thickBot="1" x14ac:dyDescent="0.4">
      <c r="A147" s="155"/>
      <c r="B147" s="173" t="s">
        <v>932</v>
      </c>
      <c r="C147" s="223" t="s">
        <v>1370</v>
      </c>
      <c r="D147" s="224" t="s">
        <v>790</v>
      </c>
      <c r="E147" s="228">
        <v>0.2</v>
      </c>
      <c r="F147" s="226">
        <v>1</v>
      </c>
      <c r="G147" s="170">
        <v>1</v>
      </c>
      <c r="H147" s="170">
        <v>0.25</v>
      </c>
      <c r="I147" s="170">
        <v>1</v>
      </c>
      <c r="J147" s="176">
        <f>+G147/F147</f>
        <v>1</v>
      </c>
      <c r="K147" s="176">
        <f t="shared" si="175"/>
        <v>0.25</v>
      </c>
      <c r="L147" s="176"/>
      <c r="M147" s="176">
        <f>+(G147/F147)*E147</f>
        <v>0.2</v>
      </c>
      <c r="N147" s="176">
        <f t="shared" si="177"/>
        <v>0.05</v>
      </c>
      <c r="O147" s="176"/>
      <c r="P147" s="170">
        <v>0.9</v>
      </c>
      <c r="Q147" s="541">
        <v>0.15</v>
      </c>
      <c r="R147" s="541">
        <v>0.26</v>
      </c>
      <c r="S147" s="541">
        <v>0.16</v>
      </c>
      <c r="T147" s="541">
        <v>0</v>
      </c>
      <c r="U147" s="541">
        <v>0</v>
      </c>
      <c r="V147" s="170">
        <f t="shared" si="141"/>
        <v>0.57000000000000006</v>
      </c>
      <c r="W147" s="206">
        <f t="shared" si="182"/>
        <v>1.7000000000000002</v>
      </c>
      <c r="X147" s="541">
        <v>0.23</v>
      </c>
      <c r="Y147" s="170"/>
      <c r="Z147" s="170"/>
      <c r="AA147" s="170"/>
      <c r="AB147" s="170">
        <f t="shared" si="164"/>
        <v>0.23</v>
      </c>
      <c r="AC147" s="194">
        <f>+(P147/G147)</f>
        <v>0.9</v>
      </c>
      <c r="AD147" s="194">
        <v>1</v>
      </c>
      <c r="AE147" s="194">
        <f t="shared" si="178"/>
        <v>0.23</v>
      </c>
      <c r="AF147" s="194">
        <f>+AC147*E147</f>
        <v>0.18000000000000002</v>
      </c>
      <c r="AG147" s="194">
        <f>+AD147*E147</f>
        <v>0.2</v>
      </c>
      <c r="AH147" s="194">
        <f t="shared" si="179"/>
        <v>4.6000000000000006E-2</v>
      </c>
      <c r="AI147" s="194">
        <f>+P147/F147</f>
        <v>0.9</v>
      </c>
      <c r="AJ147" s="230">
        <v>1</v>
      </c>
      <c r="AK147" s="230">
        <v>1</v>
      </c>
      <c r="AL147" s="230">
        <f>+AI147*E147</f>
        <v>0.18000000000000002</v>
      </c>
      <c r="AM147" s="230">
        <f>+AJ147*E147</f>
        <v>0.2</v>
      </c>
      <c r="AN147" s="230">
        <f t="shared" si="181"/>
        <v>0.2</v>
      </c>
      <c r="AO147" s="649" t="s">
        <v>1852</v>
      </c>
      <c r="AP147" s="570" t="s">
        <v>1892</v>
      </c>
      <c r="AQ147" s="570" t="s">
        <v>2268</v>
      </c>
      <c r="AR147" s="644" t="s">
        <v>2322</v>
      </c>
      <c r="AS147" s="571" t="s">
        <v>2403</v>
      </c>
      <c r="AT147" s="792" t="s">
        <v>2442</v>
      </c>
      <c r="AU147" s="571" t="s">
        <v>2496</v>
      </c>
      <c r="AV147" s="571" t="s">
        <v>1893</v>
      </c>
    </row>
    <row r="148" spans="1:48" ht="78.599999999999994" customHeight="1" thickBot="1" x14ac:dyDescent="0.4">
      <c r="A148" s="155"/>
      <c r="B148" s="173" t="s">
        <v>933</v>
      </c>
      <c r="C148" s="223" t="s">
        <v>1371</v>
      </c>
      <c r="D148" s="224" t="s">
        <v>560</v>
      </c>
      <c r="E148" s="228">
        <v>0.05</v>
      </c>
      <c r="F148" s="226">
        <v>1</v>
      </c>
      <c r="G148" s="244">
        <v>0.1</v>
      </c>
      <c r="H148" s="244">
        <v>0.2</v>
      </c>
      <c r="I148" s="244">
        <v>0.4</v>
      </c>
      <c r="J148" s="176">
        <f>+G148/F148</f>
        <v>0.1</v>
      </c>
      <c r="K148" s="176">
        <f t="shared" si="175"/>
        <v>0.2</v>
      </c>
      <c r="L148" s="176">
        <f t="shared" si="176"/>
        <v>0.4</v>
      </c>
      <c r="M148" s="176">
        <f>+(G148/F148)*E148</f>
        <v>5.000000000000001E-3</v>
      </c>
      <c r="N148" s="176">
        <f t="shared" si="177"/>
        <v>1.0000000000000002E-2</v>
      </c>
      <c r="O148" s="176"/>
      <c r="P148" s="251">
        <v>0.1</v>
      </c>
      <c r="Q148" s="545">
        <v>0.02</v>
      </c>
      <c r="R148" s="545">
        <v>0.04</v>
      </c>
      <c r="S148" s="545">
        <v>0.08</v>
      </c>
      <c r="T148" s="545">
        <v>0.01</v>
      </c>
      <c r="U148" s="545">
        <v>0.05</v>
      </c>
      <c r="V148" s="251">
        <f t="shared" si="141"/>
        <v>0.2</v>
      </c>
      <c r="W148" s="206">
        <f>+V148+P148+AB148</f>
        <v>0.31000000000000005</v>
      </c>
      <c r="X148" s="545">
        <v>0.01</v>
      </c>
      <c r="Y148" s="251"/>
      <c r="Z148" s="251"/>
      <c r="AA148" s="251"/>
      <c r="AB148" s="251">
        <f>+X148+Y148+Z148+AA148</f>
        <v>0.01</v>
      </c>
      <c r="AC148" s="194">
        <f>+(P148/G148)</f>
        <v>1</v>
      </c>
      <c r="AD148" s="194">
        <f>+V148/H148</f>
        <v>1</v>
      </c>
      <c r="AE148" s="194">
        <f t="shared" si="178"/>
        <v>2.4999999999999998E-2</v>
      </c>
      <c r="AF148" s="194">
        <f>+AC148*E148</f>
        <v>0.05</v>
      </c>
      <c r="AG148" s="194">
        <f>+AD148*E148</f>
        <v>0.05</v>
      </c>
      <c r="AH148" s="194">
        <f t="shared" si="179"/>
        <v>1.25E-3</v>
      </c>
      <c r="AI148" s="194">
        <f>+P148/F148</f>
        <v>0.1</v>
      </c>
      <c r="AJ148" s="230">
        <v>0.25</v>
      </c>
      <c r="AK148" s="230">
        <f t="shared" si="180"/>
        <v>0.31000000000000005</v>
      </c>
      <c r="AL148" s="230">
        <f>+AI148*E148</f>
        <v>5.000000000000001E-3</v>
      </c>
      <c r="AM148" s="230">
        <f>+AJ148*E148</f>
        <v>1.2500000000000001E-2</v>
      </c>
      <c r="AN148" s="230">
        <f t="shared" si="181"/>
        <v>1.5500000000000003E-2</v>
      </c>
      <c r="AO148" s="649" t="s">
        <v>1852</v>
      </c>
      <c r="AP148" s="570" t="s">
        <v>1892</v>
      </c>
      <c r="AQ148" s="570" t="s">
        <v>2268</v>
      </c>
      <c r="AR148" s="571" t="s">
        <v>2288</v>
      </c>
      <c r="AS148" s="908" t="s">
        <v>2374</v>
      </c>
      <c r="AT148" s="792" t="s">
        <v>2442</v>
      </c>
      <c r="AU148" s="571" t="s">
        <v>2496</v>
      </c>
      <c r="AV148" s="571" t="s">
        <v>1893</v>
      </c>
    </row>
    <row r="149" spans="1:48" ht="70.95" customHeight="1" thickBot="1" x14ac:dyDescent="0.4">
      <c r="A149" s="155"/>
      <c r="B149" s="173" t="s">
        <v>934</v>
      </c>
      <c r="C149" s="223" t="s">
        <v>1372</v>
      </c>
      <c r="D149" s="224" t="s">
        <v>1537</v>
      </c>
      <c r="E149" s="228">
        <v>0.15</v>
      </c>
      <c r="F149" s="226">
        <v>1</v>
      </c>
      <c r="G149" s="244">
        <v>0</v>
      </c>
      <c r="H149" s="244">
        <v>0</v>
      </c>
      <c r="I149" s="244"/>
      <c r="J149" s="176">
        <v>0</v>
      </c>
      <c r="K149" s="176">
        <f t="shared" si="175"/>
        <v>0</v>
      </c>
      <c r="L149" s="176"/>
      <c r="M149" s="176"/>
      <c r="N149" s="176">
        <f t="shared" si="177"/>
        <v>0</v>
      </c>
      <c r="O149" s="176"/>
      <c r="P149" s="253"/>
      <c r="Q149" s="546"/>
      <c r="R149" s="253"/>
      <c r="S149" s="253"/>
      <c r="T149" s="253"/>
      <c r="U149" s="989"/>
      <c r="V149" s="253">
        <f t="shared" si="141"/>
        <v>0</v>
      </c>
      <c r="W149" s="206">
        <f t="shared" si="182"/>
        <v>0</v>
      </c>
      <c r="X149" s="253"/>
      <c r="Y149" s="253"/>
      <c r="Z149" s="253"/>
      <c r="AA149" s="253"/>
      <c r="AB149" s="253">
        <f t="shared" si="164"/>
        <v>0</v>
      </c>
      <c r="AC149" s="194"/>
      <c r="AD149" s="194"/>
      <c r="AE149" s="194"/>
      <c r="AF149" s="194"/>
      <c r="AG149" s="194">
        <f>+AD149*E149</f>
        <v>0</v>
      </c>
      <c r="AH149" s="194">
        <f t="shared" si="179"/>
        <v>0</v>
      </c>
      <c r="AI149" s="194">
        <v>0</v>
      </c>
      <c r="AJ149" s="230">
        <v>0</v>
      </c>
      <c r="AK149" s="230">
        <f t="shared" si="180"/>
        <v>0</v>
      </c>
      <c r="AL149" s="230"/>
      <c r="AM149" s="230">
        <f>+AJ149*E149</f>
        <v>0</v>
      </c>
      <c r="AN149" s="230">
        <f t="shared" si="181"/>
        <v>0</v>
      </c>
      <c r="AO149" s="649" t="s">
        <v>1852</v>
      </c>
      <c r="AP149" s="644" t="s">
        <v>1975</v>
      </c>
      <c r="AQ149" s="535"/>
      <c r="AR149" s="644" t="s">
        <v>2321</v>
      </c>
      <c r="AS149" s="535"/>
      <c r="AT149" s="1135"/>
      <c r="AU149" s="535"/>
      <c r="AV149" s="535"/>
    </row>
    <row r="150" spans="1:48" ht="57" customHeight="1" thickBot="1" x14ac:dyDescent="0.4">
      <c r="A150" s="155"/>
      <c r="B150" s="1557" t="s">
        <v>1749</v>
      </c>
      <c r="C150" s="1571"/>
      <c r="D150" s="231"/>
      <c r="E150" s="232">
        <v>0.3</v>
      </c>
      <c r="F150" s="226"/>
      <c r="G150" s="163"/>
      <c r="H150" s="163"/>
      <c r="I150" s="163"/>
      <c r="J150" s="169">
        <f>+AVERAGE(J151:J158)</f>
        <v>0.14222222222222222</v>
      </c>
      <c r="K150" s="169">
        <f>+AVERAGE(K151:K158)</f>
        <v>0.18523809523809523</v>
      </c>
      <c r="L150" s="169">
        <f>+AVERAGE(L151:L158)</f>
        <v>0.26250000000000001</v>
      </c>
      <c r="M150" s="169">
        <f>+M151+M152+M153+M154+M155+M156+M157+M158</f>
        <v>0.10183333333333333</v>
      </c>
      <c r="N150" s="169">
        <f>+N151+N152+N153+N154+N155+N156+N157+N158</f>
        <v>0.24816666666666667</v>
      </c>
      <c r="O150" s="169"/>
      <c r="P150" s="168"/>
      <c r="Q150" s="168"/>
      <c r="R150" s="168"/>
      <c r="S150" s="168"/>
      <c r="T150" s="168"/>
      <c r="U150" s="987"/>
      <c r="V150" s="170"/>
      <c r="W150" s="168"/>
      <c r="X150" s="168"/>
      <c r="Y150" s="168"/>
      <c r="Z150" s="168"/>
      <c r="AA150" s="168"/>
      <c r="AB150" s="168"/>
      <c r="AC150" s="192">
        <f>+AVERAGE(AC151:AC158)</f>
        <v>0.80333333333333323</v>
      </c>
      <c r="AD150" s="192">
        <f>+AVERAGE(AD151:AD158)</f>
        <v>0.83551724137931027</v>
      </c>
      <c r="AE150" s="192">
        <f>+AVERAGE(AE151:AE158)</f>
        <v>7.7777777777777779E-2</v>
      </c>
      <c r="AF150" s="192">
        <f>+(AF151+AF152+AF153+AF154+AF155+AF156+AF157+AF158)*E150</f>
        <v>0.23130000000000001</v>
      </c>
      <c r="AG150" s="192">
        <f>+(AG151+AG152+AG153+AG154+AG155+AG156+AG157+AG158)*E150</f>
        <v>0.20291379310344829</v>
      </c>
      <c r="AH150" s="192">
        <f>+(AH151+AH152+AH153+AH154+AH155+AH156+AH157+AH158)*E150</f>
        <v>6.333333333333334E-3</v>
      </c>
      <c r="AI150" s="169">
        <f>+AVERAGE(AI151:AI158)</f>
        <v>0.12000000000000001</v>
      </c>
      <c r="AJ150" s="169">
        <v>0.41444444444444439</v>
      </c>
      <c r="AK150" s="169">
        <f>+AVERAGE(AK151:AK158)</f>
        <v>0.39541666666666664</v>
      </c>
      <c r="AL150" s="222">
        <f>+(AL151+AL152+AL153+AL154+AL155+AL156+AL157)*E150</f>
        <v>2.8350000000000004E-2</v>
      </c>
      <c r="AM150" s="222">
        <f>+(AM151+AM152+AM153+AM154+AM155+AM156+AM157)</f>
        <v>0.58966666666666667</v>
      </c>
      <c r="AN150" s="222">
        <f>+(AN151+AN152+AN153+AN154+AN155+AN156+AN157)</f>
        <v>0.64983333333333326</v>
      </c>
      <c r="AO150" s="913"/>
      <c r="AP150" s="535"/>
      <c r="AQ150" s="535"/>
      <c r="AR150" s="535"/>
      <c r="AS150" s="535"/>
      <c r="AT150" s="1135"/>
      <c r="AU150" s="535"/>
      <c r="AV150" s="535"/>
    </row>
    <row r="151" spans="1:48" ht="87.6" customHeight="1" thickBot="1" x14ac:dyDescent="0.4">
      <c r="A151" s="155"/>
      <c r="B151" s="173" t="s">
        <v>935</v>
      </c>
      <c r="C151" s="223" t="s">
        <v>1373</v>
      </c>
      <c r="D151" s="254" t="s">
        <v>936</v>
      </c>
      <c r="E151" s="255">
        <v>0.5</v>
      </c>
      <c r="F151" s="226">
        <v>10</v>
      </c>
      <c r="G151" s="170">
        <v>1</v>
      </c>
      <c r="H151" s="170">
        <v>4</v>
      </c>
      <c r="I151" s="170">
        <v>5</v>
      </c>
      <c r="J151" s="176">
        <f t="shared" ref="J151:J157" si="183">+G151/F151</f>
        <v>0.1</v>
      </c>
      <c r="K151" s="176">
        <f t="shared" ref="K151:K158" si="184">+H151/F151</f>
        <v>0.4</v>
      </c>
      <c r="L151" s="176"/>
      <c r="M151" s="176">
        <f t="shared" ref="M151:M157" si="185">+(G151/F151)*E151</f>
        <v>0.05</v>
      </c>
      <c r="N151" s="176">
        <f t="shared" ref="N151:N158" si="186">+(H151/F151)*E151</f>
        <v>0.2</v>
      </c>
      <c r="O151" s="176"/>
      <c r="P151" s="541">
        <v>1</v>
      </c>
      <c r="Q151" s="541">
        <v>0.03</v>
      </c>
      <c r="R151" s="541">
        <v>5</v>
      </c>
      <c r="S151" s="541">
        <v>3.97</v>
      </c>
      <c r="T151" s="541">
        <v>0</v>
      </c>
      <c r="U151" s="541">
        <v>0</v>
      </c>
      <c r="V151" s="170">
        <f t="shared" si="141"/>
        <v>9</v>
      </c>
      <c r="W151" s="170">
        <f>+V151+P151+AB151</f>
        <v>10</v>
      </c>
      <c r="X151" s="541">
        <v>0</v>
      </c>
      <c r="Y151" s="170"/>
      <c r="Z151" s="170"/>
      <c r="AA151" s="170"/>
      <c r="AB151" s="170">
        <f t="shared" si="164"/>
        <v>0</v>
      </c>
      <c r="AC151" s="194">
        <f>+(P151/G151)</f>
        <v>1</v>
      </c>
      <c r="AD151" s="194">
        <v>1</v>
      </c>
      <c r="AE151" s="194">
        <f t="shared" ref="AE151:AE156" si="187">+AB151/I151</f>
        <v>0</v>
      </c>
      <c r="AF151" s="194">
        <f>+AC151*E151</f>
        <v>0.5</v>
      </c>
      <c r="AG151" s="194">
        <f>+AD151*E151</f>
        <v>0.5</v>
      </c>
      <c r="AH151" s="194">
        <f t="shared" ref="AH151:AH157" si="188">+AE151*E151</f>
        <v>0</v>
      </c>
      <c r="AI151" s="194">
        <f>+P151/F151</f>
        <v>0.1</v>
      </c>
      <c r="AJ151" s="230">
        <v>1</v>
      </c>
      <c r="AK151" s="230">
        <f t="shared" ref="AK151:AK157" si="189">+W151/F151</f>
        <v>1</v>
      </c>
      <c r="AL151" s="230">
        <f>+AI151*E151</f>
        <v>0.05</v>
      </c>
      <c r="AM151" s="230">
        <f t="shared" ref="AM151:AM158" si="190">+AJ151*E151</f>
        <v>0.5</v>
      </c>
      <c r="AN151" s="230">
        <f t="shared" ref="AN151:AN158" si="191">+AK151*E151</f>
        <v>0.5</v>
      </c>
      <c r="AO151" s="649" t="s">
        <v>1852</v>
      </c>
      <c r="AP151" s="570" t="s">
        <v>1892</v>
      </c>
      <c r="AQ151" s="570" t="s">
        <v>2268</v>
      </c>
      <c r="AR151" s="571" t="s">
        <v>2288</v>
      </c>
      <c r="AS151" s="571" t="s">
        <v>2403</v>
      </c>
      <c r="AT151" s="792" t="s">
        <v>2442</v>
      </c>
      <c r="AU151" s="571" t="s">
        <v>2496</v>
      </c>
      <c r="AV151" s="571" t="s">
        <v>1893</v>
      </c>
    </row>
    <row r="152" spans="1:48" ht="121.2" customHeight="1" thickBot="1" x14ac:dyDescent="0.4">
      <c r="A152" s="155"/>
      <c r="B152" s="173" t="s">
        <v>937</v>
      </c>
      <c r="C152" s="223" t="s">
        <v>1374</v>
      </c>
      <c r="D152" s="224" t="s">
        <v>936</v>
      </c>
      <c r="E152" s="228">
        <v>0.05</v>
      </c>
      <c r="F152" s="226">
        <v>20</v>
      </c>
      <c r="G152" s="170">
        <v>5</v>
      </c>
      <c r="H152" s="170">
        <v>5</v>
      </c>
      <c r="I152" s="170">
        <v>5</v>
      </c>
      <c r="J152" s="176">
        <f t="shared" si="183"/>
        <v>0.25</v>
      </c>
      <c r="K152" s="176">
        <f t="shared" si="184"/>
        <v>0.25</v>
      </c>
      <c r="L152" s="176">
        <f t="shared" ref="L152:L157" si="192">+I152/F152</f>
        <v>0.25</v>
      </c>
      <c r="M152" s="176">
        <f t="shared" si="185"/>
        <v>1.2500000000000001E-2</v>
      </c>
      <c r="N152" s="176">
        <f t="shared" si="186"/>
        <v>1.2500000000000001E-2</v>
      </c>
      <c r="O152" s="176"/>
      <c r="P152" s="541">
        <v>3.6</v>
      </c>
      <c r="Q152" s="541">
        <v>0</v>
      </c>
      <c r="R152" s="541">
        <v>3</v>
      </c>
      <c r="S152" s="541">
        <v>1</v>
      </c>
      <c r="T152" s="541">
        <v>0</v>
      </c>
      <c r="U152" s="236">
        <v>1</v>
      </c>
      <c r="V152" s="170">
        <f t="shared" si="141"/>
        <v>5</v>
      </c>
      <c r="W152" s="170">
        <f t="shared" ref="W152:W155" si="193">+V152+P152+AB152</f>
        <v>9.6</v>
      </c>
      <c r="X152" s="541">
        <v>1</v>
      </c>
      <c r="Y152" s="170"/>
      <c r="Z152" s="170"/>
      <c r="AA152" s="170"/>
      <c r="AB152" s="170">
        <f t="shared" si="164"/>
        <v>1</v>
      </c>
      <c r="AC152" s="194">
        <f>+(P152/G152)</f>
        <v>0.72</v>
      </c>
      <c r="AD152" s="194">
        <f>+V152/H152</f>
        <v>1</v>
      </c>
      <c r="AE152" s="194">
        <f t="shared" si="187"/>
        <v>0.2</v>
      </c>
      <c r="AF152" s="194">
        <f>+AC152*E152</f>
        <v>3.5999999999999997E-2</v>
      </c>
      <c r="AG152" s="194">
        <f>+AD152*E152</f>
        <v>0.05</v>
      </c>
      <c r="AH152" s="194">
        <f t="shared" si="188"/>
        <v>1.0000000000000002E-2</v>
      </c>
      <c r="AI152" s="194">
        <f>+P152/F152</f>
        <v>0.18</v>
      </c>
      <c r="AJ152" s="230">
        <v>0.43</v>
      </c>
      <c r="AK152" s="230">
        <f t="shared" si="189"/>
        <v>0.48</v>
      </c>
      <c r="AL152" s="230">
        <f>+AI152*E152</f>
        <v>8.9999999999999993E-3</v>
      </c>
      <c r="AM152" s="230">
        <f t="shared" si="190"/>
        <v>2.1500000000000002E-2</v>
      </c>
      <c r="AN152" s="230">
        <f t="shared" si="191"/>
        <v>2.4E-2</v>
      </c>
      <c r="AO152" s="649" t="s">
        <v>1852</v>
      </c>
      <c r="AP152" s="570" t="s">
        <v>1892</v>
      </c>
      <c r="AQ152" s="570" t="s">
        <v>2268</v>
      </c>
      <c r="AR152" s="571" t="s">
        <v>2288</v>
      </c>
      <c r="AS152" s="571" t="s">
        <v>2403</v>
      </c>
      <c r="AT152" s="792" t="s">
        <v>2442</v>
      </c>
      <c r="AU152" s="535"/>
      <c r="AV152" s="571" t="s">
        <v>1893</v>
      </c>
    </row>
    <row r="153" spans="1:48" ht="108" customHeight="1" thickBot="1" x14ac:dyDescent="0.4">
      <c r="A153" s="155"/>
      <c r="B153" s="173" t="s">
        <v>938</v>
      </c>
      <c r="C153" s="223" t="s">
        <v>1375</v>
      </c>
      <c r="D153" s="224" t="s">
        <v>790</v>
      </c>
      <c r="E153" s="228">
        <v>0.1</v>
      </c>
      <c r="F153" s="226">
        <v>2</v>
      </c>
      <c r="G153" s="170">
        <v>0.5</v>
      </c>
      <c r="H153" s="170">
        <v>0</v>
      </c>
      <c r="I153" s="170">
        <v>0</v>
      </c>
      <c r="J153" s="176">
        <f t="shared" ref="J153" si="194">+G153/F153</f>
        <v>0.25</v>
      </c>
      <c r="K153" s="176"/>
      <c r="L153" s="176"/>
      <c r="M153" s="176">
        <f t="shared" ref="M153" si="195">+(G153/F153)*E153</f>
        <v>2.5000000000000001E-2</v>
      </c>
      <c r="N153" s="176"/>
      <c r="O153" s="176"/>
      <c r="P153" s="541">
        <v>0.5</v>
      </c>
      <c r="Q153" s="541">
        <v>0</v>
      </c>
      <c r="R153" s="541">
        <v>0</v>
      </c>
      <c r="S153" s="541">
        <v>0</v>
      </c>
      <c r="T153" s="541">
        <v>0</v>
      </c>
      <c r="U153" s="541">
        <v>1</v>
      </c>
      <c r="V153" s="170">
        <f t="shared" si="141"/>
        <v>1</v>
      </c>
      <c r="W153" s="170">
        <f t="shared" si="193"/>
        <v>1.5</v>
      </c>
      <c r="X153" s="541">
        <v>0</v>
      </c>
      <c r="Y153" s="170"/>
      <c r="Z153" s="170"/>
      <c r="AA153" s="170"/>
      <c r="AB153" s="170">
        <f t="shared" si="164"/>
        <v>0</v>
      </c>
      <c r="AC153" s="194">
        <f>+(P153/G153)</f>
        <v>1</v>
      </c>
      <c r="AD153" s="194"/>
      <c r="AE153" s="194"/>
      <c r="AF153" s="194">
        <f>+AC153*E153</f>
        <v>0.1</v>
      </c>
      <c r="AG153" s="194"/>
      <c r="AH153" s="194"/>
      <c r="AI153" s="194">
        <f>+P153/F153</f>
        <v>0.25</v>
      </c>
      <c r="AJ153" s="230">
        <v>0.25</v>
      </c>
      <c r="AK153" s="230">
        <f t="shared" si="189"/>
        <v>0.75</v>
      </c>
      <c r="AL153" s="230">
        <f>+AI153*E153</f>
        <v>2.5000000000000001E-2</v>
      </c>
      <c r="AM153" s="230">
        <f t="shared" si="190"/>
        <v>2.5000000000000001E-2</v>
      </c>
      <c r="AN153" s="230">
        <f t="shared" si="191"/>
        <v>7.5000000000000011E-2</v>
      </c>
      <c r="AO153" s="919"/>
      <c r="AP153" s="570" t="s">
        <v>1892</v>
      </c>
      <c r="AQ153" s="570" t="s">
        <v>2268</v>
      </c>
      <c r="AR153" s="571" t="s">
        <v>2288</v>
      </c>
      <c r="AS153" s="571" t="s">
        <v>2403</v>
      </c>
      <c r="AT153" s="792" t="s">
        <v>2442</v>
      </c>
      <c r="AU153" s="571" t="s">
        <v>2496</v>
      </c>
      <c r="AV153" s="571" t="s">
        <v>1893</v>
      </c>
    </row>
    <row r="154" spans="1:48" ht="78" customHeight="1" thickBot="1" x14ac:dyDescent="0.4">
      <c r="A154" s="155"/>
      <c r="B154" s="181" t="s">
        <v>939</v>
      </c>
      <c r="C154" s="235" t="s">
        <v>1376</v>
      </c>
      <c r="D154" s="224" t="s">
        <v>560</v>
      </c>
      <c r="E154" s="228">
        <v>0.05</v>
      </c>
      <c r="F154" s="226">
        <v>1</v>
      </c>
      <c r="G154" s="244">
        <v>0.12</v>
      </c>
      <c r="H154" s="244">
        <v>0.57999999999999996</v>
      </c>
      <c r="I154" s="244">
        <v>0.3</v>
      </c>
      <c r="J154" s="176">
        <f t="shared" si="183"/>
        <v>0.12</v>
      </c>
      <c r="K154" s="176">
        <f t="shared" si="184"/>
        <v>0.57999999999999996</v>
      </c>
      <c r="L154" s="176">
        <f t="shared" si="192"/>
        <v>0.3</v>
      </c>
      <c r="M154" s="176">
        <f t="shared" si="185"/>
        <v>6.0000000000000001E-3</v>
      </c>
      <c r="N154" s="176">
        <f t="shared" si="186"/>
        <v>2.8999999999999998E-2</v>
      </c>
      <c r="O154" s="176"/>
      <c r="P154" s="545">
        <v>0.12</v>
      </c>
      <c r="Q154" s="545">
        <v>7.0000000000000007E-2</v>
      </c>
      <c r="R154" s="545">
        <v>0.15</v>
      </c>
      <c r="S154" s="545">
        <v>0.1</v>
      </c>
      <c r="T154" s="545"/>
      <c r="U154" s="545">
        <v>0.16</v>
      </c>
      <c r="V154" s="251">
        <f t="shared" si="141"/>
        <v>0.48</v>
      </c>
      <c r="W154" s="170">
        <f>+V154+P154+AB154+0.1</f>
        <v>0.7</v>
      </c>
      <c r="X154" s="545">
        <v>0</v>
      </c>
      <c r="Y154" s="251"/>
      <c r="Z154" s="251"/>
      <c r="AA154" s="251"/>
      <c r="AB154" s="251">
        <f t="shared" si="164"/>
        <v>0</v>
      </c>
      <c r="AC154" s="194">
        <f>+(P154/G154)</f>
        <v>1</v>
      </c>
      <c r="AD154" s="194">
        <f>+V154/H154</f>
        <v>0.82758620689655171</v>
      </c>
      <c r="AE154" s="194">
        <f t="shared" si="187"/>
        <v>0</v>
      </c>
      <c r="AF154" s="194">
        <f>+AC154*E154</f>
        <v>0.05</v>
      </c>
      <c r="AG154" s="194">
        <f>+AD154*E154</f>
        <v>4.1379310344827586E-2</v>
      </c>
      <c r="AH154" s="194">
        <f t="shared" si="188"/>
        <v>0</v>
      </c>
      <c r="AI154" s="194">
        <f>+P154/F154</f>
        <v>0.12</v>
      </c>
      <c r="AJ154" s="230">
        <v>0.6</v>
      </c>
      <c r="AK154" s="230">
        <f t="shared" si="189"/>
        <v>0.7</v>
      </c>
      <c r="AL154" s="230">
        <f>+AI154*E154</f>
        <v>6.0000000000000001E-3</v>
      </c>
      <c r="AM154" s="230">
        <f t="shared" si="190"/>
        <v>0.03</v>
      </c>
      <c r="AN154" s="230">
        <f t="shared" si="191"/>
        <v>3.4999999999999996E-2</v>
      </c>
      <c r="AO154" s="649" t="s">
        <v>1852</v>
      </c>
      <c r="AP154" s="570" t="s">
        <v>1892</v>
      </c>
      <c r="AQ154" s="570" t="s">
        <v>2268</v>
      </c>
      <c r="AR154" s="571" t="s">
        <v>2288</v>
      </c>
      <c r="AS154" s="571" t="s">
        <v>2403</v>
      </c>
      <c r="AT154" s="792" t="s">
        <v>2442</v>
      </c>
      <c r="AU154" s="571" t="s">
        <v>2496</v>
      </c>
      <c r="AV154" s="571" t="s">
        <v>2556</v>
      </c>
    </row>
    <row r="155" spans="1:48" ht="67.2" customHeight="1" thickBot="1" x14ac:dyDescent="0.4">
      <c r="A155" s="155"/>
      <c r="B155" s="173" t="s">
        <v>940</v>
      </c>
      <c r="C155" s="223" t="s">
        <v>1377</v>
      </c>
      <c r="D155" s="224" t="s">
        <v>560</v>
      </c>
      <c r="E155" s="228">
        <v>0.1</v>
      </c>
      <c r="F155" s="226">
        <v>1</v>
      </c>
      <c r="G155" s="170">
        <v>0</v>
      </c>
      <c r="H155" s="170">
        <v>0</v>
      </c>
      <c r="I155" s="170">
        <v>0</v>
      </c>
      <c r="J155" s="176"/>
      <c r="K155" s="176">
        <f t="shared" si="184"/>
        <v>0</v>
      </c>
      <c r="L155" s="176"/>
      <c r="M155" s="176"/>
      <c r="N155" s="176">
        <f t="shared" si="186"/>
        <v>0</v>
      </c>
      <c r="O155" s="176"/>
      <c r="P155" s="541"/>
      <c r="Q155" s="541"/>
      <c r="R155" s="541"/>
      <c r="S155" s="541"/>
      <c r="T155" s="541"/>
      <c r="U155" s="541"/>
      <c r="V155" s="170">
        <f t="shared" si="141"/>
        <v>0</v>
      </c>
      <c r="W155" s="170">
        <f t="shared" si="193"/>
        <v>0</v>
      </c>
      <c r="X155" s="541"/>
      <c r="Y155" s="170"/>
      <c r="Z155" s="170"/>
      <c r="AA155" s="170"/>
      <c r="AB155" s="170">
        <f t="shared" si="164"/>
        <v>0</v>
      </c>
      <c r="AC155" s="194"/>
      <c r="AD155" s="194"/>
      <c r="AE155" s="194"/>
      <c r="AF155" s="194"/>
      <c r="AG155" s="194">
        <f>+AD155*E155</f>
        <v>0</v>
      </c>
      <c r="AH155" s="194"/>
      <c r="AI155" s="194"/>
      <c r="AJ155" s="230"/>
      <c r="AK155" s="1503">
        <v>0</v>
      </c>
      <c r="AL155" s="230">
        <v>0</v>
      </c>
      <c r="AM155" s="230">
        <f t="shared" si="190"/>
        <v>0</v>
      </c>
      <c r="AN155" s="230">
        <f t="shared" si="191"/>
        <v>0</v>
      </c>
      <c r="AO155" s="649" t="s">
        <v>1852</v>
      </c>
      <c r="AP155" s="570" t="s">
        <v>1892</v>
      </c>
      <c r="AQ155" s="570" t="s">
        <v>2268</v>
      </c>
      <c r="AR155" s="571" t="s">
        <v>2288</v>
      </c>
      <c r="AS155" s="571" t="s">
        <v>2403</v>
      </c>
      <c r="AT155" s="792" t="s">
        <v>2442</v>
      </c>
      <c r="AU155" s="571" t="s">
        <v>2496</v>
      </c>
      <c r="AV155" s="571" t="s">
        <v>1893</v>
      </c>
    </row>
    <row r="156" spans="1:48" ht="80.400000000000006" customHeight="1" thickBot="1" x14ac:dyDescent="0.4">
      <c r="A156" s="155"/>
      <c r="B156" s="173" t="s">
        <v>941</v>
      </c>
      <c r="C156" s="223" t="s">
        <v>1378</v>
      </c>
      <c r="D156" s="224" t="s">
        <v>560</v>
      </c>
      <c r="E156" s="228">
        <v>0.1</v>
      </c>
      <c r="F156" s="226">
        <v>3</v>
      </c>
      <c r="G156" s="244">
        <v>0.1</v>
      </c>
      <c r="H156" s="244">
        <v>0.2</v>
      </c>
      <c r="I156" s="244">
        <v>0.45</v>
      </c>
      <c r="J156" s="176">
        <f t="shared" si="183"/>
        <v>3.3333333333333333E-2</v>
      </c>
      <c r="K156" s="176">
        <f t="shared" si="184"/>
        <v>6.6666666666666666E-2</v>
      </c>
      <c r="L156" s="176">
        <f t="shared" si="192"/>
        <v>0.15</v>
      </c>
      <c r="M156" s="176">
        <f t="shared" si="185"/>
        <v>3.3333333333333335E-3</v>
      </c>
      <c r="N156" s="176">
        <f t="shared" si="186"/>
        <v>6.6666666666666671E-3</v>
      </c>
      <c r="O156" s="176"/>
      <c r="P156" s="801">
        <v>0.06</v>
      </c>
      <c r="Q156" s="545">
        <v>0.05</v>
      </c>
      <c r="R156" s="545">
        <v>0.01</v>
      </c>
      <c r="S156" s="545">
        <v>0.01</v>
      </c>
      <c r="T156" s="545">
        <v>0</v>
      </c>
      <c r="U156" s="545">
        <v>0</v>
      </c>
      <c r="V156" s="251">
        <f t="shared" si="141"/>
        <v>7.0000000000000007E-2</v>
      </c>
      <c r="W156" s="800">
        <f>+V156+P156+0.04+AB156+0.03</f>
        <v>0.25</v>
      </c>
      <c r="X156" s="801">
        <v>0.05</v>
      </c>
      <c r="Y156" s="800"/>
      <c r="Z156" s="800"/>
      <c r="AA156" s="800"/>
      <c r="AB156" s="800">
        <f t="shared" si="164"/>
        <v>0.05</v>
      </c>
      <c r="AC156" s="176">
        <f>+(P156/G156)</f>
        <v>0.6</v>
      </c>
      <c r="AD156" s="194">
        <f>+V156/H156</f>
        <v>0.35000000000000003</v>
      </c>
      <c r="AE156" s="194">
        <f t="shared" si="187"/>
        <v>0.11111111111111112</v>
      </c>
      <c r="AF156" s="176">
        <f>+AC156*E156</f>
        <v>0.06</v>
      </c>
      <c r="AG156" s="176">
        <f>+AD156*E156</f>
        <v>3.5000000000000003E-2</v>
      </c>
      <c r="AH156" s="176">
        <f t="shared" si="188"/>
        <v>1.1111111111111113E-2</v>
      </c>
      <c r="AI156" s="194">
        <f>+P156/F156</f>
        <v>0.02</v>
      </c>
      <c r="AJ156" s="230">
        <v>5.6666666666666671E-2</v>
      </c>
      <c r="AK156" s="230">
        <f t="shared" si="189"/>
        <v>8.3333333333333329E-2</v>
      </c>
      <c r="AL156" s="230">
        <f>+AI156*E156</f>
        <v>2E-3</v>
      </c>
      <c r="AM156" s="230">
        <f t="shared" si="190"/>
        <v>5.6666666666666671E-3</v>
      </c>
      <c r="AN156" s="230">
        <f t="shared" si="191"/>
        <v>8.3333333333333332E-3</v>
      </c>
      <c r="AO156" s="649" t="s">
        <v>1852</v>
      </c>
      <c r="AP156" s="570" t="s">
        <v>1892</v>
      </c>
      <c r="AQ156" s="570" t="s">
        <v>2268</v>
      </c>
      <c r="AR156" s="571" t="s">
        <v>2288</v>
      </c>
      <c r="AS156" s="571" t="s">
        <v>2403</v>
      </c>
      <c r="AT156" s="792" t="s">
        <v>2442</v>
      </c>
      <c r="AU156" s="571" t="s">
        <v>2496</v>
      </c>
      <c r="AV156" s="571" t="s">
        <v>2557</v>
      </c>
    </row>
    <row r="157" spans="1:48" ht="103.8" customHeight="1" thickBot="1" x14ac:dyDescent="0.4">
      <c r="A157" s="155"/>
      <c r="B157" s="181" t="s">
        <v>942</v>
      </c>
      <c r="C157" s="235" t="s">
        <v>1379</v>
      </c>
      <c r="D157" s="224" t="s">
        <v>560</v>
      </c>
      <c r="E157" s="228">
        <v>0.05</v>
      </c>
      <c r="F157" s="226">
        <v>1</v>
      </c>
      <c r="G157" s="244">
        <v>0.1</v>
      </c>
      <c r="H157" s="1189">
        <v>0</v>
      </c>
      <c r="I157" s="1189">
        <v>0.35</v>
      </c>
      <c r="J157" s="176">
        <f t="shared" si="183"/>
        <v>0.1</v>
      </c>
      <c r="K157" s="176">
        <f t="shared" si="184"/>
        <v>0</v>
      </c>
      <c r="L157" s="176">
        <f t="shared" si="192"/>
        <v>0.35</v>
      </c>
      <c r="M157" s="176">
        <f t="shared" si="185"/>
        <v>5.000000000000001E-3</v>
      </c>
      <c r="N157" s="176">
        <f t="shared" si="186"/>
        <v>0</v>
      </c>
      <c r="O157" s="176"/>
      <c r="P157" s="545">
        <v>0.05</v>
      </c>
      <c r="Q157" s="545"/>
      <c r="R157" s="545"/>
      <c r="S157" s="545"/>
      <c r="T157" s="545"/>
      <c r="U157" s="545">
        <v>0.1</v>
      </c>
      <c r="V157" s="251">
        <f t="shared" si="141"/>
        <v>0.1</v>
      </c>
      <c r="W157" s="251">
        <f>+V157+P157+AB157</f>
        <v>0.15000000000000002</v>
      </c>
      <c r="X157" s="545">
        <v>0</v>
      </c>
      <c r="Y157" s="251"/>
      <c r="Z157" s="251"/>
      <c r="AA157" s="251"/>
      <c r="AB157" s="251">
        <f t="shared" si="164"/>
        <v>0</v>
      </c>
      <c r="AC157" s="176">
        <f>+(P157/G157)</f>
        <v>0.5</v>
      </c>
      <c r="AD157" s="194">
        <v>1</v>
      </c>
      <c r="AE157" s="194"/>
      <c r="AF157" s="176">
        <f>+AC157*E157</f>
        <v>2.5000000000000001E-2</v>
      </c>
      <c r="AG157" s="176">
        <f>+AD157*E157</f>
        <v>0.05</v>
      </c>
      <c r="AH157" s="176">
        <f t="shared" si="188"/>
        <v>0</v>
      </c>
      <c r="AI157" s="194">
        <f>+P157/F157</f>
        <v>0.05</v>
      </c>
      <c r="AJ157" s="230">
        <v>0.15000000000000002</v>
      </c>
      <c r="AK157" s="230">
        <f t="shared" si="189"/>
        <v>0.15000000000000002</v>
      </c>
      <c r="AL157" s="230">
        <f>+AI157*E157</f>
        <v>2.5000000000000005E-3</v>
      </c>
      <c r="AM157" s="230">
        <f t="shared" si="190"/>
        <v>7.5000000000000015E-3</v>
      </c>
      <c r="AN157" s="230">
        <f t="shared" si="191"/>
        <v>7.5000000000000015E-3</v>
      </c>
      <c r="AO157" s="649" t="s">
        <v>1859</v>
      </c>
      <c r="AP157" s="570" t="s">
        <v>1892</v>
      </c>
      <c r="AQ157" s="570" t="s">
        <v>2268</v>
      </c>
      <c r="AR157" s="571" t="s">
        <v>2288</v>
      </c>
      <c r="AS157" s="921" t="s">
        <v>1865</v>
      </c>
      <c r="AT157" s="792" t="s">
        <v>2442</v>
      </c>
      <c r="AU157" s="1190" t="s">
        <v>2504</v>
      </c>
      <c r="AV157" s="571" t="s">
        <v>1893</v>
      </c>
    </row>
    <row r="158" spans="1:48" ht="93.6" customHeight="1" thickBot="1" x14ac:dyDescent="0.4">
      <c r="A158" s="155"/>
      <c r="B158" s="173" t="s">
        <v>943</v>
      </c>
      <c r="C158" s="223" t="s">
        <v>1380</v>
      </c>
      <c r="D158" s="224" t="s">
        <v>560</v>
      </c>
      <c r="E158" s="228">
        <v>0.05</v>
      </c>
      <c r="F158" s="226">
        <v>5</v>
      </c>
      <c r="G158" s="170">
        <v>0</v>
      </c>
      <c r="H158" s="170">
        <v>0</v>
      </c>
      <c r="I158" s="170">
        <v>0</v>
      </c>
      <c r="J158" s="176"/>
      <c r="K158" s="176">
        <f t="shared" si="184"/>
        <v>0</v>
      </c>
      <c r="L158" s="176"/>
      <c r="M158" s="176"/>
      <c r="N158" s="176">
        <f t="shared" si="186"/>
        <v>0</v>
      </c>
      <c r="O158" s="176"/>
      <c r="P158" s="541"/>
      <c r="Q158" s="541"/>
      <c r="R158" s="541"/>
      <c r="S158" s="541"/>
      <c r="T158" s="541"/>
      <c r="U158" s="541"/>
      <c r="V158" s="170">
        <f t="shared" si="141"/>
        <v>0</v>
      </c>
      <c r="W158" s="251">
        <f>+V158+P158+AB158</f>
        <v>0</v>
      </c>
      <c r="X158" s="541"/>
      <c r="Y158" s="170"/>
      <c r="Z158" s="170"/>
      <c r="AA158" s="170"/>
      <c r="AB158" s="170">
        <f t="shared" si="164"/>
        <v>0</v>
      </c>
      <c r="AC158" s="176"/>
      <c r="AD158" s="194"/>
      <c r="AE158" s="194"/>
      <c r="AF158" s="176"/>
      <c r="AG158" s="176">
        <f>+AD158*E158</f>
        <v>0</v>
      </c>
      <c r="AH158" s="176"/>
      <c r="AI158" s="194"/>
      <c r="AJ158" s="230"/>
      <c r="AK158" s="1503">
        <v>0</v>
      </c>
      <c r="AL158" s="230">
        <v>0</v>
      </c>
      <c r="AM158" s="230">
        <f t="shared" si="190"/>
        <v>0</v>
      </c>
      <c r="AN158" s="230">
        <f t="shared" si="191"/>
        <v>0</v>
      </c>
      <c r="AO158" s="649" t="s">
        <v>1852</v>
      </c>
      <c r="AP158" s="570" t="s">
        <v>1892</v>
      </c>
      <c r="AQ158" s="570" t="s">
        <v>2268</v>
      </c>
      <c r="AR158" s="571" t="s">
        <v>2288</v>
      </c>
      <c r="AS158" s="571" t="s">
        <v>2403</v>
      </c>
      <c r="AT158" s="792" t="s">
        <v>2442</v>
      </c>
      <c r="AU158" s="571" t="s">
        <v>2496</v>
      </c>
      <c r="AV158" s="571" t="s">
        <v>1893</v>
      </c>
    </row>
    <row r="159" spans="1:48" ht="42.75" customHeight="1" thickBot="1" x14ac:dyDescent="0.4">
      <c r="A159" s="155"/>
      <c r="B159" s="1557" t="s">
        <v>1750</v>
      </c>
      <c r="C159" s="1571"/>
      <c r="D159" s="231"/>
      <c r="E159" s="232">
        <v>0.1</v>
      </c>
      <c r="F159" s="226"/>
      <c r="G159" s="163"/>
      <c r="H159" s="163"/>
      <c r="I159" s="163"/>
      <c r="J159" s="169"/>
      <c r="K159" s="169">
        <f>+AVERAGE(K160:K166)</f>
        <v>0</v>
      </c>
      <c r="L159" s="169">
        <f>+AVERAGE(L160:L166)</f>
        <v>0.16666666666666666</v>
      </c>
      <c r="M159" s="169"/>
      <c r="N159" s="169">
        <f>+N160+N161+N162+N163+N164+N165+N166</f>
        <v>0</v>
      </c>
      <c r="O159" s="169"/>
      <c r="P159" s="168"/>
      <c r="Q159" s="168"/>
      <c r="R159" s="168"/>
      <c r="S159" s="168"/>
      <c r="T159" s="168"/>
      <c r="U159" s="987"/>
      <c r="V159" s="170"/>
      <c r="W159" s="168"/>
      <c r="X159" s="168"/>
      <c r="Y159" s="168"/>
      <c r="Z159" s="168"/>
      <c r="AA159" s="168"/>
      <c r="AB159" s="168"/>
      <c r="AC159" s="192"/>
      <c r="AD159" s="192"/>
      <c r="AE159" s="192">
        <f>+AVERAGE(AE160:AE166)</f>
        <v>0.4</v>
      </c>
      <c r="AF159" s="192"/>
      <c r="AG159" s="192">
        <f>+(AG160+AG161+AG162+AG163+AG164+AG165+AG166)*E159</f>
        <v>0</v>
      </c>
      <c r="AH159" s="192">
        <f>+(AH160+AH161+AH162+AH163+AH164+AH165+AH166)*E159</f>
        <v>1.2E-2</v>
      </c>
      <c r="AI159" s="169"/>
      <c r="AJ159" s="222"/>
      <c r="AK159" s="222">
        <f>+AVERAGE(AK160:AK166)</f>
        <v>2.8571428571428574E-2</v>
      </c>
      <c r="AL159" s="222"/>
      <c r="AM159" s="222">
        <f>+(AM160+AM161+AM162+AM163+AM164+AM165+AM166)</f>
        <v>0</v>
      </c>
      <c r="AN159" s="222">
        <f>+(AN160+AN161+AN162+AN163+AN164+AN165+AN166)</f>
        <v>0.06</v>
      </c>
      <c r="AO159" s="913"/>
      <c r="AP159" s="535"/>
      <c r="AQ159" s="535"/>
      <c r="AR159" s="535"/>
      <c r="AS159" s="535"/>
      <c r="AT159" s="1135"/>
      <c r="AU159" s="535"/>
      <c r="AV159" s="535"/>
    </row>
    <row r="160" spans="1:48" ht="87" customHeight="1" thickBot="1" x14ac:dyDescent="0.4">
      <c r="A160" s="155"/>
      <c r="B160" s="173" t="s">
        <v>944</v>
      </c>
      <c r="C160" s="223" t="s">
        <v>1381</v>
      </c>
      <c r="D160" s="224" t="s">
        <v>560</v>
      </c>
      <c r="E160" s="228">
        <v>0.06</v>
      </c>
      <c r="F160" s="226">
        <v>1</v>
      </c>
      <c r="G160" s="170">
        <v>0</v>
      </c>
      <c r="H160" s="170">
        <v>0</v>
      </c>
      <c r="I160" s="170">
        <v>0</v>
      </c>
      <c r="J160" s="176"/>
      <c r="K160" s="176">
        <f t="shared" ref="K160:K166" si="196">+H160/F160</f>
        <v>0</v>
      </c>
      <c r="L160" s="176"/>
      <c r="M160" s="176"/>
      <c r="N160" s="176">
        <f t="shared" ref="N160:N166" si="197">+(H160/F160)*E160</f>
        <v>0</v>
      </c>
      <c r="O160" s="176"/>
      <c r="P160" s="170"/>
      <c r="Q160" s="541"/>
      <c r="R160" s="541"/>
      <c r="S160" s="541"/>
      <c r="T160" s="541"/>
      <c r="U160" s="236"/>
      <c r="V160" s="170">
        <f t="shared" si="141"/>
        <v>0</v>
      </c>
      <c r="W160" s="170">
        <f>+V160+P160+AB160</f>
        <v>0</v>
      </c>
      <c r="X160" s="541"/>
      <c r="Y160" s="170"/>
      <c r="Z160" s="170"/>
      <c r="AA160" s="170"/>
      <c r="AB160" s="170">
        <f t="shared" si="164"/>
        <v>0</v>
      </c>
      <c r="AC160" s="176"/>
      <c r="AD160" s="194"/>
      <c r="AE160" s="194"/>
      <c r="AF160" s="176"/>
      <c r="AG160" s="176">
        <f t="shared" ref="AG160:AG166" si="198">+AD160*E160</f>
        <v>0</v>
      </c>
      <c r="AH160" s="176">
        <f t="shared" ref="AH160:AH166" si="199">+AE160*E160</f>
        <v>0</v>
      </c>
      <c r="AI160" s="194"/>
      <c r="AJ160" s="230"/>
      <c r="AK160" s="1503">
        <f t="shared" ref="AK160:AK166" si="200">+W160/F160</f>
        <v>0</v>
      </c>
      <c r="AL160" s="230"/>
      <c r="AM160" s="230">
        <f t="shared" ref="AM160:AM166" si="201">+AJ160*E160</f>
        <v>0</v>
      </c>
      <c r="AN160" s="230">
        <f t="shared" ref="AN160:AN166" si="202">+AK160*E160</f>
        <v>0</v>
      </c>
      <c r="AO160" s="649" t="s">
        <v>1852</v>
      </c>
      <c r="AP160" s="570" t="s">
        <v>1892</v>
      </c>
      <c r="AQ160" s="570" t="s">
        <v>2268</v>
      </c>
      <c r="AR160" s="571" t="s">
        <v>2288</v>
      </c>
      <c r="AS160" s="571" t="s">
        <v>2403</v>
      </c>
      <c r="AT160" s="792" t="s">
        <v>2442</v>
      </c>
      <c r="AU160" s="571" t="s">
        <v>2496</v>
      </c>
      <c r="AV160" s="571" t="s">
        <v>1893</v>
      </c>
    </row>
    <row r="161" spans="1:48" ht="66" customHeight="1" thickBot="1" x14ac:dyDescent="0.4">
      <c r="A161" s="155"/>
      <c r="B161" s="173" t="s">
        <v>945</v>
      </c>
      <c r="C161" s="223" t="s">
        <v>1382</v>
      </c>
      <c r="D161" s="224" t="s">
        <v>560</v>
      </c>
      <c r="E161" s="228">
        <v>0.06</v>
      </c>
      <c r="F161" s="226">
        <v>1</v>
      </c>
      <c r="G161" s="170">
        <v>0</v>
      </c>
      <c r="H161" s="170">
        <v>0</v>
      </c>
      <c r="I161" s="170">
        <v>0</v>
      </c>
      <c r="J161" s="176"/>
      <c r="K161" s="176">
        <f t="shared" si="196"/>
        <v>0</v>
      </c>
      <c r="L161" s="176"/>
      <c r="M161" s="176"/>
      <c r="N161" s="176">
        <f t="shared" si="197"/>
        <v>0</v>
      </c>
      <c r="O161" s="176"/>
      <c r="P161" s="170"/>
      <c r="Q161" s="541"/>
      <c r="R161" s="541"/>
      <c r="S161" s="541"/>
      <c r="T161" s="541"/>
      <c r="U161" s="236"/>
      <c r="V161" s="170">
        <f t="shared" si="141"/>
        <v>0</v>
      </c>
      <c r="W161" s="170">
        <f t="shared" ref="W161:W166" si="203">+V161+P161+AB161</f>
        <v>0</v>
      </c>
      <c r="X161" s="541"/>
      <c r="Y161" s="170"/>
      <c r="Z161" s="170"/>
      <c r="AA161" s="170"/>
      <c r="AB161" s="170">
        <f t="shared" si="164"/>
        <v>0</v>
      </c>
      <c r="AC161" s="176"/>
      <c r="AD161" s="194"/>
      <c r="AE161" s="194"/>
      <c r="AF161" s="176"/>
      <c r="AG161" s="176">
        <f t="shared" si="198"/>
        <v>0</v>
      </c>
      <c r="AH161" s="176">
        <f t="shared" si="199"/>
        <v>0</v>
      </c>
      <c r="AI161" s="194"/>
      <c r="AJ161" s="230"/>
      <c r="AK161" s="1503">
        <f t="shared" si="200"/>
        <v>0</v>
      </c>
      <c r="AL161" s="230"/>
      <c r="AM161" s="230">
        <f t="shared" si="201"/>
        <v>0</v>
      </c>
      <c r="AN161" s="230">
        <f t="shared" si="202"/>
        <v>0</v>
      </c>
      <c r="AO161" s="649" t="s">
        <v>1852</v>
      </c>
      <c r="AP161" s="570" t="s">
        <v>1892</v>
      </c>
      <c r="AQ161" s="570" t="s">
        <v>2268</v>
      </c>
      <c r="AR161" s="571" t="s">
        <v>2288</v>
      </c>
      <c r="AS161" s="571" t="s">
        <v>2403</v>
      </c>
      <c r="AT161" s="792" t="s">
        <v>2442</v>
      </c>
      <c r="AU161" s="571" t="s">
        <v>2496</v>
      </c>
      <c r="AV161" s="571" t="s">
        <v>1893</v>
      </c>
    </row>
    <row r="162" spans="1:48" ht="91.2" customHeight="1" thickBot="1" x14ac:dyDescent="0.4">
      <c r="A162" s="155"/>
      <c r="B162" s="173" t="s">
        <v>946</v>
      </c>
      <c r="C162" s="223" t="s">
        <v>1383</v>
      </c>
      <c r="D162" s="224" t="s">
        <v>560</v>
      </c>
      <c r="E162" s="228">
        <v>0.06</v>
      </c>
      <c r="F162" s="226">
        <v>1</v>
      </c>
      <c r="G162" s="170">
        <v>0</v>
      </c>
      <c r="H162" s="170">
        <v>0</v>
      </c>
      <c r="I162" s="170">
        <v>0</v>
      </c>
      <c r="J162" s="176"/>
      <c r="K162" s="176">
        <f t="shared" si="196"/>
        <v>0</v>
      </c>
      <c r="L162" s="176"/>
      <c r="M162" s="176"/>
      <c r="N162" s="176">
        <f t="shared" si="197"/>
        <v>0</v>
      </c>
      <c r="O162" s="176"/>
      <c r="P162" s="170"/>
      <c r="Q162" s="541"/>
      <c r="R162" s="541"/>
      <c r="S162" s="541"/>
      <c r="T162" s="541"/>
      <c r="U162" s="236"/>
      <c r="V162" s="170">
        <f t="shared" si="141"/>
        <v>0</v>
      </c>
      <c r="W162" s="170">
        <f t="shared" si="203"/>
        <v>0</v>
      </c>
      <c r="X162" s="541"/>
      <c r="Y162" s="170"/>
      <c r="Z162" s="170"/>
      <c r="AA162" s="170"/>
      <c r="AB162" s="170">
        <f t="shared" si="164"/>
        <v>0</v>
      </c>
      <c r="AC162" s="176"/>
      <c r="AD162" s="194"/>
      <c r="AE162" s="194"/>
      <c r="AF162" s="176"/>
      <c r="AG162" s="176">
        <f t="shared" si="198"/>
        <v>0</v>
      </c>
      <c r="AH162" s="176">
        <f>+AE162*E162</f>
        <v>0</v>
      </c>
      <c r="AI162" s="194"/>
      <c r="AJ162" s="230"/>
      <c r="AK162" s="1503">
        <f t="shared" si="200"/>
        <v>0</v>
      </c>
      <c r="AL162" s="230"/>
      <c r="AM162" s="230">
        <f t="shared" si="201"/>
        <v>0</v>
      </c>
      <c r="AN162" s="230">
        <f t="shared" si="202"/>
        <v>0</v>
      </c>
      <c r="AO162" s="649" t="s">
        <v>1852</v>
      </c>
      <c r="AP162" s="570" t="s">
        <v>1892</v>
      </c>
      <c r="AQ162" s="570" t="s">
        <v>2268</v>
      </c>
      <c r="AR162" s="571" t="s">
        <v>2288</v>
      </c>
      <c r="AS162" s="571" t="s">
        <v>2403</v>
      </c>
      <c r="AT162" s="792" t="s">
        <v>2442</v>
      </c>
      <c r="AU162" s="571" t="s">
        <v>2496</v>
      </c>
      <c r="AV162" s="571" t="s">
        <v>1893</v>
      </c>
    </row>
    <row r="163" spans="1:48" ht="109.2" customHeight="1" thickBot="1" x14ac:dyDescent="0.4">
      <c r="A163" s="155"/>
      <c r="B163" s="173" t="s">
        <v>947</v>
      </c>
      <c r="C163" s="223" t="s">
        <v>1384</v>
      </c>
      <c r="D163" s="224" t="s">
        <v>560</v>
      </c>
      <c r="E163" s="228">
        <v>0.3</v>
      </c>
      <c r="F163" s="226">
        <v>1</v>
      </c>
      <c r="G163" s="170">
        <v>0</v>
      </c>
      <c r="H163" s="170">
        <v>0</v>
      </c>
      <c r="I163" s="170">
        <v>0.5</v>
      </c>
      <c r="J163" s="176"/>
      <c r="K163" s="176">
        <f t="shared" si="196"/>
        <v>0</v>
      </c>
      <c r="L163" s="176">
        <f>+I163/F163</f>
        <v>0.5</v>
      </c>
      <c r="M163" s="176"/>
      <c r="N163" s="176">
        <f t="shared" si="197"/>
        <v>0</v>
      </c>
      <c r="O163" s="176"/>
      <c r="P163" s="170"/>
      <c r="Q163" s="541"/>
      <c r="R163" s="541"/>
      <c r="S163" s="541"/>
      <c r="T163" s="541"/>
      <c r="U163" s="236"/>
      <c r="V163" s="170">
        <f t="shared" si="141"/>
        <v>0</v>
      </c>
      <c r="W163" s="170">
        <f t="shared" si="203"/>
        <v>0.2</v>
      </c>
      <c r="X163" s="545">
        <v>0.2</v>
      </c>
      <c r="Y163" s="170"/>
      <c r="Z163" s="170"/>
      <c r="AA163" s="170"/>
      <c r="AB163" s="170">
        <f t="shared" si="164"/>
        <v>0.2</v>
      </c>
      <c r="AC163" s="176"/>
      <c r="AD163" s="194"/>
      <c r="AE163" s="194">
        <f t="shared" ref="AE163" si="204">+AB163/I163</f>
        <v>0.4</v>
      </c>
      <c r="AF163" s="176"/>
      <c r="AG163" s="176">
        <f t="shared" si="198"/>
        <v>0</v>
      </c>
      <c r="AH163" s="176">
        <f t="shared" si="199"/>
        <v>0.12</v>
      </c>
      <c r="AI163" s="194"/>
      <c r="AJ163" s="230"/>
      <c r="AK163" s="1503">
        <f t="shared" si="200"/>
        <v>0.2</v>
      </c>
      <c r="AL163" s="230"/>
      <c r="AM163" s="230">
        <f t="shared" si="201"/>
        <v>0</v>
      </c>
      <c r="AN163" s="230">
        <f t="shared" si="202"/>
        <v>0.06</v>
      </c>
      <c r="AO163" s="649" t="s">
        <v>1852</v>
      </c>
      <c r="AP163" s="570" t="s">
        <v>1892</v>
      </c>
      <c r="AQ163" s="570" t="s">
        <v>2268</v>
      </c>
      <c r="AR163" s="571" t="s">
        <v>2288</v>
      </c>
      <c r="AS163" s="571" t="s">
        <v>2403</v>
      </c>
      <c r="AT163" s="792" t="s">
        <v>2442</v>
      </c>
      <c r="AU163" s="571" t="s">
        <v>2496</v>
      </c>
      <c r="AV163" s="571" t="s">
        <v>1893</v>
      </c>
    </row>
    <row r="164" spans="1:48" ht="72.599999999999994" customHeight="1" thickBot="1" x14ac:dyDescent="0.4">
      <c r="A164" s="155"/>
      <c r="B164" s="181" t="s">
        <v>948</v>
      </c>
      <c r="C164" s="235" t="s">
        <v>1385</v>
      </c>
      <c r="D164" s="224" t="s">
        <v>811</v>
      </c>
      <c r="E164" s="228">
        <v>0.02</v>
      </c>
      <c r="F164" s="226">
        <v>1</v>
      </c>
      <c r="G164" s="170">
        <v>0</v>
      </c>
      <c r="H164" s="170">
        <v>0</v>
      </c>
      <c r="I164" s="170">
        <v>0</v>
      </c>
      <c r="J164" s="176"/>
      <c r="K164" s="176">
        <f t="shared" si="196"/>
        <v>0</v>
      </c>
      <c r="L164" s="176"/>
      <c r="M164" s="176"/>
      <c r="N164" s="176">
        <f t="shared" si="197"/>
        <v>0</v>
      </c>
      <c r="O164" s="176"/>
      <c r="P164" s="170"/>
      <c r="Q164" s="541"/>
      <c r="R164" s="541"/>
      <c r="S164" s="541"/>
      <c r="T164" s="541"/>
      <c r="U164" s="236"/>
      <c r="V164" s="170">
        <f t="shared" si="141"/>
        <v>0</v>
      </c>
      <c r="W164" s="170">
        <f t="shared" si="203"/>
        <v>0</v>
      </c>
      <c r="X164" s="541"/>
      <c r="Y164" s="170"/>
      <c r="Z164" s="170"/>
      <c r="AA164" s="170"/>
      <c r="AB164" s="170">
        <f t="shared" si="164"/>
        <v>0</v>
      </c>
      <c r="AC164" s="176"/>
      <c r="AD164" s="194"/>
      <c r="AE164" s="194"/>
      <c r="AF164" s="176"/>
      <c r="AG164" s="176">
        <f t="shared" si="198"/>
        <v>0</v>
      </c>
      <c r="AH164" s="176">
        <f t="shared" si="199"/>
        <v>0</v>
      </c>
      <c r="AI164" s="194"/>
      <c r="AJ164" s="230"/>
      <c r="AK164" s="1503">
        <f t="shared" si="200"/>
        <v>0</v>
      </c>
      <c r="AL164" s="230"/>
      <c r="AM164" s="230">
        <f t="shared" si="201"/>
        <v>0</v>
      </c>
      <c r="AN164" s="230">
        <f t="shared" si="202"/>
        <v>0</v>
      </c>
      <c r="AO164" s="649" t="s">
        <v>1852</v>
      </c>
      <c r="AP164" s="570" t="s">
        <v>1892</v>
      </c>
      <c r="AQ164" s="570" t="s">
        <v>2268</v>
      </c>
      <c r="AR164" s="571" t="s">
        <v>2288</v>
      </c>
      <c r="AS164" s="571" t="s">
        <v>2403</v>
      </c>
      <c r="AT164" s="792" t="s">
        <v>2442</v>
      </c>
      <c r="AU164" s="571" t="s">
        <v>2496</v>
      </c>
      <c r="AV164" s="571" t="s">
        <v>1893</v>
      </c>
    </row>
    <row r="165" spans="1:48" ht="100.95" customHeight="1" thickBot="1" x14ac:dyDescent="0.4">
      <c r="A165" s="155"/>
      <c r="B165" s="790" t="s">
        <v>949</v>
      </c>
      <c r="C165" s="791" t="s">
        <v>1386</v>
      </c>
      <c r="D165" s="224" t="s">
        <v>825</v>
      </c>
      <c r="E165" s="228">
        <v>0.4</v>
      </c>
      <c r="F165" s="226">
        <v>2</v>
      </c>
      <c r="G165" s="170">
        <v>0</v>
      </c>
      <c r="H165" s="170">
        <v>0</v>
      </c>
      <c r="I165" s="170"/>
      <c r="J165" s="176"/>
      <c r="K165" s="176">
        <f t="shared" si="196"/>
        <v>0</v>
      </c>
      <c r="L165" s="176">
        <f t="shared" ref="L165:L166" si="205">+I165/F165</f>
        <v>0</v>
      </c>
      <c r="M165" s="176"/>
      <c r="N165" s="176">
        <f t="shared" si="197"/>
        <v>0</v>
      </c>
      <c r="O165" s="176"/>
      <c r="P165" s="170"/>
      <c r="Q165" s="541"/>
      <c r="R165" s="541"/>
      <c r="S165" s="541"/>
      <c r="T165" s="541"/>
      <c r="U165" s="236"/>
      <c r="V165" s="170">
        <f t="shared" si="141"/>
        <v>0</v>
      </c>
      <c r="W165" s="170">
        <f t="shared" si="203"/>
        <v>0</v>
      </c>
      <c r="X165" s="170"/>
      <c r="Y165" s="170"/>
      <c r="Z165" s="170"/>
      <c r="AA165" s="170"/>
      <c r="AB165" s="170">
        <f t="shared" si="164"/>
        <v>0</v>
      </c>
      <c r="AC165" s="176"/>
      <c r="AD165" s="176"/>
      <c r="AE165" s="176"/>
      <c r="AF165" s="176"/>
      <c r="AG165" s="176">
        <f t="shared" si="198"/>
        <v>0</v>
      </c>
      <c r="AH165" s="176">
        <f t="shared" si="199"/>
        <v>0</v>
      </c>
      <c r="AI165" s="176"/>
      <c r="AJ165" s="227"/>
      <c r="AK165" s="919">
        <f t="shared" si="200"/>
        <v>0</v>
      </c>
      <c r="AL165" s="227"/>
      <c r="AM165" s="227">
        <f t="shared" si="201"/>
        <v>0</v>
      </c>
      <c r="AN165" s="227">
        <f t="shared" si="202"/>
        <v>0</v>
      </c>
      <c r="AO165" s="649" t="s">
        <v>1852</v>
      </c>
      <c r="AP165" s="573" t="s">
        <v>1903</v>
      </c>
      <c r="AQ165" s="535"/>
      <c r="AR165" s="644" t="s">
        <v>2321</v>
      </c>
      <c r="AS165" s="535"/>
      <c r="AT165" s="1135"/>
      <c r="AU165" s="571" t="s">
        <v>2496</v>
      </c>
      <c r="AV165" s="1211" t="s">
        <v>1865</v>
      </c>
    </row>
    <row r="166" spans="1:48" ht="127.2" customHeight="1" thickBot="1" x14ac:dyDescent="0.4">
      <c r="A166" s="155"/>
      <c r="B166" s="790" t="s">
        <v>950</v>
      </c>
      <c r="C166" s="791" t="s">
        <v>1387</v>
      </c>
      <c r="D166" s="224" t="s">
        <v>1988</v>
      </c>
      <c r="E166" s="228">
        <v>0.1</v>
      </c>
      <c r="F166" s="226">
        <v>4</v>
      </c>
      <c r="G166" s="170">
        <v>0</v>
      </c>
      <c r="H166" s="170">
        <v>0</v>
      </c>
      <c r="I166" s="170"/>
      <c r="J166" s="176"/>
      <c r="K166" s="176">
        <f t="shared" si="196"/>
        <v>0</v>
      </c>
      <c r="L166" s="176">
        <f t="shared" si="205"/>
        <v>0</v>
      </c>
      <c r="M166" s="176"/>
      <c r="N166" s="176">
        <f t="shared" si="197"/>
        <v>0</v>
      </c>
      <c r="O166" s="176"/>
      <c r="P166" s="170"/>
      <c r="Q166" s="541"/>
      <c r="R166" s="541"/>
      <c r="S166" s="541"/>
      <c r="T166" s="541"/>
      <c r="U166" s="236"/>
      <c r="V166" s="170">
        <f t="shared" si="141"/>
        <v>0</v>
      </c>
      <c r="W166" s="170">
        <f t="shared" si="203"/>
        <v>0</v>
      </c>
      <c r="X166" s="170"/>
      <c r="Y166" s="170"/>
      <c r="Z166" s="170"/>
      <c r="AA166" s="170"/>
      <c r="AB166" s="170">
        <f t="shared" si="164"/>
        <v>0</v>
      </c>
      <c r="AC166" s="176"/>
      <c r="AD166" s="176"/>
      <c r="AE166" s="176"/>
      <c r="AF166" s="176"/>
      <c r="AG166" s="176">
        <f t="shared" si="198"/>
        <v>0</v>
      </c>
      <c r="AH166" s="176">
        <f t="shared" si="199"/>
        <v>0</v>
      </c>
      <c r="AI166" s="176"/>
      <c r="AJ166" s="227"/>
      <c r="AK166" s="919">
        <f t="shared" si="200"/>
        <v>0</v>
      </c>
      <c r="AL166" s="227"/>
      <c r="AM166" s="227">
        <f t="shared" si="201"/>
        <v>0</v>
      </c>
      <c r="AN166" s="227">
        <f t="shared" si="202"/>
        <v>0</v>
      </c>
      <c r="AO166" s="649" t="s">
        <v>1852</v>
      </c>
      <c r="AP166" s="573" t="s">
        <v>1903</v>
      </c>
      <c r="AQ166" s="535"/>
      <c r="AR166" s="644" t="s">
        <v>2321</v>
      </c>
      <c r="AS166" s="535"/>
      <c r="AT166" s="1135"/>
      <c r="AU166" s="571" t="s">
        <v>2496</v>
      </c>
      <c r="AV166" s="1211" t="s">
        <v>1865</v>
      </c>
    </row>
    <row r="167" spans="1:48" ht="78" customHeight="1" thickBot="1" x14ac:dyDescent="0.4">
      <c r="A167" s="155"/>
      <c r="B167" s="1561" t="s">
        <v>1818</v>
      </c>
      <c r="C167" s="1571"/>
      <c r="D167" s="231"/>
      <c r="E167" s="234">
        <v>0.05</v>
      </c>
      <c r="F167" s="158">
        <f>+E167*AF167</f>
        <v>0</v>
      </c>
      <c r="G167" s="163"/>
      <c r="H167" s="159">
        <f>+E167*AG167</f>
        <v>4.5000000000000015E-4</v>
      </c>
      <c r="I167" s="159">
        <f>+E167*AH167</f>
        <v>4.5454545454545465E-5</v>
      </c>
      <c r="J167" s="161"/>
      <c r="K167" s="161">
        <f>+(K168)/1</f>
        <v>0.16666666666666666</v>
      </c>
      <c r="L167" s="161">
        <f>+(L168)/1</f>
        <v>0.18333333333333335</v>
      </c>
      <c r="M167" s="162"/>
      <c r="N167" s="162">
        <f>+(N168)/1</f>
        <v>0</v>
      </c>
      <c r="O167" s="162"/>
      <c r="P167" s="163"/>
      <c r="Q167" s="163"/>
      <c r="R167" s="163"/>
      <c r="S167" s="163"/>
      <c r="T167" s="163"/>
      <c r="U167" s="215"/>
      <c r="V167" s="967"/>
      <c r="W167" s="163"/>
      <c r="X167" s="163"/>
      <c r="Y167" s="163"/>
      <c r="Z167" s="163"/>
      <c r="AA167" s="163"/>
      <c r="AB167" s="163"/>
      <c r="AC167" s="161"/>
      <c r="AD167" s="161">
        <f>+AD168</f>
        <v>0.90000000000000013</v>
      </c>
      <c r="AE167" s="161">
        <f>+AE168</f>
        <v>9.0909090909090912E-2</v>
      </c>
      <c r="AF167" s="162"/>
      <c r="AG167" s="162">
        <f>+(AG168)*E167</f>
        <v>9.0000000000000028E-3</v>
      </c>
      <c r="AH167" s="162">
        <f>+(AH168)*E167</f>
        <v>9.0909090909090931E-4</v>
      </c>
      <c r="AI167" s="161"/>
      <c r="AJ167" s="532">
        <v>0.14850000000000002</v>
      </c>
      <c r="AK167" s="532">
        <f>+AK168</f>
        <v>0.16500000000000004</v>
      </c>
      <c r="AL167" s="220"/>
      <c r="AM167" s="220">
        <f>+AM168*E167</f>
        <v>4.5000000000000014E-3</v>
      </c>
      <c r="AN167" s="220">
        <f>+AN168*E167</f>
        <v>5.0000000000000018E-3</v>
      </c>
      <c r="AO167" s="912"/>
      <c r="AP167" s="535"/>
      <c r="AQ167" s="535"/>
      <c r="AR167" s="535"/>
      <c r="AS167" s="535"/>
      <c r="AT167" s="1135"/>
      <c r="AU167" s="535"/>
      <c r="AV167" s="535"/>
    </row>
    <row r="168" spans="1:48" ht="58.8" customHeight="1" thickBot="1" x14ac:dyDescent="0.4">
      <c r="A168" s="155"/>
      <c r="B168" s="1557" t="s">
        <v>1751</v>
      </c>
      <c r="C168" s="1571"/>
      <c r="D168" s="231"/>
      <c r="E168" s="232">
        <v>1</v>
      </c>
      <c r="F168" s="226"/>
      <c r="G168" s="163"/>
      <c r="H168" s="163"/>
      <c r="I168" s="163"/>
      <c r="J168" s="169"/>
      <c r="K168" s="169">
        <f>+AVERAGE(K169:K171)</f>
        <v>0.16666666666666666</v>
      </c>
      <c r="L168" s="169">
        <f>+AVERAGE(L169:L171)</f>
        <v>0.18333333333333335</v>
      </c>
      <c r="M168" s="169"/>
      <c r="N168" s="169">
        <f>+N169+N170+N171</f>
        <v>0</v>
      </c>
      <c r="O168" s="169"/>
      <c r="P168" s="168"/>
      <c r="Q168" s="168"/>
      <c r="R168" s="168"/>
      <c r="S168" s="168"/>
      <c r="T168" s="168"/>
      <c r="U168" s="987"/>
      <c r="V168" s="170"/>
      <c r="W168" s="168"/>
      <c r="X168" s="168"/>
      <c r="Y168" s="168"/>
      <c r="Z168" s="168"/>
      <c r="AA168" s="168"/>
      <c r="AB168" s="168"/>
      <c r="AC168" s="171"/>
      <c r="AD168" s="192">
        <f>+AVERAGE(AD169:AD171)</f>
        <v>0.90000000000000013</v>
      </c>
      <c r="AE168" s="192">
        <f>+AVERAGE(AE169:AE171)</f>
        <v>9.0909090909090912E-2</v>
      </c>
      <c r="AF168" s="192"/>
      <c r="AG168" s="192">
        <f>+(AG169+AG170+AG171)*E168</f>
        <v>0.18000000000000005</v>
      </c>
      <c r="AH168" s="192">
        <f>+(AH169+AH170+AH171)*E168</f>
        <v>1.8181818181818184E-2</v>
      </c>
      <c r="AI168" s="169"/>
      <c r="AJ168" s="222">
        <v>0.14850000000000002</v>
      </c>
      <c r="AK168" s="222">
        <f>+AK169*0.33+AK170*0.33+AK171*0.33</f>
        <v>0.16500000000000004</v>
      </c>
      <c r="AL168" s="222"/>
      <c r="AM168" s="222">
        <f>+(AM169+AM170+AM171)</f>
        <v>9.0000000000000024E-2</v>
      </c>
      <c r="AN168" s="222">
        <f>+(AN169+AN170+AN171)</f>
        <v>0.10000000000000003</v>
      </c>
      <c r="AO168" s="913"/>
      <c r="AP168" s="535"/>
      <c r="AQ168" s="535"/>
      <c r="AR168" s="535"/>
      <c r="AS168" s="535"/>
      <c r="AT168" s="1135"/>
      <c r="AU168" s="535"/>
      <c r="AV168" s="535"/>
    </row>
    <row r="169" spans="1:48" ht="79.8" customHeight="1" thickBot="1" x14ac:dyDescent="0.4">
      <c r="A169" s="155"/>
      <c r="B169" s="181" t="s">
        <v>951</v>
      </c>
      <c r="C169" s="235" t="s">
        <v>1388</v>
      </c>
      <c r="D169" s="224" t="s">
        <v>560</v>
      </c>
      <c r="E169" s="228">
        <v>0.2</v>
      </c>
      <c r="F169" s="226">
        <v>1</v>
      </c>
      <c r="G169" s="170">
        <v>0</v>
      </c>
      <c r="H169" s="170">
        <v>0.5</v>
      </c>
      <c r="I169" s="170">
        <v>0.55000000000000004</v>
      </c>
      <c r="J169" s="176"/>
      <c r="K169" s="176">
        <f t="shared" ref="K169:K170" si="206">+H169/F169</f>
        <v>0.5</v>
      </c>
      <c r="L169" s="176">
        <f t="shared" ref="L169:L171" si="207">+I169/F169</f>
        <v>0.55000000000000004</v>
      </c>
      <c r="M169" s="176"/>
      <c r="N169" s="176"/>
      <c r="O169" s="176"/>
      <c r="P169" s="176"/>
      <c r="Q169" s="547"/>
      <c r="R169" s="541">
        <v>0.1</v>
      </c>
      <c r="S169" s="541">
        <v>0.1</v>
      </c>
      <c r="T169" s="541">
        <v>0.1</v>
      </c>
      <c r="U169" s="541">
        <v>0.15</v>
      </c>
      <c r="V169" s="206">
        <f t="shared" si="141"/>
        <v>0.45000000000000007</v>
      </c>
      <c r="W169" s="206">
        <f>+V169+P169+AB169</f>
        <v>0.50000000000000011</v>
      </c>
      <c r="X169" s="542">
        <v>0.05</v>
      </c>
      <c r="Y169" s="206"/>
      <c r="Z169" s="206"/>
      <c r="AA169" s="206"/>
      <c r="AB169" s="647">
        <f t="shared" ref="AB169:AB171" si="208">+X169+Y169+Z169+AA169</f>
        <v>0.05</v>
      </c>
      <c r="AC169" s="176"/>
      <c r="AD169" s="194">
        <f>+V169/H169</f>
        <v>0.90000000000000013</v>
      </c>
      <c r="AE169" s="194">
        <f t="shared" ref="AE169" si="209">+AB169/I169</f>
        <v>9.0909090909090912E-2</v>
      </c>
      <c r="AF169" s="176"/>
      <c r="AG169" s="176">
        <f>+AD169*E169</f>
        <v>0.18000000000000005</v>
      </c>
      <c r="AH169" s="176">
        <f t="shared" ref="AH169:AH171" si="210">+AE169*E169</f>
        <v>1.8181818181818184E-2</v>
      </c>
      <c r="AI169" s="194"/>
      <c r="AJ169" s="194">
        <v>0.45000000000000007</v>
      </c>
      <c r="AK169" s="230">
        <f t="shared" ref="AK169:AK171" si="211">+W169/F169</f>
        <v>0.50000000000000011</v>
      </c>
      <c r="AL169" s="230"/>
      <c r="AM169" s="230">
        <f>+AJ169*E169</f>
        <v>9.0000000000000024E-2</v>
      </c>
      <c r="AN169" s="230">
        <f t="shared" ref="AN169:AN171" si="212">+AK169*E169</f>
        <v>0.10000000000000003</v>
      </c>
      <c r="AO169" s="649" t="s">
        <v>1852</v>
      </c>
      <c r="AP169" s="570" t="s">
        <v>1892</v>
      </c>
      <c r="AQ169" s="535"/>
      <c r="AR169" s="571" t="s">
        <v>2288</v>
      </c>
      <c r="AS169" s="571" t="s">
        <v>2375</v>
      </c>
      <c r="AT169" s="1140"/>
      <c r="AU169" s="571" t="s">
        <v>2496</v>
      </c>
      <c r="AV169" s="571" t="s">
        <v>1893</v>
      </c>
    </row>
    <row r="170" spans="1:48" ht="79.8" customHeight="1" thickBot="1" x14ac:dyDescent="0.4">
      <c r="A170" s="155"/>
      <c r="B170" s="181" t="s">
        <v>952</v>
      </c>
      <c r="C170" s="235" t="s">
        <v>1389</v>
      </c>
      <c r="D170" s="224" t="s">
        <v>953</v>
      </c>
      <c r="E170" s="228">
        <v>0.2</v>
      </c>
      <c r="F170" s="226">
        <v>1</v>
      </c>
      <c r="G170" s="170">
        <v>0</v>
      </c>
      <c r="H170" s="170">
        <v>0</v>
      </c>
      <c r="I170" s="170">
        <v>0</v>
      </c>
      <c r="J170" s="176"/>
      <c r="K170" s="176">
        <f t="shared" si="206"/>
        <v>0</v>
      </c>
      <c r="L170" s="176">
        <f t="shared" si="207"/>
        <v>0</v>
      </c>
      <c r="M170" s="176"/>
      <c r="N170" s="176"/>
      <c r="O170" s="176"/>
      <c r="P170" s="176"/>
      <c r="Q170" s="547"/>
      <c r="R170" s="547"/>
      <c r="S170" s="547"/>
      <c r="T170" s="547"/>
      <c r="U170" s="547"/>
      <c r="V170" s="1132">
        <f t="shared" si="141"/>
        <v>0</v>
      </c>
      <c r="W170" s="647">
        <f t="shared" ref="W170:W171" si="213">+V170+P170+AB170</f>
        <v>0</v>
      </c>
      <c r="X170" s="547"/>
      <c r="Y170" s="176"/>
      <c r="Z170" s="176"/>
      <c r="AA170" s="176"/>
      <c r="AB170" s="647">
        <f t="shared" si="208"/>
        <v>0</v>
      </c>
      <c r="AC170" s="176"/>
      <c r="AD170" s="194"/>
      <c r="AE170" s="194"/>
      <c r="AF170" s="176"/>
      <c r="AG170" s="176">
        <f>+AD170*E170</f>
        <v>0</v>
      </c>
      <c r="AH170" s="176"/>
      <c r="AI170" s="194"/>
      <c r="AJ170" s="230"/>
      <c r="AK170" s="230">
        <f t="shared" si="211"/>
        <v>0</v>
      </c>
      <c r="AL170" s="230"/>
      <c r="AM170" s="230">
        <f>+AJ170*E170</f>
        <v>0</v>
      </c>
      <c r="AN170" s="230">
        <f t="shared" si="212"/>
        <v>0</v>
      </c>
      <c r="AO170" s="649" t="s">
        <v>1852</v>
      </c>
      <c r="AP170" s="570" t="s">
        <v>1892</v>
      </c>
      <c r="AQ170" s="535"/>
      <c r="AR170" s="571" t="s">
        <v>2288</v>
      </c>
      <c r="AS170" s="571" t="s">
        <v>2403</v>
      </c>
      <c r="AT170" s="1140"/>
      <c r="AU170" s="571" t="s">
        <v>2496</v>
      </c>
      <c r="AV170" s="571" t="s">
        <v>1893</v>
      </c>
    </row>
    <row r="171" spans="1:48" ht="90" customHeight="1" thickBot="1" x14ac:dyDescent="0.4">
      <c r="A171" s="155"/>
      <c r="B171" s="790" t="s">
        <v>954</v>
      </c>
      <c r="C171" s="791" t="s">
        <v>1390</v>
      </c>
      <c r="D171" s="240" t="s">
        <v>1872</v>
      </c>
      <c r="E171" s="787">
        <v>0.6</v>
      </c>
      <c r="F171" s="226">
        <v>1</v>
      </c>
      <c r="G171" s="170">
        <v>0</v>
      </c>
      <c r="H171" s="170">
        <v>0</v>
      </c>
      <c r="I171" s="170"/>
      <c r="J171" s="176"/>
      <c r="K171" s="176">
        <f>+H171/F171</f>
        <v>0</v>
      </c>
      <c r="L171" s="176">
        <f t="shared" si="207"/>
        <v>0</v>
      </c>
      <c r="M171" s="176"/>
      <c r="N171" s="176"/>
      <c r="O171" s="176"/>
      <c r="P171" s="170"/>
      <c r="Q171" s="541"/>
      <c r="R171" s="170"/>
      <c r="S171" s="170"/>
      <c r="T171" s="170"/>
      <c r="U171" s="236"/>
      <c r="V171" s="170">
        <f t="shared" ref="V171" si="214">+Q171+R171+S171+T171+U171</f>
        <v>0</v>
      </c>
      <c r="W171" s="647">
        <f t="shared" si="213"/>
        <v>0</v>
      </c>
      <c r="X171" s="170"/>
      <c r="Y171" s="170"/>
      <c r="Z171" s="170"/>
      <c r="AA171" s="170"/>
      <c r="AB171" s="647">
        <f t="shared" si="208"/>
        <v>0</v>
      </c>
      <c r="AC171" s="176"/>
      <c r="AD171" s="176"/>
      <c r="AE171" s="176"/>
      <c r="AF171" s="176"/>
      <c r="AG171" s="176"/>
      <c r="AH171" s="176">
        <f t="shared" si="210"/>
        <v>0</v>
      </c>
      <c r="AI171" s="176"/>
      <c r="AJ171" s="176"/>
      <c r="AK171" s="176">
        <f t="shared" si="211"/>
        <v>0</v>
      </c>
      <c r="AL171" s="176"/>
      <c r="AM171" s="176">
        <f>+AJ171*E171</f>
        <v>0</v>
      </c>
      <c r="AN171" s="176">
        <f t="shared" si="212"/>
        <v>0</v>
      </c>
      <c r="AO171" s="916" t="s">
        <v>1574</v>
      </c>
      <c r="AP171" s="644" t="s">
        <v>1975</v>
      </c>
      <c r="AQ171" s="535"/>
      <c r="AR171" s="573" t="s">
        <v>2311</v>
      </c>
      <c r="AS171" s="535"/>
      <c r="AT171" s="1140"/>
      <c r="AU171" s="535"/>
      <c r="AV171" s="1211" t="s">
        <v>1865</v>
      </c>
    </row>
    <row r="172" spans="1:48" ht="15.75" customHeight="1" thickBot="1" x14ac:dyDescent="0.4">
      <c r="A172" s="151"/>
      <c r="B172" s="209"/>
      <c r="C172" s="209"/>
      <c r="D172" s="209"/>
      <c r="E172" s="209"/>
      <c r="F172" s="209"/>
      <c r="G172" s="209"/>
      <c r="H172" s="209"/>
      <c r="I172" s="209"/>
      <c r="J172" s="209"/>
      <c r="K172" s="209"/>
      <c r="L172" s="209"/>
      <c r="M172" s="209"/>
      <c r="N172" s="209"/>
      <c r="O172" s="209"/>
      <c r="P172" s="209"/>
      <c r="Q172" s="209"/>
      <c r="R172" s="209"/>
      <c r="S172" s="209"/>
      <c r="T172" s="209"/>
      <c r="U172" s="990"/>
      <c r="V172" s="209"/>
      <c r="W172" s="209"/>
      <c r="X172" s="209"/>
      <c r="Y172" s="209"/>
      <c r="Z172" s="209"/>
      <c r="AA172" s="209"/>
      <c r="AB172" s="209"/>
      <c r="AC172" s="209"/>
      <c r="AD172" s="209"/>
      <c r="AE172" s="209"/>
      <c r="AF172" s="209"/>
      <c r="AG172" s="209"/>
      <c r="AH172" s="209"/>
      <c r="AI172" s="209"/>
      <c r="AJ172" s="256"/>
      <c r="AK172" s="256"/>
      <c r="AL172" s="256"/>
      <c r="AM172" s="256"/>
      <c r="AN172" s="256"/>
      <c r="AO172" s="256"/>
    </row>
    <row r="173" spans="1:48" ht="15.75" customHeight="1" thickBot="1" x14ac:dyDescent="0.4">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5"/>
      <c r="AK173" s="155"/>
      <c r="AL173" s="155"/>
      <c r="AM173" s="155"/>
      <c r="AN173" s="155"/>
      <c r="AO173" s="155"/>
    </row>
    <row r="174" spans="1:48" ht="15.75" customHeight="1" thickBot="1" x14ac:dyDescent="0.4">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5"/>
      <c r="AK174" s="155"/>
      <c r="AL174" s="155"/>
      <c r="AM174" s="155"/>
      <c r="AN174" s="155"/>
      <c r="AO174" s="155"/>
    </row>
    <row r="175" spans="1:48" ht="15.75" customHeight="1" thickBot="1" x14ac:dyDescent="0.4">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5"/>
      <c r="AK175" s="155"/>
      <c r="AL175" s="155"/>
      <c r="AM175" s="155"/>
      <c r="AN175" s="155"/>
      <c r="AO175" s="155"/>
    </row>
    <row r="176" spans="1:48" ht="15.75" customHeight="1" thickBot="1" x14ac:dyDescent="0.4">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5"/>
      <c r="AK176" s="155"/>
      <c r="AL176" s="155"/>
      <c r="AM176" s="155"/>
      <c r="AN176" s="155"/>
      <c r="AO176" s="155"/>
    </row>
    <row r="177" spans="1:41" ht="15.75" customHeight="1" thickBot="1" x14ac:dyDescent="0.4">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5"/>
      <c r="AK177" s="155"/>
      <c r="AL177" s="155"/>
      <c r="AM177" s="155"/>
      <c r="AN177" s="155"/>
      <c r="AO177" s="155"/>
    </row>
    <row r="178" spans="1:41" ht="15.75" customHeight="1" thickBot="1" x14ac:dyDescent="0.4">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5"/>
      <c r="AK178" s="155"/>
      <c r="AL178" s="155"/>
      <c r="AM178" s="155"/>
      <c r="AN178" s="155"/>
      <c r="AO178" s="155"/>
    </row>
    <row r="179" spans="1:41" ht="15.75" customHeight="1" thickBot="1" x14ac:dyDescent="0.4">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1"/>
      <c r="AJ179" s="155"/>
      <c r="AK179" s="155"/>
      <c r="AL179" s="155"/>
      <c r="AM179" s="155"/>
      <c r="AN179" s="155"/>
      <c r="AO179" s="155"/>
    </row>
    <row r="180" spans="1:41" ht="15.75" customHeight="1" thickBot="1" x14ac:dyDescent="0.4">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5"/>
      <c r="AK180" s="155"/>
      <c r="AL180" s="155"/>
      <c r="AM180" s="155"/>
      <c r="AN180" s="155"/>
      <c r="AO180" s="155"/>
    </row>
    <row r="181" spans="1:41" ht="15.75" customHeight="1" thickBot="1" x14ac:dyDescent="0.4">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1"/>
      <c r="AJ181" s="155"/>
      <c r="AK181" s="155"/>
      <c r="AL181" s="155"/>
      <c r="AM181" s="155"/>
      <c r="AN181" s="155"/>
      <c r="AO181" s="155"/>
    </row>
    <row r="182" spans="1:41" ht="15.75" customHeight="1" thickBot="1" x14ac:dyDescent="0.4">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5"/>
      <c r="AK182" s="155"/>
      <c r="AL182" s="155"/>
      <c r="AM182" s="155"/>
      <c r="AN182" s="155"/>
      <c r="AO182" s="155"/>
    </row>
    <row r="183" spans="1:41" ht="15.75" customHeight="1" thickBot="1" x14ac:dyDescent="0.4">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5"/>
      <c r="AK183" s="155"/>
      <c r="AL183" s="155"/>
      <c r="AM183" s="155"/>
      <c r="AN183" s="155"/>
      <c r="AO183" s="155"/>
    </row>
    <row r="184" spans="1:41" ht="15.75" customHeight="1" thickBot="1" x14ac:dyDescent="0.4">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5"/>
      <c r="AK184" s="155"/>
      <c r="AL184" s="155"/>
      <c r="AM184" s="155"/>
      <c r="AN184" s="155"/>
      <c r="AO184" s="155"/>
    </row>
    <row r="185" spans="1:41" ht="15.75" customHeight="1" thickBot="1" x14ac:dyDescent="0.4">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1"/>
      <c r="AJ185" s="155"/>
      <c r="AK185" s="155"/>
      <c r="AL185" s="155"/>
      <c r="AM185" s="155"/>
      <c r="AN185" s="155"/>
      <c r="AO185" s="155"/>
    </row>
    <row r="186" spans="1:41" ht="15.75" customHeight="1" thickBot="1" x14ac:dyDescent="0.4">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5"/>
      <c r="AK186" s="155"/>
      <c r="AL186" s="155"/>
      <c r="AM186" s="155"/>
      <c r="AN186" s="155"/>
      <c r="AO186" s="155"/>
    </row>
    <row r="187" spans="1:41" ht="15.75" customHeight="1" thickBot="1" x14ac:dyDescent="0.4">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5"/>
      <c r="AK187" s="155"/>
      <c r="AL187" s="155"/>
      <c r="AM187" s="155"/>
      <c r="AN187" s="155"/>
      <c r="AO187" s="155"/>
    </row>
    <row r="188" spans="1:41" ht="15.75" customHeight="1" thickBot="1" x14ac:dyDescent="0.4">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5"/>
      <c r="AK188" s="155"/>
      <c r="AL188" s="155"/>
      <c r="AM188" s="155"/>
      <c r="AN188" s="155"/>
      <c r="AO188" s="155"/>
    </row>
    <row r="189" spans="1:41" ht="15.75" customHeight="1" thickBot="1" x14ac:dyDescent="0.4">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5"/>
      <c r="AK189" s="155"/>
      <c r="AL189" s="155"/>
      <c r="AM189" s="155"/>
      <c r="AN189" s="155"/>
      <c r="AO189" s="155"/>
    </row>
    <row r="190" spans="1:41" ht="15.75" customHeight="1" thickBot="1" x14ac:dyDescent="0.4">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5"/>
      <c r="AK190" s="155"/>
      <c r="AL190" s="155"/>
      <c r="AM190" s="155"/>
      <c r="AN190" s="155"/>
      <c r="AO190" s="155"/>
    </row>
    <row r="191" spans="1:41" ht="15.75" customHeight="1" thickBot="1" x14ac:dyDescent="0.4">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5"/>
      <c r="AK191" s="155"/>
      <c r="AL191" s="155"/>
      <c r="AM191" s="155"/>
      <c r="AN191" s="155"/>
      <c r="AO191" s="155"/>
    </row>
    <row r="192" spans="1:41" ht="15.75" customHeight="1" thickBot="1" x14ac:dyDescent="0.4">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5"/>
      <c r="AK192" s="155"/>
      <c r="AL192" s="155"/>
      <c r="AM192" s="155"/>
      <c r="AN192" s="155"/>
      <c r="AO192" s="155"/>
    </row>
    <row r="193" spans="1:41" ht="15.75" customHeight="1" thickBot="1" x14ac:dyDescent="0.4">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5"/>
      <c r="AK193" s="155"/>
      <c r="AL193" s="155"/>
      <c r="AM193" s="155"/>
      <c r="AN193" s="155"/>
      <c r="AO193" s="155"/>
    </row>
    <row r="194" spans="1:41" ht="15.75" customHeight="1" thickBot="1" x14ac:dyDescent="0.4">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5"/>
      <c r="AK194" s="155"/>
      <c r="AL194" s="155"/>
      <c r="AM194" s="155"/>
      <c r="AN194" s="155"/>
      <c r="AO194" s="155"/>
    </row>
    <row r="195" spans="1:41" ht="15.75" customHeight="1" thickBot="1" x14ac:dyDescent="0.4">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5"/>
      <c r="AK195" s="155"/>
      <c r="AL195" s="155"/>
      <c r="AM195" s="155"/>
      <c r="AN195" s="155"/>
      <c r="AO195" s="155"/>
    </row>
    <row r="196" spans="1:41" ht="15.75" customHeight="1" thickBot="1" x14ac:dyDescent="0.4">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5"/>
      <c r="AK196" s="155"/>
      <c r="AL196" s="155"/>
      <c r="AM196" s="155"/>
      <c r="AN196" s="155"/>
      <c r="AO196" s="155"/>
    </row>
    <row r="197" spans="1:41" ht="15.75" customHeight="1" thickBot="1" x14ac:dyDescent="0.4">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5"/>
      <c r="AK197" s="155"/>
      <c r="AL197" s="155"/>
      <c r="AM197" s="155"/>
      <c r="AN197" s="155"/>
      <c r="AO197" s="155"/>
    </row>
    <row r="198" spans="1:41" ht="15.75" customHeight="1" thickBot="1" x14ac:dyDescent="0.4">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5"/>
      <c r="AK198" s="155"/>
      <c r="AL198" s="155"/>
      <c r="AM198" s="155"/>
      <c r="AN198" s="155"/>
      <c r="AO198" s="155"/>
    </row>
    <row r="199" spans="1:41" ht="15.75" customHeight="1" thickBot="1" x14ac:dyDescent="0.4">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5"/>
      <c r="AK199" s="155"/>
      <c r="AL199" s="155"/>
      <c r="AM199" s="155"/>
      <c r="AN199" s="155"/>
      <c r="AO199" s="155"/>
    </row>
    <row r="200" spans="1:41" ht="15.75" customHeight="1" thickBot="1" x14ac:dyDescent="0.4">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1"/>
      <c r="AJ200" s="155"/>
      <c r="AK200" s="155"/>
      <c r="AL200" s="155"/>
      <c r="AM200" s="155"/>
      <c r="AN200" s="155"/>
      <c r="AO200" s="155"/>
    </row>
    <row r="201" spans="1:41" ht="15.75" customHeight="1" thickBot="1" x14ac:dyDescent="0.4">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5"/>
      <c r="AK201" s="155"/>
      <c r="AL201" s="155"/>
      <c r="AM201" s="155"/>
      <c r="AN201" s="155"/>
      <c r="AO201" s="155"/>
    </row>
    <row r="202" spans="1:41" ht="15.75" customHeight="1" thickBot="1" x14ac:dyDescent="0.4">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5"/>
      <c r="AK202" s="155"/>
      <c r="AL202" s="155"/>
      <c r="AM202" s="155"/>
      <c r="AN202" s="155"/>
      <c r="AO202" s="155"/>
    </row>
    <row r="203" spans="1:41" ht="15.75" customHeight="1" thickBot="1" x14ac:dyDescent="0.4">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5"/>
      <c r="AK203" s="155"/>
      <c r="AL203" s="155"/>
      <c r="AM203" s="155"/>
      <c r="AN203" s="155"/>
      <c r="AO203" s="155"/>
    </row>
    <row r="204" spans="1:41" ht="15.75" customHeight="1" thickBot="1" x14ac:dyDescent="0.4">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5"/>
      <c r="AK204" s="155"/>
      <c r="AL204" s="155"/>
      <c r="AM204" s="155"/>
      <c r="AN204" s="155"/>
      <c r="AO204" s="155"/>
    </row>
    <row r="205" spans="1:41" ht="15.75" customHeight="1" thickBot="1" x14ac:dyDescent="0.4">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5"/>
      <c r="AK205" s="155"/>
      <c r="AL205" s="155"/>
      <c r="AM205" s="155"/>
      <c r="AN205" s="155"/>
      <c r="AO205" s="155"/>
    </row>
    <row r="206" spans="1:41" ht="15.75" customHeight="1" thickBot="1" x14ac:dyDescent="0.4">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5"/>
      <c r="AK206" s="155"/>
      <c r="AL206" s="155"/>
      <c r="AM206" s="155"/>
      <c r="AN206" s="155"/>
      <c r="AO206" s="155"/>
    </row>
    <row r="207" spans="1:41" ht="15.75" customHeight="1" thickBot="1" x14ac:dyDescent="0.4">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5"/>
      <c r="AK207" s="155"/>
      <c r="AL207" s="155"/>
      <c r="AM207" s="155"/>
      <c r="AN207" s="155"/>
      <c r="AO207" s="155"/>
    </row>
    <row r="208" spans="1:41" ht="15.75" customHeight="1" thickBot="1" x14ac:dyDescent="0.4">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5"/>
      <c r="AK208" s="155"/>
      <c r="AL208" s="155"/>
      <c r="AM208" s="155"/>
      <c r="AN208" s="155"/>
      <c r="AO208" s="155"/>
    </row>
    <row r="209" spans="1:41" ht="15.75" customHeight="1" thickBot="1" x14ac:dyDescent="0.4">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5"/>
      <c r="AK209" s="155"/>
      <c r="AL209" s="155"/>
      <c r="AM209" s="155"/>
      <c r="AN209" s="155"/>
      <c r="AO209" s="155"/>
    </row>
    <row r="210" spans="1:41" ht="15.75" customHeight="1" thickBot="1" x14ac:dyDescent="0.4">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5"/>
      <c r="AK210" s="155"/>
      <c r="AL210" s="155"/>
      <c r="AM210" s="155"/>
      <c r="AN210" s="155"/>
      <c r="AO210" s="155"/>
    </row>
    <row r="211" spans="1:41" ht="15.75" customHeight="1" thickBot="1" x14ac:dyDescent="0.4">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5"/>
      <c r="AK211" s="155"/>
      <c r="AL211" s="155"/>
      <c r="AM211" s="155"/>
      <c r="AN211" s="155"/>
      <c r="AO211" s="155"/>
    </row>
    <row r="212" spans="1:41" ht="15.75" customHeight="1" thickBot="1" x14ac:dyDescent="0.4">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5"/>
      <c r="AK212" s="155"/>
      <c r="AL212" s="155"/>
      <c r="AM212" s="155"/>
      <c r="AN212" s="155"/>
      <c r="AO212" s="155"/>
    </row>
    <row r="213" spans="1:41" ht="15.75" customHeight="1" thickBot="1" x14ac:dyDescent="0.4">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1"/>
      <c r="AJ213" s="155"/>
      <c r="AK213" s="155"/>
      <c r="AL213" s="155"/>
      <c r="AM213" s="155"/>
      <c r="AN213" s="155"/>
      <c r="AO213" s="155"/>
    </row>
    <row r="214" spans="1:41" ht="15.75" customHeight="1" thickBot="1" x14ac:dyDescent="0.4">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5"/>
      <c r="AK214" s="155"/>
      <c r="AL214" s="155"/>
      <c r="AM214" s="155"/>
      <c r="AN214" s="155"/>
      <c r="AO214" s="155"/>
    </row>
    <row r="215" spans="1:41" ht="15.75" customHeight="1" thickBot="1" x14ac:dyDescent="0.4">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1"/>
      <c r="AJ215" s="155"/>
      <c r="AK215" s="155"/>
      <c r="AL215" s="155"/>
      <c r="AM215" s="155"/>
      <c r="AN215" s="155"/>
      <c r="AO215" s="155"/>
    </row>
    <row r="216" spans="1:41" ht="15.75" customHeight="1" thickBot="1" x14ac:dyDescent="0.4">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5"/>
      <c r="AK216" s="155"/>
      <c r="AL216" s="155"/>
      <c r="AM216" s="155"/>
      <c r="AN216" s="155"/>
      <c r="AO216" s="155"/>
    </row>
    <row r="217" spans="1:41" ht="15.75" customHeight="1" thickBot="1" x14ac:dyDescent="0.4">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1"/>
      <c r="AJ217" s="155"/>
      <c r="AK217" s="155"/>
      <c r="AL217" s="155"/>
      <c r="AM217" s="606"/>
      <c r="AN217" s="606"/>
      <c r="AO217" s="215"/>
    </row>
    <row r="218" spans="1:41" ht="15.75" customHeight="1" thickBot="1" x14ac:dyDescent="0.4">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5"/>
      <c r="AK218" s="155"/>
      <c r="AL218" s="155"/>
      <c r="AM218" s="606"/>
      <c r="AN218" s="606"/>
      <c r="AO218" s="215"/>
    </row>
    <row r="219" spans="1:41" ht="15.75" customHeight="1" thickBot="1" x14ac:dyDescent="0.4">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5"/>
      <c r="AK219" s="155"/>
      <c r="AL219" s="155"/>
      <c r="AM219" s="606"/>
      <c r="AN219" s="606"/>
      <c r="AO219" s="215"/>
    </row>
    <row r="220" spans="1:41" ht="15.75" customHeight="1" thickBot="1" x14ac:dyDescent="0.4">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5"/>
      <c r="AK220" s="155"/>
      <c r="AL220" s="155"/>
      <c r="AM220" s="606"/>
      <c r="AN220" s="606"/>
      <c r="AO220" s="215"/>
    </row>
    <row r="221" spans="1:41" ht="15.75" customHeight="1" thickBot="1" x14ac:dyDescent="0.4">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1"/>
      <c r="AJ221" s="155"/>
      <c r="AK221" s="155"/>
      <c r="AL221" s="155"/>
      <c r="AM221" s="606"/>
      <c r="AN221" s="606"/>
      <c r="AO221" s="215"/>
    </row>
    <row r="222" spans="1:41" ht="15.75" customHeight="1" thickBot="1" x14ac:dyDescent="0.4">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1"/>
      <c r="AI222" s="151"/>
      <c r="AJ222" s="155"/>
      <c r="AK222" s="155"/>
      <c r="AL222" s="155"/>
      <c r="AM222" s="606"/>
      <c r="AN222" s="606"/>
      <c r="AO222" s="215"/>
    </row>
    <row r="223" spans="1:41" ht="15.75" customHeight="1" thickBot="1" x14ac:dyDescent="0.4">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5"/>
      <c r="AK223" s="155"/>
      <c r="AL223" s="155"/>
      <c r="AM223" s="606"/>
      <c r="AN223" s="606"/>
      <c r="AO223" s="215"/>
    </row>
    <row r="224" spans="1:41" ht="15.75" customHeight="1" thickBot="1" x14ac:dyDescent="0.4">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5"/>
      <c r="AK224" s="155"/>
      <c r="AL224" s="155"/>
      <c r="AM224" s="606"/>
      <c r="AN224" s="606"/>
      <c r="AO224" s="215"/>
    </row>
    <row r="225" spans="1:41" ht="15.75" customHeight="1" thickBot="1" x14ac:dyDescent="0.4">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5"/>
      <c r="AK225" s="155"/>
      <c r="AL225" s="155"/>
      <c r="AM225" s="606"/>
      <c r="AN225" s="606"/>
      <c r="AO225" s="215"/>
    </row>
    <row r="226" spans="1:41" ht="15.75" customHeight="1" thickBot="1" x14ac:dyDescent="0.4">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1"/>
      <c r="AJ226" s="155"/>
      <c r="AK226" s="155"/>
      <c r="AL226" s="155"/>
      <c r="AM226" s="606"/>
      <c r="AN226" s="606"/>
      <c r="AO226" s="215"/>
    </row>
    <row r="227" spans="1:41" ht="15.75" customHeight="1" thickBot="1" x14ac:dyDescent="0.4">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5"/>
      <c r="AK227" s="155"/>
      <c r="AL227" s="155"/>
      <c r="AM227" s="606"/>
      <c r="AN227" s="606"/>
      <c r="AO227" s="215"/>
    </row>
    <row r="228" spans="1:41" ht="15.75" customHeight="1" thickBot="1" x14ac:dyDescent="0.4">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5"/>
      <c r="AK228" s="155"/>
      <c r="AL228" s="155"/>
      <c r="AM228" s="606"/>
      <c r="AN228" s="606"/>
      <c r="AO228" s="215"/>
    </row>
    <row r="229" spans="1:41" ht="15.75" customHeight="1" thickBot="1" x14ac:dyDescent="0.4">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1"/>
      <c r="AJ229" s="155"/>
      <c r="AK229" s="155"/>
      <c r="AL229" s="155"/>
      <c r="AM229" s="606"/>
      <c r="AN229" s="606"/>
      <c r="AO229" s="215"/>
    </row>
    <row r="230" spans="1:41" ht="15.75" customHeight="1" thickBot="1" x14ac:dyDescent="0.4">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1"/>
      <c r="AJ230" s="155"/>
      <c r="AK230" s="155"/>
      <c r="AL230" s="155"/>
      <c r="AM230" s="606"/>
      <c r="AN230" s="606"/>
      <c r="AO230" s="215"/>
    </row>
    <row r="231" spans="1:41" ht="15.75" customHeight="1" thickBot="1" x14ac:dyDescent="0.4">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5"/>
      <c r="AK231" s="155"/>
      <c r="AL231" s="155"/>
      <c r="AM231" s="606"/>
      <c r="AN231" s="606"/>
      <c r="AO231" s="215"/>
    </row>
    <row r="232" spans="1:41" ht="15.75" customHeight="1" thickBot="1" x14ac:dyDescent="0.4">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1"/>
      <c r="AI232" s="151"/>
      <c r="AJ232" s="155"/>
      <c r="AK232" s="155"/>
      <c r="AL232" s="155"/>
      <c r="AM232" s="606"/>
      <c r="AN232" s="606"/>
      <c r="AO232" s="215"/>
    </row>
    <row r="233" spans="1:41" ht="15.75" customHeight="1" thickBot="1" x14ac:dyDescent="0.4">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1"/>
      <c r="AJ233" s="155"/>
      <c r="AK233" s="155"/>
      <c r="AL233" s="155"/>
      <c r="AM233" s="606"/>
      <c r="AN233" s="606"/>
      <c r="AO233" s="215"/>
    </row>
    <row r="234" spans="1:41" ht="15.75" customHeight="1" thickBot="1" x14ac:dyDescent="0.4">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5"/>
      <c r="AK234" s="155"/>
      <c r="AL234" s="155"/>
      <c r="AM234" s="606"/>
      <c r="AN234" s="606"/>
      <c r="AO234" s="215"/>
    </row>
    <row r="235" spans="1:41" ht="15.75" customHeight="1" thickBot="1" x14ac:dyDescent="0.4">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5"/>
      <c r="AK235" s="155"/>
      <c r="AL235" s="155"/>
      <c r="AM235" s="606"/>
      <c r="AN235" s="606"/>
      <c r="AO235" s="215"/>
    </row>
    <row r="236" spans="1:41" ht="15.75" customHeight="1" thickBot="1" x14ac:dyDescent="0.4">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1"/>
      <c r="AI236" s="151"/>
      <c r="AJ236" s="155"/>
      <c r="AK236" s="155"/>
      <c r="AL236" s="155"/>
      <c r="AM236" s="606"/>
      <c r="AN236" s="606"/>
      <c r="AO236" s="215"/>
    </row>
    <row r="237" spans="1:41" ht="15.75" customHeight="1" thickBot="1" x14ac:dyDescent="0.4">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5"/>
      <c r="AK237" s="155"/>
      <c r="AL237" s="155"/>
      <c r="AM237" s="606"/>
      <c r="AN237" s="606"/>
      <c r="AO237" s="215"/>
    </row>
    <row r="238" spans="1:41" ht="15.75" customHeight="1" thickBot="1" x14ac:dyDescent="0.4">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5"/>
      <c r="AK238" s="155"/>
      <c r="AL238" s="155"/>
      <c r="AM238" s="606"/>
      <c r="AN238" s="606"/>
      <c r="AO238" s="215"/>
    </row>
    <row r="239" spans="1:41" ht="15.75" customHeight="1" thickBot="1" x14ac:dyDescent="0.4">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5"/>
      <c r="AK239" s="155"/>
      <c r="AL239" s="155"/>
      <c r="AM239" s="606"/>
      <c r="AN239" s="606"/>
      <c r="AO239" s="215"/>
    </row>
    <row r="240" spans="1:41" ht="15.75" customHeight="1" thickBot="1" x14ac:dyDescent="0.4">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1"/>
      <c r="AJ240" s="155"/>
      <c r="AK240" s="155"/>
      <c r="AL240" s="155"/>
      <c r="AM240" s="606"/>
      <c r="AN240" s="606"/>
      <c r="AO240" s="215"/>
    </row>
    <row r="241" spans="1:41" ht="15.75" customHeight="1" thickBot="1" x14ac:dyDescent="0.4">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5"/>
      <c r="AK241" s="155"/>
      <c r="AL241" s="155"/>
      <c r="AM241" s="606"/>
      <c r="AN241" s="606"/>
      <c r="AO241" s="215"/>
    </row>
    <row r="242" spans="1:41" ht="15.75" customHeight="1" thickBot="1" x14ac:dyDescent="0.4">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1"/>
      <c r="AI242" s="151"/>
      <c r="AJ242" s="155"/>
      <c r="AK242" s="155"/>
      <c r="AL242" s="155"/>
      <c r="AM242" s="606"/>
      <c r="AN242" s="606"/>
      <c r="AO242" s="215"/>
    </row>
    <row r="243" spans="1:41" ht="15.75" customHeight="1" thickBot="1" x14ac:dyDescent="0.4">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1"/>
      <c r="AJ243" s="155"/>
      <c r="AK243" s="155"/>
      <c r="AL243" s="155"/>
      <c r="AM243" s="606"/>
      <c r="AN243" s="606"/>
      <c r="AO243" s="215"/>
    </row>
    <row r="244" spans="1:41" ht="15.75" customHeight="1" thickBot="1" x14ac:dyDescent="0.4">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1"/>
      <c r="AI244" s="151"/>
      <c r="AJ244" s="155"/>
      <c r="AK244" s="155"/>
      <c r="AL244" s="155"/>
      <c r="AM244" s="606"/>
      <c r="AN244" s="606"/>
      <c r="AO244" s="215"/>
    </row>
    <row r="245" spans="1:41" ht="15.75" customHeight="1" thickBot="1" x14ac:dyDescent="0.4">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5"/>
      <c r="AK245" s="155"/>
      <c r="AL245" s="155"/>
      <c r="AM245" s="606"/>
      <c r="AN245" s="606"/>
      <c r="AO245" s="215"/>
    </row>
    <row r="246" spans="1:41" ht="15.75" customHeight="1" thickBot="1" x14ac:dyDescent="0.4">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5"/>
      <c r="AK246" s="155"/>
      <c r="AL246" s="155"/>
      <c r="AM246" s="606"/>
      <c r="AN246" s="606"/>
      <c r="AO246" s="215"/>
    </row>
    <row r="247" spans="1:41" ht="15.75" customHeight="1" thickBot="1" x14ac:dyDescent="0.4">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5"/>
      <c r="AK247" s="155"/>
      <c r="AL247" s="155"/>
      <c r="AM247" s="606"/>
      <c r="AN247" s="606"/>
      <c r="AO247" s="215"/>
    </row>
    <row r="248" spans="1:41" ht="15.75" customHeight="1" thickBot="1" x14ac:dyDescent="0.4">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5"/>
      <c r="AK248" s="155"/>
      <c r="AL248" s="155"/>
      <c r="AM248" s="606"/>
      <c r="AN248" s="606"/>
      <c r="AO248" s="215"/>
    </row>
    <row r="249" spans="1:41" ht="15.75" customHeight="1" thickBot="1" x14ac:dyDescent="0.4">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5"/>
      <c r="AK249" s="155"/>
      <c r="AL249" s="155"/>
      <c r="AM249" s="606"/>
      <c r="AN249" s="606"/>
      <c r="AO249" s="215"/>
    </row>
    <row r="250" spans="1:41" ht="15.75" customHeight="1" thickBot="1" x14ac:dyDescent="0.4">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5"/>
      <c r="AK250" s="155"/>
      <c r="AL250" s="155"/>
      <c r="AM250" s="606"/>
      <c r="AN250" s="606"/>
      <c r="AO250" s="215"/>
    </row>
    <row r="251" spans="1:41" ht="15.75" customHeight="1" thickBot="1" x14ac:dyDescent="0.4">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1"/>
      <c r="AJ251" s="155"/>
      <c r="AK251" s="155"/>
      <c r="AL251" s="155"/>
      <c r="AM251" s="606"/>
      <c r="AN251" s="606"/>
      <c r="AO251" s="215"/>
    </row>
    <row r="252" spans="1:41" ht="15.75" customHeight="1" thickBot="1" x14ac:dyDescent="0.4">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1"/>
      <c r="AI252" s="151"/>
      <c r="AJ252" s="155"/>
      <c r="AK252" s="155"/>
      <c r="AL252" s="155"/>
      <c r="AM252" s="606"/>
      <c r="AN252" s="606"/>
      <c r="AO252" s="215"/>
    </row>
    <row r="253" spans="1:41" ht="15.75" customHeight="1" thickBot="1" x14ac:dyDescent="0.4">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1"/>
      <c r="AI253" s="151"/>
      <c r="AJ253" s="155"/>
      <c r="AK253" s="155"/>
      <c r="AL253" s="155"/>
      <c r="AM253" s="606"/>
      <c r="AN253" s="606"/>
      <c r="AO253" s="215"/>
    </row>
    <row r="254" spans="1:41" ht="15.75" customHeight="1" thickBot="1" x14ac:dyDescent="0.4">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1"/>
      <c r="AI254" s="151"/>
      <c r="AJ254" s="155"/>
      <c r="AK254" s="155"/>
      <c r="AL254" s="155"/>
      <c r="AM254" s="606"/>
      <c r="AN254" s="606"/>
      <c r="AO254" s="215"/>
    </row>
    <row r="255" spans="1:41" ht="15.75" customHeight="1" thickBot="1" x14ac:dyDescent="0.4">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1"/>
      <c r="AJ255" s="155"/>
      <c r="AK255" s="155"/>
      <c r="AL255" s="155"/>
      <c r="AM255" s="606"/>
      <c r="AN255" s="606"/>
      <c r="AO255" s="215"/>
    </row>
    <row r="256" spans="1:41" ht="15.75" customHeight="1" thickBot="1" x14ac:dyDescent="0.4">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1"/>
      <c r="AI256" s="151"/>
      <c r="AJ256" s="155"/>
      <c r="AK256" s="155"/>
      <c r="AL256" s="155"/>
      <c r="AM256" s="606"/>
      <c r="AN256" s="606"/>
      <c r="AO256" s="215"/>
    </row>
    <row r="257" spans="1:41" ht="15.75" customHeight="1" thickBot="1" x14ac:dyDescent="0.4">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5"/>
      <c r="AK257" s="155"/>
      <c r="AL257" s="155"/>
      <c r="AM257" s="606"/>
      <c r="AN257" s="606"/>
      <c r="AO257" s="215"/>
    </row>
    <row r="258" spans="1:41" ht="15.75" customHeight="1" thickBot="1" x14ac:dyDescent="0.4">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1"/>
      <c r="AJ258" s="155"/>
      <c r="AK258" s="155"/>
      <c r="AL258" s="155"/>
      <c r="AM258" s="606"/>
      <c r="AN258" s="606"/>
      <c r="AO258" s="215"/>
    </row>
    <row r="259" spans="1:41" ht="15.75" customHeight="1" thickBot="1" x14ac:dyDescent="0.4">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5"/>
      <c r="AK259" s="155"/>
      <c r="AL259" s="155"/>
      <c r="AM259" s="606"/>
      <c r="AN259" s="606"/>
      <c r="AO259" s="215"/>
    </row>
    <row r="260" spans="1:41" ht="15.75" customHeight="1" thickBot="1" x14ac:dyDescent="0.4">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1"/>
      <c r="AI260" s="151"/>
      <c r="AJ260" s="155"/>
      <c r="AK260" s="155"/>
      <c r="AL260" s="155"/>
      <c r="AM260" s="606"/>
      <c r="AN260" s="606"/>
      <c r="AO260" s="215"/>
    </row>
    <row r="261" spans="1:41" ht="15.75" customHeight="1" thickBot="1" x14ac:dyDescent="0.4">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1"/>
      <c r="AJ261" s="155"/>
      <c r="AK261" s="155"/>
      <c r="AL261" s="155"/>
      <c r="AM261" s="606"/>
      <c r="AN261" s="606"/>
      <c r="AO261" s="215"/>
    </row>
    <row r="262" spans="1:41" ht="15.75" customHeight="1" thickBot="1" x14ac:dyDescent="0.4">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1"/>
      <c r="AI262" s="151"/>
      <c r="AJ262" s="155"/>
      <c r="AK262" s="155"/>
      <c r="AL262" s="155"/>
      <c r="AM262" s="606"/>
      <c r="AN262" s="606"/>
      <c r="AO262" s="215"/>
    </row>
    <row r="263" spans="1:41" ht="15.75" customHeight="1" thickBot="1" x14ac:dyDescent="0.4">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1"/>
      <c r="AJ263" s="155"/>
      <c r="AK263" s="155"/>
      <c r="AL263" s="155"/>
      <c r="AM263" s="606"/>
      <c r="AN263" s="606"/>
      <c r="AO263" s="215"/>
    </row>
    <row r="264" spans="1:41" ht="15.75" customHeight="1" thickBot="1" x14ac:dyDescent="0.4">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1"/>
      <c r="AJ264" s="155"/>
      <c r="AK264" s="155"/>
      <c r="AL264" s="155"/>
      <c r="AM264" s="606"/>
      <c r="AN264" s="606"/>
      <c r="AO264" s="215"/>
    </row>
    <row r="265" spans="1:41" ht="15.75" customHeight="1" thickBot="1" x14ac:dyDescent="0.4">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1"/>
      <c r="AJ265" s="155"/>
      <c r="AK265" s="155"/>
      <c r="AL265" s="155"/>
      <c r="AM265" s="606"/>
      <c r="AN265" s="606"/>
      <c r="AO265" s="215"/>
    </row>
    <row r="266" spans="1:41" ht="15.75" customHeight="1" thickBot="1" x14ac:dyDescent="0.4">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1"/>
      <c r="AI266" s="151"/>
      <c r="AJ266" s="155"/>
      <c r="AK266" s="155"/>
      <c r="AL266" s="155"/>
      <c r="AM266" s="606"/>
      <c r="AN266" s="606"/>
      <c r="AO266" s="215"/>
    </row>
    <row r="267" spans="1:41" ht="15.75" customHeight="1" thickBot="1" x14ac:dyDescent="0.4">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1"/>
      <c r="AJ267" s="155"/>
      <c r="AK267" s="155"/>
      <c r="AL267" s="155"/>
      <c r="AM267" s="606"/>
      <c r="AN267" s="606"/>
      <c r="AO267" s="215"/>
    </row>
    <row r="268" spans="1:41" ht="15.75" customHeight="1" thickBot="1" x14ac:dyDescent="0.4">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1"/>
      <c r="AJ268" s="155"/>
      <c r="AK268" s="155"/>
      <c r="AL268" s="155"/>
      <c r="AM268" s="606"/>
      <c r="AN268" s="606"/>
      <c r="AO268" s="215"/>
    </row>
    <row r="269" spans="1:41" ht="15.75" customHeight="1" thickBot="1" x14ac:dyDescent="0.4">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1"/>
      <c r="AJ269" s="155"/>
      <c r="AK269" s="155"/>
      <c r="AL269" s="155"/>
      <c r="AM269" s="606"/>
      <c r="AN269" s="606"/>
      <c r="AO269" s="215"/>
    </row>
    <row r="270" spans="1:41" ht="15.75" customHeight="1" thickBot="1" x14ac:dyDescent="0.4">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1"/>
      <c r="AI270" s="151"/>
      <c r="AJ270" s="155"/>
      <c r="AK270" s="155"/>
      <c r="AL270" s="155"/>
      <c r="AM270" s="606"/>
      <c r="AN270" s="606"/>
      <c r="AO270" s="215"/>
    </row>
    <row r="271" spans="1:41" ht="15.75" customHeight="1" thickBot="1" x14ac:dyDescent="0.4">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1"/>
      <c r="AI271" s="151"/>
      <c r="AJ271" s="155"/>
      <c r="AK271" s="155"/>
      <c r="AL271" s="155"/>
      <c r="AM271" s="606"/>
      <c r="AN271" s="606"/>
      <c r="AO271" s="215"/>
    </row>
    <row r="272" spans="1:41" ht="15.75" customHeight="1" thickBot="1" x14ac:dyDescent="0.4">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1"/>
      <c r="AI272" s="151"/>
      <c r="AJ272" s="155"/>
      <c r="AK272" s="155"/>
      <c r="AL272" s="155"/>
      <c r="AM272" s="606"/>
      <c r="AN272" s="606"/>
      <c r="AO272" s="215"/>
    </row>
    <row r="273" spans="1:41" ht="15.75" customHeight="1" thickBot="1" x14ac:dyDescent="0.4">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5"/>
      <c r="AK273" s="155"/>
      <c r="AL273" s="155"/>
      <c r="AM273" s="606"/>
      <c r="AN273" s="606"/>
      <c r="AO273" s="215"/>
    </row>
    <row r="274" spans="1:41" ht="15.75" customHeight="1" thickBot="1" x14ac:dyDescent="0.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1"/>
      <c r="AJ274" s="155"/>
      <c r="AK274" s="155"/>
      <c r="AL274" s="155"/>
      <c r="AM274" s="606"/>
      <c r="AN274" s="606"/>
      <c r="AO274" s="215"/>
    </row>
    <row r="275" spans="1:41" ht="15.75" customHeight="1" thickBot="1" x14ac:dyDescent="0.4">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5"/>
      <c r="AK275" s="155"/>
      <c r="AL275" s="155"/>
      <c r="AM275" s="606"/>
      <c r="AN275" s="606"/>
      <c r="AO275" s="215"/>
    </row>
    <row r="276" spans="1:41" ht="15.75" customHeight="1" thickBot="1" x14ac:dyDescent="0.4">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1"/>
      <c r="AJ276" s="155"/>
      <c r="AK276" s="155"/>
      <c r="AL276" s="155"/>
      <c r="AM276" s="606"/>
      <c r="AN276" s="606"/>
      <c r="AO276" s="215"/>
    </row>
    <row r="277" spans="1:41" ht="15.75" customHeight="1" thickBot="1" x14ac:dyDescent="0.4">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5"/>
      <c r="AK277" s="155"/>
      <c r="AL277" s="155"/>
      <c r="AM277" s="606"/>
      <c r="AN277" s="606"/>
      <c r="AO277" s="215"/>
    </row>
    <row r="278" spans="1:41" ht="15.75" customHeight="1" thickBot="1" x14ac:dyDescent="0.4">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5"/>
      <c r="AK278" s="155"/>
      <c r="AL278" s="155"/>
      <c r="AM278" s="606"/>
      <c r="AN278" s="606"/>
      <c r="AO278" s="215"/>
    </row>
    <row r="279" spans="1:41" ht="15.75" customHeight="1" thickBot="1" x14ac:dyDescent="0.4">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5"/>
      <c r="AK279" s="155"/>
      <c r="AL279" s="155"/>
      <c r="AM279" s="606"/>
      <c r="AN279" s="606"/>
      <c r="AO279" s="215"/>
    </row>
    <row r="280" spans="1:41" ht="15.75" customHeight="1" thickBot="1" x14ac:dyDescent="0.4">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1"/>
      <c r="AJ280" s="155"/>
      <c r="AK280" s="155"/>
      <c r="AL280" s="155"/>
      <c r="AM280" s="606"/>
      <c r="AN280" s="606"/>
      <c r="AO280" s="215"/>
    </row>
    <row r="281" spans="1:41" ht="15.75" customHeight="1" thickBot="1" x14ac:dyDescent="0.4">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1"/>
      <c r="AJ281" s="155"/>
      <c r="AK281" s="155"/>
      <c r="AL281" s="155"/>
      <c r="AM281" s="606"/>
      <c r="AN281" s="606"/>
      <c r="AO281" s="215"/>
    </row>
    <row r="282" spans="1:41" ht="15.75" customHeight="1" thickBot="1" x14ac:dyDescent="0.4">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1"/>
      <c r="AJ282" s="155"/>
      <c r="AK282" s="155"/>
      <c r="AL282" s="155"/>
      <c r="AM282" s="606"/>
      <c r="AN282" s="606"/>
      <c r="AO282" s="215"/>
    </row>
    <row r="283" spans="1:41" ht="15.75" customHeight="1" thickBot="1" x14ac:dyDescent="0.4">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5"/>
      <c r="AK283" s="155"/>
      <c r="AL283" s="155"/>
      <c r="AM283" s="606"/>
      <c r="AN283" s="606"/>
      <c r="AO283" s="215"/>
    </row>
    <row r="284" spans="1:41" ht="15.75" customHeight="1" thickBot="1" x14ac:dyDescent="0.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1"/>
      <c r="AJ284" s="155"/>
      <c r="AK284" s="155"/>
      <c r="AL284" s="155"/>
      <c r="AM284" s="606"/>
      <c r="AN284" s="606"/>
      <c r="AO284" s="215"/>
    </row>
    <row r="285" spans="1:41" ht="15.75" customHeight="1" thickBot="1" x14ac:dyDescent="0.4">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1"/>
      <c r="AJ285" s="155"/>
      <c r="AK285" s="155"/>
      <c r="AL285" s="155"/>
      <c r="AM285" s="606"/>
      <c r="AN285" s="606"/>
      <c r="AO285" s="215"/>
    </row>
    <row r="286" spans="1:41" ht="15.75" customHeight="1" thickBot="1" x14ac:dyDescent="0.4">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1"/>
      <c r="AI286" s="151"/>
      <c r="AJ286" s="155"/>
      <c r="AK286" s="155"/>
      <c r="AL286" s="155"/>
      <c r="AM286" s="606"/>
      <c r="AN286" s="606"/>
      <c r="AO286" s="215"/>
    </row>
    <row r="287" spans="1:41" ht="15.75" customHeight="1" thickBot="1" x14ac:dyDescent="0.4">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1"/>
      <c r="AJ287" s="155"/>
      <c r="AK287" s="155"/>
      <c r="AL287" s="155"/>
      <c r="AM287" s="606"/>
      <c r="AN287" s="606"/>
      <c r="AO287" s="215"/>
    </row>
    <row r="288" spans="1:41" ht="15.75" customHeight="1" thickBot="1" x14ac:dyDescent="0.4">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5"/>
      <c r="AK288" s="155"/>
      <c r="AL288" s="155"/>
      <c r="AM288" s="606"/>
      <c r="AN288" s="606"/>
      <c r="AO288" s="215"/>
    </row>
    <row r="289" spans="1:41" ht="15.75" customHeight="1" thickBot="1" x14ac:dyDescent="0.4">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5"/>
      <c r="AK289" s="155"/>
      <c r="AL289" s="155"/>
      <c r="AM289" s="606"/>
      <c r="AN289" s="606"/>
      <c r="AO289" s="215"/>
    </row>
    <row r="290" spans="1:41" ht="15.75" customHeight="1" thickBot="1" x14ac:dyDescent="0.4">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1"/>
      <c r="AJ290" s="155"/>
      <c r="AK290" s="155"/>
      <c r="AL290" s="155"/>
      <c r="AM290" s="606"/>
      <c r="AN290" s="606"/>
      <c r="AO290" s="215"/>
    </row>
    <row r="291" spans="1:41" ht="15.75" customHeight="1" thickBot="1" x14ac:dyDescent="0.4">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5"/>
      <c r="AK291" s="155"/>
      <c r="AL291" s="155"/>
      <c r="AM291" s="606"/>
      <c r="AN291" s="606"/>
      <c r="AO291" s="215"/>
    </row>
    <row r="292" spans="1:41" ht="15.75" customHeight="1" thickBot="1" x14ac:dyDescent="0.4">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5"/>
      <c r="AK292" s="155"/>
      <c r="AL292" s="155"/>
      <c r="AM292" s="606"/>
      <c r="AN292" s="606"/>
      <c r="AO292" s="215"/>
    </row>
    <row r="293" spans="1:41" ht="15.75" customHeight="1" thickBot="1" x14ac:dyDescent="0.4">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5"/>
      <c r="AK293" s="155"/>
      <c r="AL293" s="155"/>
      <c r="AM293" s="606"/>
      <c r="AN293" s="606"/>
      <c r="AO293" s="215"/>
    </row>
    <row r="294" spans="1:41" ht="15.75" customHeight="1" thickBot="1" x14ac:dyDescent="0.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5"/>
      <c r="AK294" s="155"/>
      <c r="AL294" s="155"/>
      <c r="AM294" s="606"/>
      <c r="AN294" s="606"/>
      <c r="AO294" s="215"/>
    </row>
    <row r="295" spans="1:41" ht="15.75" customHeight="1" thickBot="1" x14ac:dyDescent="0.4">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5"/>
      <c r="AK295" s="155"/>
      <c r="AL295" s="155"/>
      <c r="AM295" s="606"/>
      <c r="AN295" s="606"/>
      <c r="AO295" s="215"/>
    </row>
    <row r="296" spans="1:41" ht="15.75" customHeight="1" thickBot="1" x14ac:dyDescent="0.4">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1"/>
      <c r="AI296" s="151"/>
      <c r="AJ296" s="155"/>
      <c r="AK296" s="155"/>
      <c r="AL296" s="155"/>
      <c r="AM296" s="606"/>
      <c r="AN296" s="606"/>
      <c r="AO296" s="215"/>
    </row>
    <row r="297" spans="1:41" ht="15.75" customHeight="1" thickBot="1" x14ac:dyDescent="0.4">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1"/>
      <c r="AJ297" s="155"/>
      <c r="AK297" s="155"/>
      <c r="AL297" s="155"/>
      <c r="AM297" s="606"/>
      <c r="AN297" s="606"/>
      <c r="AO297" s="215"/>
    </row>
    <row r="298" spans="1:41" ht="15.75" customHeight="1" thickBot="1" x14ac:dyDescent="0.4">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1"/>
      <c r="AI298" s="151"/>
      <c r="AJ298" s="155"/>
      <c r="AK298" s="155"/>
      <c r="AL298" s="155"/>
      <c r="AM298" s="606"/>
      <c r="AN298" s="606"/>
      <c r="AO298" s="215"/>
    </row>
    <row r="299" spans="1:41" ht="15.75" customHeight="1" thickBot="1" x14ac:dyDescent="0.4">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1"/>
      <c r="AJ299" s="155"/>
      <c r="AK299" s="155"/>
      <c r="AL299" s="155"/>
      <c r="AM299" s="606"/>
      <c r="AN299" s="606"/>
      <c r="AO299" s="215"/>
    </row>
    <row r="300" spans="1:41" ht="15.75" customHeight="1" thickBot="1" x14ac:dyDescent="0.4">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1"/>
      <c r="AJ300" s="155"/>
      <c r="AK300" s="155"/>
      <c r="AL300" s="155"/>
      <c r="AM300" s="606"/>
      <c r="AN300" s="606"/>
      <c r="AO300" s="215"/>
    </row>
    <row r="301" spans="1:41" ht="15.75" customHeight="1" thickBot="1" x14ac:dyDescent="0.4">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5"/>
      <c r="AK301" s="155"/>
      <c r="AL301" s="155"/>
      <c r="AM301" s="606"/>
      <c r="AN301" s="606"/>
      <c r="AO301" s="215"/>
    </row>
    <row r="302" spans="1:41" ht="15.75" customHeight="1" thickBot="1" x14ac:dyDescent="0.4">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1"/>
      <c r="AI302" s="151"/>
      <c r="AJ302" s="155"/>
      <c r="AK302" s="155"/>
      <c r="AL302" s="155"/>
      <c r="AM302" s="606"/>
      <c r="AN302" s="606"/>
      <c r="AO302" s="215"/>
    </row>
    <row r="303" spans="1:41" ht="15.75" customHeight="1" thickBot="1" x14ac:dyDescent="0.4">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1"/>
      <c r="AJ303" s="155"/>
      <c r="AK303" s="155"/>
      <c r="AL303" s="155"/>
      <c r="AM303" s="606"/>
      <c r="AN303" s="606"/>
      <c r="AO303" s="215"/>
    </row>
    <row r="304" spans="1:41" ht="15.75" customHeight="1" thickBot="1" x14ac:dyDescent="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1"/>
      <c r="AJ304" s="155"/>
      <c r="AK304" s="155"/>
      <c r="AL304" s="155"/>
      <c r="AM304" s="606"/>
      <c r="AN304" s="606"/>
      <c r="AO304" s="215"/>
    </row>
    <row r="305" spans="1:41" ht="15.75" customHeight="1" thickBot="1" x14ac:dyDescent="0.4">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5"/>
      <c r="AK305" s="155"/>
      <c r="AL305" s="155"/>
      <c r="AM305" s="606"/>
      <c r="AN305" s="606"/>
      <c r="AO305" s="215"/>
    </row>
    <row r="306" spans="1:41" ht="15.75" customHeight="1" thickBot="1" x14ac:dyDescent="0.4">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1"/>
      <c r="AJ306" s="155"/>
      <c r="AK306" s="155"/>
      <c r="AL306" s="155"/>
      <c r="AM306" s="606"/>
      <c r="AN306" s="606"/>
      <c r="AO306" s="215"/>
    </row>
    <row r="307" spans="1:41" ht="15.75" customHeight="1" thickBot="1" x14ac:dyDescent="0.4">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5"/>
      <c r="AK307" s="155"/>
      <c r="AL307" s="155"/>
      <c r="AM307" s="606"/>
      <c r="AN307" s="606"/>
      <c r="AO307" s="215"/>
    </row>
    <row r="308" spans="1:41" ht="15.75" customHeight="1" thickBot="1" x14ac:dyDescent="0.4">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5"/>
      <c r="AK308" s="155"/>
      <c r="AL308" s="155"/>
      <c r="AM308" s="606"/>
      <c r="AN308" s="606"/>
      <c r="AO308" s="215"/>
    </row>
    <row r="309" spans="1:41" ht="15.75" customHeight="1" thickBot="1" x14ac:dyDescent="0.4">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1"/>
      <c r="AI309" s="151"/>
      <c r="AJ309" s="155"/>
      <c r="AK309" s="155"/>
      <c r="AL309" s="155"/>
      <c r="AM309" s="606"/>
      <c r="AN309" s="606"/>
      <c r="AO309" s="215"/>
    </row>
    <row r="310" spans="1:41" ht="15.75" customHeight="1" thickBot="1" x14ac:dyDescent="0.4">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1"/>
      <c r="AJ310" s="155"/>
      <c r="AK310" s="155"/>
      <c r="AL310" s="155"/>
      <c r="AM310" s="606"/>
      <c r="AN310" s="606"/>
      <c r="AO310" s="215"/>
    </row>
    <row r="311" spans="1:41" ht="15.75" customHeight="1" thickBot="1" x14ac:dyDescent="0.4">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1"/>
      <c r="AJ311" s="155"/>
      <c r="AK311" s="155"/>
      <c r="AL311" s="155"/>
      <c r="AM311" s="606"/>
      <c r="AN311" s="606"/>
      <c r="AO311" s="215"/>
    </row>
    <row r="312" spans="1:41" ht="15.75" customHeight="1" thickBot="1" x14ac:dyDescent="0.4">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1"/>
      <c r="AJ312" s="155"/>
      <c r="AK312" s="155"/>
      <c r="AL312" s="155"/>
      <c r="AM312" s="606"/>
      <c r="AN312" s="606"/>
      <c r="AO312" s="215"/>
    </row>
    <row r="313" spans="1:41" ht="15.75" customHeight="1" thickBot="1" x14ac:dyDescent="0.4">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1"/>
      <c r="AI313" s="151"/>
      <c r="AJ313" s="155"/>
      <c r="AK313" s="155"/>
      <c r="AL313" s="155"/>
      <c r="AM313" s="606"/>
      <c r="AN313" s="606"/>
      <c r="AO313" s="215"/>
    </row>
    <row r="314" spans="1:41" ht="15.75" customHeight="1" thickBot="1" x14ac:dyDescent="0.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1"/>
      <c r="AI314" s="151"/>
      <c r="AJ314" s="155"/>
      <c r="AK314" s="155"/>
      <c r="AL314" s="155"/>
      <c r="AM314" s="606"/>
      <c r="AN314" s="606"/>
      <c r="AO314" s="215"/>
    </row>
    <row r="315" spans="1:41" ht="15.75" customHeight="1" thickBot="1" x14ac:dyDescent="0.4">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1"/>
      <c r="AI315" s="151"/>
      <c r="AJ315" s="155"/>
      <c r="AK315" s="155"/>
      <c r="AL315" s="155"/>
      <c r="AM315" s="606"/>
      <c r="AN315" s="606"/>
      <c r="AO315" s="215"/>
    </row>
    <row r="316" spans="1:41" ht="15.75" customHeight="1" thickBot="1" x14ac:dyDescent="0.4">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5"/>
      <c r="AK316" s="155"/>
      <c r="AL316" s="155"/>
      <c r="AM316" s="606"/>
      <c r="AN316" s="606"/>
      <c r="AO316" s="215"/>
    </row>
    <row r="317" spans="1:41" ht="15.75" customHeight="1" thickBot="1" x14ac:dyDescent="0.4">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1"/>
      <c r="AI317" s="151"/>
      <c r="AJ317" s="155"/>
      <c r="AK317" s="155"/>
      <c r="AL317" s="155"/>
      <c r="AM317" s="606"/>
      <c r="AN317" s="606"/>
      <c r="AO317" s="215"/>
    </row>
    <row r="318" spans="1:41" ht="15.75" customHeight="1" thickBot="1" x14ac:dyDescent="0.4">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1"/>
      <c r="AI318" s="151"/>
      <c r="AJ318" s="155"/>
      <c r="AK318" s="155"/>
      <c r="AL318" s="155"/>
      <c r="AM318" s="606"/>
      <c r="AN318" s="606"/>
      <c r="AO318" s="215"/>
    </row>
    <row r="319" spans="1:41" ht="15.75" customHeight="1" thickBot="1" x14ac:dyDescent="0.4">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1"/>
      <c r="AJ319" s="155"/>
      <c r="AK319" s="155"/>
      <c r="AL319" s="155"/>
      <c r="AM319" s="606"/>
      <c r="AN319" s="606"/>
      <c r="AO319" s="215"/>
    </row>
    <row r="320" spans="1:41" ht="15.75" customHeight="1" thickBot="1" x14ac:dyDescent="0.4">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5"/>
      <c r="AK320" s="155"/>
      <c r="AL320" s="155"/>
      <c r="AM320" s="606"/>
      <c r="AN320" s="606"/>
      <c r="AO320" s="215"/>
    </row>
    <row r="321" spans="1:41" ht="15.75" customHeight="1" thickBot="1" x14ac:dyDescent="0.4">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1"/>
      <c r="AI321" s="151"/>
      <c r="AJ321" s="155"/>
      <c r="AK321" s="155"/>
      <c r="AL321" s="155"/>
      <c r="AM321" s="606"/>
      <c r="AN321" s="606"/>
      <c r="AO321" s="215"/>
    </row>
    <row r="322" spans="1:41" ht="15.75" customHeight="1" thickBot="1" x14ac:dyDescent="0.4">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1"/>
      <c r="AJ322" s="155"/>
      <c r="AK322" s="155"/>
      <c r="AL322" s="155"/>
      <c r="AM322" s="606"/>
      <c r="AN322" s="606"/>
      <c r="AO322" s="215"/>
    </row>
    <row r="323" spans="1:41" ht="15.75" customHeight="1" thickBot="1" x14ac:dyDescent="0.4">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1"/>
      <c r="AI323" s="151"/>
      <c r="AJ323" s="155"/>
      <c r="AK323" s="155"/>
      <c r="AL323" s="155"/>
      <c r="AM323" s="606"/>
      <c r="AN323" s="606"/>
      <c r="AO323" s="215"/>
    </row>
    <row r="324" spans="1:41" ht="15.75" customHeight="1" thickBot="1" x14ac:dyDescent="0.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1"/>
      <c r="AI324" s="151"/>
      <c r="AJ324" s="155"/>
      <c r="AK324" s="155"/>
      <c r="AL324" s="155"/>
      <c r="AM324" s="606"/>
      <c r="AN324" s="606"/>
      <c r="AO324" s="215"/>
    </row>
    <row r="325" spans="1:41" ht="15.75" customHeight="1" thickBot="1" x14ac:dyDescent="0.4">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1"/>
      <c r="AI325" s="151"/>
      <c r="AJ325" s="155"/>
      <c r="AK325" s="155"/>
      <c r="AL325" s="155"/>
      <c r="AM325" s="606"/>
      <c r="AN325" s="606"/>
      <c r="AO325" s="215"/>
    </row>
    <row r="326" spans="1:41" ht="15.75" customHeight="1" thickBot="1" x14ac:dyDescent="0.4">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1"/>
      <c r="AI326" s="151"/>
      <c r="AJ326" s="155"/>
      <c r="AK326" s="155"/>
      <c r="AL326" s="155"/>
      <c r="AM326" s="606"/>
      <c r="AN326" s="606"/>
      <c r="AO326" s="215"/>
    </row>
    <row r="327" spans="1:41" ht="15.75" customHeight="1" thickBot="1" x14ac:dyDescent="0.4">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1"/>
      <c r="AI327" s="151"/>
      <c r="AJ327" s="155"/>
      <c r="AK327" s="155"/>
      <c r="AL327" s="155"/>
      <c r="AM327" s="606"/>
      <c r="AN327" s="606"/>
      <c r="AO327" s="215"/>
    </row>
    <row r="328" spans="1:41" ht="15.75" customHeight="1" thickBot="1" x14ac:dyDescent="0.4">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5"/>
      <c r="AK328" s="155"/>
      <c r="AL328" s="155"/>
      <c r="AM328" s="606"/>
      <c r="AN328" s="606"/>
      <c r="AO328" s="215"/>
    </row>
    <row r="329" spans="1:41" ht="15.75" customHeight="1" thickBot="1" x14ac:dyDescent="0.4">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1"/>
      <c r="AI329" s="151"/>
      <c r="AJ329" s="155"/>
      <c r="AK329" s="155"/>
      <c r="AL329" s="155"/>
      <c r="AM329" s="606"/>
      <c r="AN329" s="606"/>
      <c r="AO329" s="215"/>
    </row>
    <row r="330" spans="1:41" ht="15.75" customHeight="1" thickBot="1" x14ac:dyDescent="0.4">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1"/>
      <c r="AJ330" s="155"/>
      <c r="AK330" s="155"/>
      <c r="AL330" s="155"/>
      <c r="AM330" s="606"/>
      <c r="AN330" s="606"/>
      <c r="AO330" s="215"/>
    </row>
    <row r="331" spans="1:41" ht="15.75" customHeight="1" thickBot="1" x14ac:dyDescent="0.4">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1"/>
      <c r="AI331" s="151"/>
      <c r="AJ331" s="155"/>
      <c r="AK331" s="155"/>
      <c r="AL331" s="155"/>
      <c r="AM331" s="606"/>
      <c r="AN331" s="606"/>
      <c r="AO331" s="215"/>
    </row>
    <row r="332" spans="1:41" ht="15.75" customHeight="1" thickBot="1" x14ac:dyDescent="0.4">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1"/>
      <c r="AI332" s="151"/>
      <c r="AJ332" s="155"/>
      <c r="AK332" s="155"/>
      <c r="AL332" s="155"/>
      <c r="AM332" s="606"/>
      <c r="AN332" s="606"/>
      <c r="AO332" s="215"/>
    </row>
    <row r="333" spans="1:41" ht="15.75" customHeight="1" thickBot="1" x14ac:dyDescent="0.4">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1"/>
      <c r="AI333" s="151"/>
      <c r="AJ333" s="155"/>
      <c r="AK333" s="155"/>
      <c r="AL333" s="155"/>
      <c r="AM333" s="606"/>
      <c r="AN333" s="606"/>
      <c r="AO333" s="215"/>
    </row>
    <row r="334" spans="1:41" ht="15.75" customHeight="1" thickBot="1" x14ac:dyDescent="0.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1"/>
      <c r="AI334" s="151"/>
      <c r="AJ334" s="155"/>
      <c r="AK334" s="155"/>
      <c r="AL334" s="155"/>
      <c r="AM334" s="606"/>
      <c r="AN334" s="606"/>
      <c r="AO334" s="215"/>
    </row>
    <row r="335" spans="1:41" ht="15.75" customHeight="1" thickBot="1" x14ac:dyDescent="0.4">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1"/>
      <c r="AI335" s="151"/>
      <c r="AJ335" s="155"/>
      <c r="AK335" s="155"/>
      <c r="AL335" s="155"/>
      <c r="AM335" s="606"/>
      <c r="AN335" s="606"/>
      <c r="AO335" s="215"/>
    </row>
    <row r="336" spans="1:41" ht="15.75" customHeight="1" thickBot="1" x14ac:dyDescent="0.4">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1"/>
      <c r="AI336" s="151"/>
      <c r="AJ336" s="155"/>
      <c r="AK336" s="155"/>
      <c r="AL336" s="155"/>
      <c r="AM336" s="606"/>
      <c r="AN336" s="606"/>
      <c r="AO336" s="215"/>
    </row>
    <row r="337" spans="1:41" ht="15.75" customHeight="1" thickBot="1" x14ac:dyDescent="0.4">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151"/>
      <c r="AG337" s="151"/>
      <c r="AH337" s="151"/>
      <c r="AI337" s="151"/>
      <c r="AJ337" s="155"/>
      <c r="AK337" s="155"/>
      <c r="AL337" s="155"/>
      <c r="AM337" s="606"/>
      <c r="AN337" s="606"/>
      <c r="AO337" s="215"/>
    </row>
    <row r="338" spans="1:41" ht="15.75" customHeight="1" thickBot="1" x14ac:dyDescent="0.4">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1"/>
      <c r="AI338" s="151"/>
      <c r="AJ338" s="155"/>
      <c r="AK338" s="155"/>
      <c r="AL338" s="155"/>
      <c r="AM338" s="606"/>
      <c r="AN338" s="606"/>
      <c r="AO338" s="215"/>
    </row>
    <row r="339" spans="1:41" ht="15.75" customHeight="1" thickBot="1" x14ac:dyDescent="0.4">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151"/>
      <c r="AG339" s="151"/>
      <c r="AH339" s="151"/>
      <c r="AI339" s="151"/>
      <c r="AJ339" s="155"/>
      <c r="AK339" s="155"/>
      <c r="AL339" s="155"/>
      <c r="AM339" s="606"/>
      <c r="AN339" s="606"/>
      <c r="AO339" s="215"/>
    </row>
    <row r="340" spans="1:41" ht="15.75" customHeight="1" thickBot="1" x14ac:dyDescent="0.4">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151"/>
      <c r="AG340" s="151"/>
      <c r="AH340" s="151"/>
      <c r="AI340" s="151"/>
      <c r="AJ340" s="155"/>
      <c r="AK340" s="155"/>
      <c r="AL340" s="155"/>
      <c r="AM340" s="606"/>
      <c r="AN340" s="606"/>
      <c r="AO340" s="215"/>
    </row>
    <row r="341" spans="1:41" ht="15.75" customHeight="1" thickBot="1" x14ac:dyDescent="0.4">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151"/>
      <c r="AG341" s="151"/>
      <c r="AH341" s="151"/>
      <c r="AI341" s="151"/>
      <c r="AJ341" s="155"/>
      <c r="AK341" s="155"/>
      <c r="AL341" s="155"/>
      <c r="AM341" s="606"/>
      <c r="AN341" s="606"/>
      <c r="AO341" s="215"/>
    </row>
    <row r="342" spans="1:41" ht="15.75" customHeight="1" thickBot="1" x14ac:dyDescent="0.4">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151"/>
      <c r="AG342" s="151"/>
      <c r="AH342" s="151"/>
      <c r="AI342" s="151"/>
      <c r="AJ342" s="155"/>
      <c r="AK342" s="155"/>
      <c r="AL342" s="155"/>
      <c r="AM342" s="606"/>
      <c r="AN342" s="606"/>
      <c r="AO342" s="215"/>
    </row>
    <row r="343" spans="1:41" ht="15.75" customHeight="1" thickBot="1" x14ac:dyDescent="0.4">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151"/>
      <c r="AG343" s="151"/>
      <c r="AH343" s="151"/>
      <c r="AI343" s="151"/>
      <c r="AJ343" s="155"/>
      <c r="AK343" s="155"/>
      <c r="AL343" s="155"/>
      <c r="AM343" s="606"/>
      <c r="AN343" s="606"/>
      <c r="AO343" s="215"/>
    </row>
    <row r="344" spans="1:41" ht="15.75" customHeight="1" thickBot="1" x14ac:dyDescent="0.4">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151"/>
      <c r="AG344" s="151"/>
      <c r="AH344" s="151"/>
      <c r="AI344" s="151"/>
      <c r="AJ344" s="155"/>
      <c r="AK344" s="155"/>
      <c r="AL344" s="155"/>
      <c r="AM344" s="606"/>
      <c r="AN344" s="606"/>
      <c r="AO344" s="215"/>
    </row>
    <row r="345" spans="1:41" ht="15.75" customHeight="1" thickBot="1" x14ac:dyDescent="0.4">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151"/>
      <c r="AG345" s="151"/>
      <c r="AH345" s="151"/>
      <c r="AI345" s="151"/>
      <c r="AJ345" s="155"/>
      <c r="AK345" s="155"/>
      <c r="AL345" s="155"/>
      <c r="AM345" s="606"/>
      <c r="AN345" s="606"/>
      <c r="AO345" s="215"/>
    </row>
    <row r="346" spans="1:41" ht="15.75" customHeight="1" thickBot="1" x14ac:dyDescent="0.4">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151"/>
      <c r="AG346" s="151"/>
      <c r="AH346" s="151"/>
      <c r="AI346" s="151"/>
      <c r="AJ346" s="155"/>
      <c r="AK346" s="155"/>
      <c r="AL346" s="155"/>
      <c r="AM346" s="606"/>
      <c r="AN346" s="606"/>
      <c r="AO346" s="215"/>
    </row>
    <row r="347" spans="1:41" ht="15.75" customHeight="1" thickBot="1" x14ac:dyDescent="0.4">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151"/>
      <c r="AG347" s="151"/>
      <c r="AH347" s="151"/>
      <c r="AI347" s="151"/>
      <c r="AJ347" s="155"/>
      <c r="AK347" s="155"/>
      <c r="AL347" s="155"/>
      <c r="AM347" s="606"/>
      <c r="AN347" s="606"/>
      <c r="AO347" s="215"/>
    </row>
    <row r="348" spans="1:41" ht="15.75" customHeight="1" thickBot="1" x14ac:dyDescent="0.4">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1"/>
      <c r="AI348" s="151"/>
      <c r="AJ348" s="155"/>
      <c r="AK348" s="155"/>
      <c r="AL348" s="155"/>
      <c r="AM348" s="606"/>
      <c r="AN348" s="606"/>
      <c r="AO348" s="215"/>
    </row>
    <row r="349" spans="1:41" ht="15.75" customHeight="1" thickBot="1" x14ac:dyDescent="0.4">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1"/>
      <c r="AI349" s="151"/>
      <c r="AJ349" s="155"/>
      <c r="AK349" s="155"/>
      <c r="AL349" s="155"/>
      <c r="AM349" s="606"/>
      <c r="AN349" s="606"/>
      <c r="AO349" s="215"/>
    </row>
    <row r="350" spans="1:41" ht="15.75" customHeight="1" thickBot="1" x14ac:dyDescent="0.4">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1"/>
      <c r="AI350" s="151"/>
      <c r="AJ350" s="155"/>
      <c r="AK350" s="155"/>
      <c r="AL350" s="155"/>
      <c r="AM350" s="606"/>
      <c r="AN350" s="606"/>
      <c r="AO350" s="215"/>
    </row>
    <row r="351" spans="1:41" ht="15.75" customHeight="1" thickBot="1" x14ac:dyDescent="0.4">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151"/>
      <c r="AG351" s="151"/>
      <c r="AH351" s="151"/>
      <c r="AI351" s="151"/>
      <c r="AJ351" s="155"/>
      <c r="AK351" s="155"/>
      <c r="AL351" s="155"/>
      <c r="AM351" s="606"/>
      <c r="AN351" s="606"/>
      <c r="AO351" s="215"/>
    </row>
    <row r="352" spans="1:41" ht="15.75" customHeight="1" thickBot="1" x14ac:dyDescent="0.4">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151"/>
      <c r="AG352" s="151"/>
      <c r="AH352" s="151"/>
      <c r="AI352" s="151"/>
      <c r="AJ352" s="155"/>
      <c r="AK352" s="155"/>
      <c r="AL352" s="155"/>
      <c r="AM352" s="606"/>
      <c r="AN352" s="606"/>
      <c r="AO352" s="215"/>
    </row>
    <row r="353" spans="1:41" ht="15.75" customHeight="1" thickBot="1" x14ac:dyDescent="0.4">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151"/>
      <c r="AG353" s="151"/>
      <c r="AH353" s="151"/>
      <c r="AI353" s="151"/>
      <c r="AJ353" s="155"/>
      <c r="AK353" s="155"/>
      <c r="AL353" s="155"/>
      <c r="AM353" s="606"/>
      <c r="AN353" s="606"/>
      <c r="AO353" s="215"/>
    </row>
    <row r="354" spans="1:41" ht="15.75" customHeight="1" thickBot="1" x14ac:dyDescent="0.4">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1"/>
      <c r="AI354" s="151"/>
      <c r="AJ354" s="155"/>
      <c r="AK354" s="155"/>
      <c r="AL354" s="155"/>
      <c r="AM354" s="606"/>
      <c r="AN354" s="606"/>
      <c r="AO354" s="215"/>
    </row>
    <row r="355" spans="1:41" ht="15.75" customHeight="1" thickBot="1" x14ac:dyDescent="0.4">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151"/>
      <c r="AG355" s="151"/>
      <c r="AH355" s="151"/>
      <c r="AI355" s="151"/>
      <c r="AJ355" s="155"/>
      <c r="AK355" s="155"/>
      <c r="AL355" s="155"/>
      <c r="AM355" s="606"/>
      <c r="AN355" s="606"/>
      <c r="AO355" s="215"/>
    </row>
    <row r="356" spans="1:41" ht="15.75" customHeight="1" thickBot="1" x14ac:dyDescent="0.4">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1"/>
      <c r="AI356" s="151"/>
      <c r="AJ356" s="155"/>
      <c r="AK356" s="155"/>
      <c r="AL356" s="155"/>
      <c r="AM356" s="606"/>
      <c r="AN356" s="606"/>
      <c r="AO356" s="215"/>
    </row>
    <row r="357" spans="1:41" ht="15.75" customHeight="1" thickBot="1" x14ac:dyDescent="0.4">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151"/>
      <c r="AG357" s="151"/>
      <c r="AH357" s="151"/>
      <c r="AI357" s="151"/>
      <c r="AJ357" s="155"/>
      <c r="AK357" s="155"/>
      <c r="AL357" s="155"/>
      <c r="AM357" s="606"/>
      <c r="AN357" s="606"/>
      <c r="AO357" s="215"/>
    </row>
    <row r="358" spans="1:41" ht="15.75" customHeight="1" thickBot="1" x14ac:dyDescent="0.4">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1"/>
      <c r="AI358" s="151"/>
      <c r="AJ358" s="155"/>
      <c r="AK358" s="155"/>
      <c r="AL358" s="155"/>
      <c r="AM358" s="606"/>
      <c r="AN358" s="606"/>
      <c r="AO358" s="215"/>
    </row>
    <row r="359" spans="1:41" ht="15.75" customHeight="1" thickBot="1" x14ac:dyDescent="0.4">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151"/>
      <c r="AG359" s="151"/>
      <c r="AH359" s="151"/>
      <c r="AI359" s="151"/>
      <c r="AJ359" s="155"/>
      <c r="AK359" s="155"/>
      <c r="AL359" s="155"/>
      <c r="AM359" s="606"/>
      <c r="AN359" s="606"/>
      <c r="AO359" s="215"/>
    </row>
    <row r="360" spans="1:41" ht="15.75" customHeight="1" thickBot="1" x14ac:dyDescent="0.4">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151"/>
      <c r="AG360" s="151"/>
      <c r="AH360" s="151"/>
      <c r="AI360" s="151"/>
      <c r="AJ360" s="155"/>
      <c r="AK360" s="155"/>
      <c r="AL360" s="155"/>
      <c r="AM360" s="606"/>
      <c r="AN360" s="606"/>
      <c r="AO360" s="215"/>
    </row>
    <row r="361" spans="1:41" ht="15.75" customHeight="1" thickBot="1" x14ac:dyDescent="0.4">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5"/>
      <c r="AK361" s="155"/>
      <c r="AL361" s="155"/>
      <c r="AM361" s="606"/>
      <c r="AN361" s="606"/>
      <c r="AO361" s="215"/>
    </row>
    <row r="362" spans="1:41" ht="15.75" customHeight="1" thickBot="1" x14ac:dyDescent="0.4">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5"/>
      <c r="AK362" s="155"/>
      <c r="AL362" s="155"/>
      <c r="AM362" s="606"/>
      <c r="AN362" s="606"/>
      <c r="AO362" s="215"/>
    </row>
    <row r="363" spans="1:41" ht="15.75" customHeight="1" thickBot="1" x14ac:dyDescent="0.4">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5"/>
      <c r="AK363" s="155"/>
      <c r="AL363" s="155"/>
      <c r="AM363" s="606"/>
      <c r="AN363" s="606"/>
      <c r="AO363" s="215"/>
    </row>
    <row r="364" spans="1:41" ht="15.75" customHeight="1" thickBot="1" x14ac:dyDescent="0.4">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151"/>
      <c r="AG364" s="151"/>
      <c r="AH364" s="151"/>
      <c r="AI364" s="151"/>
      <c r="AJ364" s="155"/>
      <c r="AK364" s="155"/>
      <c r="AL364" s="155"/>
      <c r="AM364" s="606"/>
      <c r="AN364" s="606"/>
      <c r="AO364" s="215"/>
    </row>
    <row r="365" spans="1:41" ht="15.75" customHeight="1" thickBot="1" x14ac:dyDescent="0.4">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151"/>
      <c r="AG365" s="151"/>
      <c r="AH365" s="151"/>
      <c r="AI365" s="151"/>
      <c r="AJ365" s="155"/>
      <c r="AK365" s="155"/>
      <c r="AL365" s="155"/>
      <c r="AM365" s="606"/>
      <c r="AN365" s="606"/>
      <c r="AO365" s="215"/>
    </row>
    <row r="366" spans="1:41" ht="15.75" customHeight="1" thickBot="1" x14ac:dyDescent="0.4">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1"/>
      <c r="AI366" s="151"/>
      <c r="AJ366" s="155"/>
      <c r="AK366" s="155"/>
      <c r="AL366" s="155"/>
      <c r="AM366" s="606"/>
      <c r="AN366" s="606"/>
      <c r="AO366" s="215"/>
    </row>
    <row r="367" spans="1:41" ht="15.75" customHeight="1" thickBot="1" x14ac:dyDescent="0.4">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1"/>
      <c r="AI367" s="151"/>
      <c r="AJ367" s="155"/>
      <c r="AK367" s="155"/>
      <c r="AL367" s="155"/>
      <c r="AM367" s="606"/>
      <c r="AN367" s="606"/>
      <c r="AO367" s="215"/>
    </row>
    <row r="368" spans="1:41" ht="15.75" customHeight="1" thickBot="1" x14ac:dyDescent="0.4">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151"/>
      <c r="AG368" s="151"/>
      <c r="AH368" s="151"/>
      <c r="AI368" s="151"/>
      <c r="AJ368" s="155"/>
      <c r="AK368" s="155"/>
      <c r="AL368" s="155"/>
      <c r="AM368" s="606"/>
      <c r="AN368" s="606"/>
      <c r="AO368" s="215"/>
    </row>
    <row r="369" spans="1:41" ht="15.75" customHeight="1" thickBot="1" x14ac:dyDescent="0.4">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151"/>
      <c r="AG369" s="151"/>
      <c r="AH369" s="151"/>
      <c r="AI369" s="151"/>
      <c r="AJ369" s="155"/>
      <c r="AK369" s="155"/>
      <c r="AL369" s="155"/>
      <c r="AM369" s="606"/>
      <c r="AN369" s="606"/>
      <c r="AO369" s="215"/>
    </row>
    <row r="370" spans="1:41" ht="15.75" customHeight="1" thickBot="1" x14ac:dyDescent="0.4">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1"/>
      <c r="AI370" s="151"/>
      <c r="AJ370" s="155"/>
      <c r="AK370" s="155"/>
      <c r="AL370" s="155"/>
      <c r="AM370" s="606"/>
      <c r="AN370" s="606"/>
      <c r="AO370" s="215"/>
    </row>
    <row r="371" spans="1:41" ht="15.75" customHeight="1" thickBot="1" x14ac:dyDescent="0.4">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151"/>
      <c r="AG371" s="151"/>
      <c r="AH371" s="151"/>
      <c r="AI371" s="151"/>
      <c r="AJ371" s="155"/>
      <c r="AK371" s="155"/>
      <c r="AL371" s="155"/>
      <c r="AM371" s="606"/>
      <c r="AN371" s="606"/>
      <c r="AO371" s="215"/>
    </row>
    <row r="372" spans="1:41" ht="15.75" customHeight="1" x14ac:dyDescent="0.35"/>
    <row r="373" spans="1:41" ht="15.75" customHeight="1" x14ac:dyDescent="0.35"/>
    <row r="374" spans="1:41" ht="15.75" customHeight="1" x14ac:dyDescent="0.35"/>
    <row r="375" spans="1:41" ht="15.75" customHeight="1" x14ac:dyDescent="0.35"/>
    <row r="376" spans="1:41" ht="15.75" customHeight="1" x14ac:dyDescent="0.35"/>
    <row r="377" spans="1:41" ht="15.75" customHeight="1" x14ac:dyDescent="0.35"/>
    <row r="378" spans="1:41" ht="15.75" customHeight="1" x14ac:dyDescent="0.35"/>
    <row r="379" spans="1:41" ht="15.75" customHeight="1" x14ac:dyDescent="0.35"/>
    <row r="380" spans="1:41" ht="15.75" customHeight="1" x14ac:dyDescent="0.35"/>
    <row r="381" spans="1:41" ht="15.75" customHeight="1" x14ac:dyDescent="0.35"/>
    <row r="382" spans="1:41" ht="15.75" customHeight="1" x14ac:dyDescent="0.35"/>
    <row r="383" spans="1:41" ht="15.75" customHeight="1" x14ac:dyDescent="0.35"/>
    <row r="384" spans="1:41"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sheetProtection password="DF7C" sheet="1" objects="1" scenarios="1"/>
  <autoFilter ref="B2:AS171">
    <filterColumn colId="0" showButton="0"/>
  </autoFilter>
  <mergeCells count="39">
    <mergeCell ref="B167:C167"/>
    <mergeCell ref="B168:C168"/>
    <mergeCell ref="B135:C135"/>
    <mergeCell ref="B136:C136"/>
    <mergeCell ref="B140:C140"/>
    <mergeCell ref="B144:C144"/>
    <mergeCell ref="B150:C150"/>
    <mergeCell ref="B159:C159"/>
    <mergeCell ref="B121:C121"/>
    <mergeCell ref="B77:C77"/>
    <mergeCell ref="B79:C79"/>
    <mergeCell ref="B82:C82"/>
    <mergeCell ref="B83:C83"/>
    <mergeCell ref="B91:C91"/>
    <mergeCell ref="B95:C95"/>
    <mergeCell ref="B97:C97"/>
    <mergeCell ref="B98:C98"/>
    <mergeCell ref="B100:C100"/>
    <mergeCell ref="B105:C105"/>
    <mergeCell ref="B109:C109"/>
    <mergeCell ref="B73:C73"/>
    <mergeCell ref="B33:C33"/>
    <mergeCell ref="B37:C37"/>
    <mergeCell ref="B38:C38"/>
    <mergeCell ref="B46:C46"/>
    <mergeCell ref="B50:C50"/>
    <mergeCell ref="B53:C53"/>
    <mergeCell ref="B57:C57"/>
    <mergeCell ref="B60:C60"/>
    <mergeCell ref="B61:C61"/>
    <mergeCell ref="B64:C64"/>
    <mergeCell ref="B69:C69"/>
    <mergeCell ref="B27:C27"/>
    <mergeCell ref="B2:C2"/>
    <mergeCell ref="B3:C3"/>
    <mergeCell ref="B4:C4"/>
    <mergeCell ref="B5:C5"/>
    <mergeCell ref="B22:C22"/>
    <mergeCell ref="B26:C26"/>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41"/>
  <sheetViews>
    <sheetView zoomScale="35" zoomScaleNormal="35" workbookViewId="0">
      <pane xSplit="3" ySplit="4" topLeftCell="AA49" activePane="bottomRight" state="frozen"/>
      <selection pane="topRight" activeCell="D1" sqref="D1"/>
      <selection pane="bottomLeft" activeCell="A5" sqref="A5"/>
      <selection pane="bottomRight" activeCell="AJ51" sqref="AJ51"/>
    </sheetView>
  </sheetViews>
  <sheetFormatPr baseColWidth="10" defaultColWidth="14.44140625" defaultRowHeight="67.2" customHeight="1" x14ac:dyDescent="0.35"/>
  <cols>
    <col min="1" max="1" width="3.6640625" style="154" customWidth="1"/>
    <col min="2" max="2" width="58" style="154" customWidth="1"/>
    <col min="3" max="3" width="56.33203125" style="154" customWidth="1"/>
    <col min="4" max="4" width="38.6640625" style="154" customWidth="1"/>
    <col min="5" max="5" width="34.88671875" style="154" customWidth="1"/>
    <col min="6" max="6" width="42.109375" style="154" customWidth="1"/>
    <col min="7" max="7" width="34.5546875" style="154" customWidth="1"/>
    <col min="8" max="9" width="34.88671875" style="154" customWidth="1"/>
    <col min="10" max="10" width="35.109375" style="154" customWidth="1"/>
    <col min="11" max="12" width="35.33203125" style="154" customWidth="1"/>
    <col min="13" max="13" width="40.33203125" style="154" hidden="1" customWidth="1"/>
    <col min="14" max="14" width="33.6640625" style="154" hidden="1" customWidth="1"/>
    <col min="15" max="15" width="39.44140625" style="154" hidden="1" customWidth="1"/>
    <col min="16" max="16" width="32.6640625" style="154" customWidth="1"/>
    <col min="17" max="17" width="32.6640625" style="154" hidden="1" customWidth="1"/>
    <col min="18" max="18" width="31.88671875" style="154" hidden="1" customWidth="1"/>
    <col min="19" max="19" width="34.21875" style="154" hidden="1" customWidth="1"/>
    <col min="20" max="21" width="39.6640625" style="154" hidden="1" customWidth="1"/>
    <col min="22" max="22" width="30.5546875" style="154" customWidth="1"/>
    <col min="23" max="24" width="34.88671875" style="154" customWidth="1"/>
    <col min="25" max="25" width="36.21875" style="154" customWidth="1"/>
    <col min="26" max="26" width="41.88671875" style="154" customWidth="1"/>
    <col min="27" max="27" width="35.21875" style="154" customWidth="1"/>
    <col min="28" max="28" width="34.88671875" style="154" customWidth="1"/>
    <col min="29" max="29" width="42" style="154" customWidth="1"/>
    <col min="30" max="31" width="37.21875" style="154" customWidth="1"/>
    <col min="32" max="32" width="42.6640625" style="154" hidden="1" customWidth="1"/>
    <col min="33" max="34" width="40.109375" style="154" hidden="1" customWidth="1"/>
    <col min="35" max="35" width="44.77734375" style="154" customWidth="1"/>
    <col min="36" max="37" width="44.5546875" style="154" customWidth="1"/>
    <col min="38" max="38" width="42.77734375" style="154" customWidth="1"/>
    <col min="39" max="40" width="40" style="154" customWidth="1"/>
    <col min="41" max="41" width="59" style="154" hidden="1" customWidth="1"/>
    <col min="42" max="42" width="70" style="154" hidden="1" customWidth="1"/>
    <col min="43" max="43" width="53.6640625" style="154" hidden="1" customWidth="1"/>
    <col min="44" max="44" width="73" style="154" hidden="1" customWidth="1"/>
    <col min="45" max="45" width="61.77734375" style="154" hidden="1" customWidth="1"/>
    <col min="46" max="46" width="54.88671875" style="154" hidden="1" customWidth="1"/>
    <col min="47" max="47" width="63" style="154" hidden="1" customWidth="1"/>
    <col min="48" max="48" width="70.44140625" style="154" hidden="1" customWidth="1"/>
    <col min="49" max="52" width="10.6640625" style="154" customWidth="1"/>
    <col min="53" max="16384" width="14.44140625" style="154"/>
  </cols>
  <sheetData>
    <row r="1" spans="1:125" ht="33.6" customHeight="1" thickBot="1" x14ac:dyDescent="0.4">
      <c r="A1" s="151"/>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1"/>
      <c r="AQ1" s="151"/>
      <c r="AR1" s="151"/>
      <c r="AS1" s="151"/>
      <c r="AT1" s="151"/>
      <c r="AU1" s="151"/>
    </row>
    <row r="2" spans="1:125" s="300" customFormat="1" ht="222.6" customHeight="1" thickBot="1" x14ac:dyDescent="0.45">
      <c r="A2" s="294"/>
      <c r="B2" s="1529" t="s">
        <v>0</v>
      </c>
      <c r="C2" s="1530"/>
      <c r="D2" s="295" t="s">
        <v>1</v>
      </c>
      <c r="E2" s="296" t="s">
        <v>2</v>
      </c>
      <c r="F2" s="297" t="s">
        <v>3</v>
      </c>
      <c r="G2" s="297" t="s">
        <v>4</v>
      </c>
      <c r="H2" s="297" t="s">
        <v>1873</v>
      </c>
      <c r="I2" s="1009" t="s">
        <v>2527</v>
      </c>
      <c r="J2" s="297" t="s">
        <v>5</v>
      </c>
      <c r="K2" s="297" t="s">
        <v>1874</v>
      </c>
      <c r="L2" s="1009" t="s">
        <v>2526</v>
      </c>
      <c r="M2" s="1015" t="s">
        <v>6</v>
      </c>
      <c r="N2" s="1015" t="s">
        <v>1875</v>
      </c>
      <c r="O2" s="1421" t="s">
        <v>2549</v>
      </c>
      <c r="P2" s="1016" t="s">
        <v>1847</v>
      </c>
      <c r="Q2" s="1017" t="s">
        <v>1876</v>
      </c>
      <c r="R2" s="1017" t="s">
        <v>1878</v>
      </c>
      <c r="S2" s="1017" t="s">
        <v>1877</v>
      </c>
      <c r="T2" s="1017" t="s">
        <v>2431</v>
      </c>
      <c r="U2" s="1017" t="s">
        <v>2473</v>
      </c>
      <c r="V2" s="1017" t="s">
        <v>1879</v>
      </c>
      <c r="W2" s="1422" t="s">
        <v>2529</v>
      </c>
      <c r="X2" s="1009" t="s">
        <v>2528</v>
      </c>
      <c r="Y2" s="1009" t="s">
        <v>2530</v>
      </c>
      <c r="Z2" s="1009" t="s">
        <v>2531</v>
      </c>
      <c r="AA2" s="1018" t="s">
        <v>2532</v>
      </c>
      <c r="AB2" s="1019" t="s">
        <v>2533</v>
      </c>
      <c r="AC2" s="482" t="s">
        <v>7</v>
      </c>
      <c r="AD2" s="1007" t="s">
        <v>2534</v>
      </c>
      <c r="AE2" s="1019" t="s">
        <v>2546</v>
      </c>
      <c r="AF2" s="959" t="s">
        <v>8</v>
      </c>
      <c r="AG2" s="1022" t="s">
        <v>2535</v>
      </c>
      <c r="AH2" s="1421" t="s">
        <v>2547</v>
      </c>
      <c r="AI2" s="413" t="s">
        <v>1881</v>
      </c>
      <c r="AJ2" s="413" t="s">
        <v>2536</v>
      </c>
      <c r="AK2" s="1423" t="s">
        <v>2539</v>
      </c>
      <c r="AL2" s="1022" t="s">
        <v>1849</v>
      </c>
      <c r="AM2" s="959" t="s">
        <v>2550</v>
      </c>
      <c r="AN2" s="1421" t="s">
        <v>2541</v>
      </c>
      <c r="AO2" s="298" t="s">
        <v>2474</v>
      </c>
      <c r="AP2" s="1022" t="s">
        <v>1882</v>
      </c>
      <c r="AQ2" s="959" t="s">
        <v>2290</v>
      </c>
      <c r="AR2" s="892" t="s">
        <v>2291</v>
      </c>
      <c r="AS2" s="893" t="s">
        <v>2342</v>
      </c>
      <c r="AT2" s="893" t="s">
        <v>2432</v>
      </c>
      <c r="AU2" s="1133" t="s">
        <v>1880</v>
      </c>
      <c r="AV2" s="1143" t="s">
        <v>2540</v>
      </c>
      <c r="AW2" s="1141"/>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row>
    <row r="3" spans="1:125" s="141" customFormat="1" ht="129" customHeight="1" thickBot="1" x14ac:dyDescent="0.9">
      <c r="A3" s="140"/>
      <c r="B3" s="1577" t="s">
        <v>1819</v>
      </c>
      <c r="C3" s="1578"/>
      <c r="D3" s="285"/>
      <c r="E3" s="286">
        <v>0.08</v>
      </c>
      <c r="F3" s="287"/>
      <c r="G3" s="288"/>
      <c r="H3" s="288"/>
      <c r="I3" s="288"/>
      <c r="J3" s="289">
        <f t="shared" ref="J3:O3" si="0">+(J4+J17+J48+J57+J77+J109)/6</f>
        <v>0.23222048675539217</v>
      </c>
      <c r="K3" s="549">
        <f t="shared" si="0"/>
        <v>0.28247799844447724</v>
      </c>
      <c r="L3" s="549">
        <f t="shared" si="0"/>
        <v>0.29285203758620826</v>
      </c>
      <c r="M3" s="550">
        <f t="shared" si="0"/>
        <v>0.21726216822485131</v>
      </c>
      <c r="N3" s="550">
        <f t="shared" si="0"/>
        <v>0.25962902970153884</v>
      </c>
      <c r="O3" s="550">
        <f t="shared" si="0"/>
        <v>0</v>
      </c>
      <c r="P3" s="290"/>
      <c r="Q3" s="290"/>
      <c r="R3" s="290"/>
      <c r="S3" s="290"/>
      <c r="T3" s="290"/>
      <c r="U3" s="991"/>
      <c r="V3" s="290"/>
      <c r="W3" s="290"/>
      <c r="X3" s="290"/>
      <c r="Y3" s="290"/>
      <c r="Z3" s="290"/>
      <c r="AA3" s="290"/>
      <c r="AB3" s="290"/>
      <c r="AC3" s="549">
        <f>+(AC4+AC17+AC48+AC57+AC77+AC109)/6</f>
        <v>0.91685226242112661</v>
      </c>
      <c r="AD3" s="549">
        <f>+(AD4+AD17+AD48+AD57+AD77+AD109)/6</f>
        <v>0.88535453902418837</v>
      </c>
      <c r="AE3" s="549">
        <f>+(AE4+AE17+AE48+AE57+AE77+AE109)/6</f>
        <v>0.25770144245140841</v>
      </c>
      <c r="AF3" s="550">
        <f>F4+F17+F48+F57+F77+F109</f>
        <v>0.75143767106226866</v>
      </c>
      <c r="AG3" s="550">
        <f>H4+H17+H48+H57+H77+H109</f>
        <v>0.85320446441075104</v>
      </c>
      <c r="AH3" s="550">
        <f>I4+I17+I48+I57+I77+I109</f>
        <v>0.21005964348183265</v>
      </c>
      <c r="AI3" s="549">
        <f>+(AI4+AI17+AI48+AI57+AI77+AI109)/6</f>
        <v>0.21689546793257833</v>
      </c>
      <c r="AJ3" s="549">
        <v>0.54534437455673601</v>
      </c>
      <c r="AK3" s="549">
        <f>+(AK4+AK17+AK48+AK57+AK77+AK109)/6</f>
        <v>0.58485635336926378</v>
      </c>
      <c r="AL3" s="550">
        <f>+(AL4+AL17+AL48+AL57+AL77+AL109)/6</f>
        <v>0.19300125399793866</v>
      </c>
      <c r="AM3" s="550">
        <f>+(AM4*E4+AM17*E17+AM48*E48+AM57*E57+AM77*E77+AM109*E109)</f>
        <v>0.50552782129594898</v>
      </c>
      <c r="AN3" s="550">
        <f>+(AN4*E4+AN17*E17+AN48*E48+AN57*E57+AN77*E77+AN109*E109)</f>
        <v>0.54894144575815218</v>
      </c>
      <c r="AO3" s="290"/>
      <c r="AP3" s="290"/>
      <c r="AQ3" s="290"/>
      <c r="AR3" s="290"/>
      <c r="AS3" s="922"/>
      <c r="AT3" s="1145"/>
      <c r="AU3" s="926"/>
      <c r="AV3" s="1144"/>
    </row>
    <row r="4" spans="1:125" s="653" customFormat="1" ht="67.2" customHeight="1" thickBot="1" x14ac:dyDescent="0.5">
      <c r="A4" s="859"/>
      <c r="B4" s="1579" t="s">
        <v>1587</v>
      </c>
      <c r="C4" s="1543"/>
      <c r="D4" s="860"/>
      <c r="E4" s="861">
        <v>0.15</v>
      </c>
      <c r="F4" s="862">
        <f>+E4*AF4</f>
        <v>9.6000000000000002E-2</v>
      </c>
      <c r="G4" s="863"/>
      <c r="H4" s="862">
        <f>+E4*AG4</f>
        <v>0.12074999999999998</v>
      </c>
      <c r="I4" s="862">
        <f>+E4*AH4</f>
        <v>3.872571428571428E-2</v>
      </c>
      <c r="J4" s="662">
        <f>+(J5+J9+J12)/2</f>
        <v>0.24124999999999999</v>
      </c>
      <c r="K4" s="662">
        <f>+(K5+K9+K12)/3</f>
        <v>0.23564814814814816</v>
      </c>
      <c r="L4" s="662">
        <f>+(L5+L9+L12)/3</f>
        <v>0.28537037037037033</v>
      </c>
      <c r="M4" s="661">
        <f>+(M5+M9+M12)/2</f>
        <v>0.24783333333333332</v>
      </c>
      <c r="N4" s="661">
        <f>+(N5+N9+N12)/3</f>
        <v>0.17905555555555552</v>
      </c>
      <c r="O4" s="661">
        <f>+(O5+O9+O12)/3</f>
        <v>0</v>
      </c>
      <c r="P4" s="666"/>
      <c r="Q4" s="666"/>
      <c r="R4" s="666"/>
      <c r="S4" s="666"/>
      <c r="T4" s="666"/>
      <c r="U4" s="992"/>
      <c r="V4" s="666"/>
      <c r="W4" s="666"/>
      <c r="X4" s="666"/>
      <c r="Y4" s="666"/>
      <c r="Z4" s="666"/>
      <c r="AA4" s="666"/>
      <c r="AB4" s="666"/>
      <c r="AC4" s="662">
        <f>+(AC5+AC9+AC12)/2</f>
        <v>0.875</v>
      </c>
      <c r="AD4" s="662">
        <f>+(AD5+AD9+AD12)/3</f>
        <v>0.77777777777777768</v>
      </c>
      <c r="AE4" s="662">
        <f>+(AE5+AE9+AE12)/3</f>
        <v>0.3129365079365079</v>
      </c>
      <c r="AF4" s="661">
        <f>+AF5+AF9+AF12</f>
        <v>0.64</v>
      </c>
      <c r="AG4" s="661">
        <f>+AG5+AG9+AG12</f>
        <v>0.80499999999999994</v>
      </c>
      <c r="AH4" s="661">
        <f>+AH5+AH9+AH12</f>
        <v>0.25817142857142855</v>
      </c>
      <c r="AI4" s="662">
        <f>(AI5+AI9+AI12)/2</f>
        <v>0.21</v>
      </c>
      <c r="AJ4" s="662">
        <v>0.47580555555555559</v>
      </c>
      <c r="AK4" s="662">
        <f>+((AK5-AJ5)/3)+((AK9-AJ9)/3)+((AK12-AJ12)/3)+AJ4</f>
        <v>0.50897222222222227</v>
      </c>
      <c r="AL4" s="864">
        <f>(AL5+AL9+AL12)</f>
        <v>0.15870000000000001</v>
      </c>
      <c r="AM4" s="864">
        <f>(AM5*E5+AM9*E9+AM12*E12)</f>
        <v>0.41844000000000003</v>
      </c>
      <c r="AN4" s="864">
        <f>(AN5*E5+AN9*E9+AN12*E12)</f>
        <v>0.44303999999999999</v>
      </c>
      <c r="AO4" s="666"/>
      <c r="AP4" s="865" t="s">
        <v>1991</v>
      </c>
      <c r="AQ4" s="666"/>
      <c r="AR4" s="666"/>
      <c r="AS4" s="923"/>
      <c r="AT4" s="923"/>
      <c r="AU4" s="666"/>
      <c r="AV4" s="896"/>
    </row>
    <row r="5" spans="1:125" ht="67.2" customHeight="1" thickBot="1" x14ac:dyDescent="0.4">
      <c r="A5" s="264"/>
      <c r="B5" s="1580" t="s">
        <v>1820</v>
      </c>
      <c r="C5" s="1562"/>
      <c r="D5" s="266"/>
      <c r="E5" s="269">
        <v>0.3</v>
      </c>
      <c r="F5" s="216"/>
      <c r="G5" s="163"/>
      <c r="H5" s="163"/>
      <c r="I5" s="163"/>
      <c r="J5" s="169"/>
      <c r="K5" s="169">
        <f>+AVERAGE(K6:K8)</f>
        <v>0.30444444444444446</v>
      </c>
      <c r="L5" s="169">
        <f>+AVERAGE(L6:L8)</f>
        <v>0.34611111111111109</v>
      </c>
      <c r="M5" s="169"/>
      <c r="N5" s="169">
        <f>+N6+N7+N8</f>
        <v>0.13749999999999998</v>
      </c>
      <c r="O5" s="169"/>
      <c r="P5" s="168"/>
      <c r="Q5" s="168"/>
      <c r="R5" s="168"/>
      <c r="S5" s="168"/>
      <c r="T5" s="168"/>
      <c r="U5" s="987"/>
      <c r="V5" s="168"/>
      <c r="W5" s="168"/>
      <c r="X5" s="168"/>
      <c r="Y5" s="168"/>
      <c r="Z5" s="168"/>
      <c r="AA5" s="168"/>
      <c r="AB5" s="168"/>
      <c r="AC5" s="192"/>
      <c r="AD5" s="192">
        <f>+AVERAGE(AD6:AD8)</f>
        <v>0.33333333333333331</v>
      </c>
      <c r="AE5" s="192">
        <f>+AVERAGE(AE6:AE8)</f>
        <v>0</v>
      </c>
      <c r="AF5" s="192"/>
      <c r="AG5" s="192">
        <f>+(AG6+AG7+AG8)*E5</f>
        <v>0.105</v>
      </c>
      <c r="AH5" s="192">
        <f>+(AH6+AH7+AH8)*E5</f>
        <v>0</v>
      </c>
      <c r="AI5" s="169"/>
      <c r="AJ5" s="169">
        <v>0.11549999999999999</v>
      </c>
      <c r="AK5" s="169">
        <f>+AVERAGE(AK6:AK8)</f>
        <v>0.11666666666666665</v>
      </c>
      <c r="AL5" s="169"/>
      <c r="AM5" s="169">
        <f>+(AM6+AM7+AM8)</f>
        <v>0.12249999999999998</v>
      </c>
      <c r="AN5" s="169">
        <f>+(AN6+AN7+AN8)</f>
        <v>0.12249999999999998</v>
      </c>
      <c r="AO5" s="163"/>
      <c r="AP5" s="163"/>
      <c r="AQ5" s="163"/>
      <c r="AR5" s="163"/>
      <c r="AS5" s="609"/>
      <c r="AT5" s="609"/>
      <c r="AU5" s="163"/>
      <c r="AV5" s="535"/>
    </row>
    <row r="6" spans="1:125" ht="67.2" customHeight="1" thickBot="1" x14ac:dyDescent="0.4">
      <c r="A6" s="264"/>
      <c r="B6" s="1480" t="s">
        <v>955</v>
      </c>
      <c r="C6" s="1480" t="s">
        <v>1162</v>
      </c>
      <c r="D6" s="266" t="s">
        <v>516</v>
      </c>
      <c r="E6" s="225">
        <v>0.35</v>
      </c>
      <c r="F6" s="226">
        <v>40</v>
      </c>
      <c r="G6" s="170">
        <v>0</v>
      </c>
      <c r="H6" s="170">
        <v>10</v>
      </c>
      <c r="I6" s="170">
        <v>15</v>
      </c>
      <c r="J6" s="176"/>
      <c r="K6" s="176">
        <f>+H6/F6</f>
        <v>0.25</v>
      </c>
      <c r="L6" s="176">
        <f>+I6/F6</f>
        <v>0.375</v>
      </c>
      <c r="M6" s="176"/>
      <c r="N6" s="176">
        <f>+(H6/F6)*E6</f>
        <v>8.7499999999999994E-2</v>
      </c>
      <c r="O6" s="176"/>
      <c r="P6" s="170"/>
      <c r="Q6" s="541">
        <v>1</v>
      </c>
      <c r="R6" s="541">
        <v>7</v>
      </c>
      <c r="S6" s="541">
        <v>6</v>
      </c>
      <c r="T6" s="541">
        <v>0</v>
      </c>
      <c r="U6" s="541">
        <v>0</v>
      </c>
      <c r="V6" s="170">
        <f>+Q6+R6+S6+T6+U6</f>
        <v>14</v>
      </c>
      <c r="W6" s="170">
        <f>+V6+P6+AB6</f>
        <v>14</v>
      </c>
      <c r="X6" s="541">
        <v>0</v>
      </c>
      <c r="Y6" s="170"/>
      <c r="Z6" s="170"/>
      <c r="AA6" s="170"/>
      <c r="AB6" s="170">
        <f>+X6+Y6+Z6+AA6</f>
        <v>0</v>
      </c>
      <c r="AC6" s="177"/>
      <c r="AD6" s="176">
        <v>1</v>
      </c>
      <c r="AE6" s="176">
        <f>+AB6/I6</f>
        <v>0</v>
      </c>
      <c r="AF6" s="178"/>
      <c r="AG6" s="178">
        <f>+AD6*E6</f>
        <v>0.35</v>
      </c>
      <c r="AH6" s="178">
        <f>+AE6*E6</f>
        <v>0</v>
      </c>
      <c r="AI6" s="176"/>
      <c r="AJ6" s="194">
        <v>0.35</v>
      </c>
      <c r="AK6" s="194">
        <f>+W6/F6</f>
        <v>0.35</v>
      </c>
      <c r="AL6" s="176"/>
      <c r="AM6" s="194">
        <f>+AJ6*E6</f>
        <v>0.12249999999999998</v>
      </c>
      <c r="AN6" s="194">
        <f>+AK6*E6</f>
        <v>0.12249999999999998</v>
      </c>
      <c r="AO6" s="247" t="s">
        <v>1852</v>
      </c>
      <c r="AP6" s="163"/>
      <c r="AQ6" s="571" t="s">
        <v>2269</v>
      </c>
      <c r="AR6" s="571" t="s">
        <v>2288</v>
      </c>
      <c r="AS6" s="792" t="s">
        <v>2402</v>
      </c>
      <c r="AT6" s="785" t="s">
        <v>1865</v>
      </c>
      <c r="AU6" s="571" t="s">
        <v>2493</v>
      </c>
      <c r="AV6" s="571" t="s">
        <v>1893</v>
      </c>
    </row>
    <row r="7" spans="1:125" ht="67.2" customHeight="1" thickBot="1" x14ac:dyDescent="0.4">
      <c r="A7" s="264"/>
      <c r="B7" s="1504" t="s">
        <v>956</v>
      </c>
      <c r="C7" s="1504" t="s">
        <v>1163</v>
      </c>
      <c r="D7" s="266" t="s">
        <v>516</v>
      </c>
      <c r="E7" s="228">
        <v>0.5</v>
      </c>
      <c r="F7" s="226">
        <v>1</v>
      </c>
      <c r="G7" s="170">
        <v>0</v>
      </c>
      <c r="H7" s="170">
        <v>0.33</v>
      </c>
      <c r="I7" s="170" t="s">
        <v>2562</v>
      </c>
      <c r="J7" s="176"/>
      <c r="K7" s="176">
        <f>+H7/F7</f>
        <v>0.33</v>
      </c>
      <c r="L7" s="176">
        <f>+I7/F7</f>
        <v>0.33</v>
      </c>
      <c r="M7" s="176"/>
      <c r="N7" s="176"/>
      <c r="O7" s="176"/>
      <c r="P7" s="170"/>
      <c r="Q7" s="541"/>
      <c r="R7" s="541">
        <v>0</v>
      </c>
      <c r="S7" s="541"/>
      <c r="T7" s="541">
        <v>0</v>
      </c>
      <c r="U7" s="541">
        <v>0</v>
      </c>
      <c r="V7" s="170">
        <f t="shared" ref="V7:V70" si="1">+Q7+R7+S7+T7+U7</f>
        <v>0</v>
      </c>
      <c r="W7" s="170">
        <f t="shared" ref="W7:W16" si="2">+V7+P7+AB7</f>
        <v>0</v>
      </c>
      <c r="X7" s="541">
        <v>0</v>
      </c>
      <c r="Y7" s="170"/>
      <c r="Z7" s="170"/>
      <c r="AA7" s="170"/>
      <c r="AB7" s="170">
        <f t="shared" ref="AB7:AB16" si="3">+X7+Y7+Z7+AA7</f>
        <v>0</v>
      </c>
      <c r="AC7" s="177"/>
      <c r="AD7" s="176">
        <f>+V7/H7</f>
        <v>0</v>
      </c>
      <c r="AE7" s="176">
        <f>+AB7/I7</f>
        <v>0</v>
      </c>
      <c r="AF7" s="178"/>
      <c r="AG7" s="178"/>
      <c r="AH7" s="178">
        <f t="shared" ref="AH7:AH16" si="4">+AE7*E7</f>
        <v>0</v>
      </c>
      <c r="AI7" s="176"/>
      <c r="AJ7" s="194">
        <v>0</v>
      </c>
      <c r="AK7" s="194">
        <f t="shared" ref="AK7:AK15" si="5">+W7/F7</f>
        <v>0</v>
      </c>
      <c r="AL7" s="176"/>
      <c r="AM7" s="194">
        <f>+AJ7*E7</f>
        <v>0</v>
      </c>
      <c r="AN7" s="194">
        <f t="shared" ref="AN7:AN16" si="6">+AK7*E7</f>
        <v>0</v>
      </c>
      <c r="AO7" s="247" t="s">
        <v>1852</v>
      </c>
      <c r="AP7" s="163"/>
      <c r="AQ7" s="571" t="s">
        <v>2269</v>
      </c>
      <c r="AR7" s="571" t="s">
        <v>2288</v>
      </c>
      <c r="AS7" s="784" t="s">
        <v>2386</v>
      </c>
      <c r="AT7" s="792" t="s">
        <v>2438</v>
      </c>
      <c r="AU7" s="571" t="s">
        <v>2493</v>
      </c>
      <c r="AV7" s="571" t="s">
        <v>1893</v>
      </c>
    </row>
    <row r="8" spans="1:125" ht="123" customHeight="1" thickBot="1" x14ac:dyDescent="0.4">
      <c r="A8" s="264"/>
      <c r="B8" s="1480" t="s">
        <v>957</v>
      </c>
      <c r="C8" s="1480" t="s">
        <v>1164</v>
      </c>
      <c r="D8" s="266" t="s">
        <v>516</v>
      </c>
      <c r="E8" s="270">
        <v>0.15</v>
      </c>
      <c r="F8" s="226">
        <v>3</v>
      </c>
      <c r="G8" s="170">
        <v>0</v>
      </c>
      <c r="H8" s="170">
        <v>1</v>
      </c>
      <c r="I8" s="170">
        <v>1</v>
      </c>
      <c r="J8" s="176"/>
      <c r="K8" s="176">
        <f t="shared" ref="K8" si="7">+H8/F8</f>
        <v>0.33333333333333331</v>
      </c>
      <c r="L8" s="176">
        <f t="shared" ref="L8:L15" si="8">+I8/F8</f>
        <v>0.33333333333333331</v>
      </c>
      <c r="M8" s="176"/>
      <c r="N8" s="176">
        <f t="shared" ref="N8" si="9">+(H8/F8)*E8</f>
        <v>4.9999999999999996E-2</v>
      </c>
      <c r="O8" s="176"/>
      <c r="P8" s="170"/>
      <c r="Q8" s="541">
        <v>0</v>
      </c>
      <c r="R8" s="541">
        <v>0</v>
      </c>
      <c r="S8" s="541">
        <v>0</v>
      </c>
      <c r="T8" s="541">
        <v>0</v>
      </c>
      <c r="U8" s="541">
        <v>0</v>
      </c>
      <c r="V8" s="170">
        <f t="shared" si="1"/>
        <v>0</v>
      </c>
      <c r="W8" s="170">
        <f t="shared" si="2"/>
        <v>0</v>
      </c>
      <c r="X8" s="541">
        <v>0</v>
      </c>
      <c r="Y8" s="170"/>
      <c r="Z8" s="170"/>
      <c r="AA8" s="170"/>
      <c r="AB8" s="170">
        <f t="shared" si="3"/>
        <v>0</v>
      </c>
      <c r="AC8" s="177"/>
      <c r="AD8" s="176">
        <f t="shared" ref="AD8" si="10">+V8/H8</f>
        <v>0</v>
      </c>
      <c r="AE8" s="176">
        <f t="shared" ref="AE8:AE13" si="11">+AB8/I8</f>
        <v>0</v>
      </c>
      <c r="AF8" s="178"/>
      <c r="AG8" s="178">
        <f>+AD8*E8</f>
        <v>0</v>
      </c>
      <c r="AH8" s="178">
        <f t="shared" si="4"/>
        <v>0</v>
      </c>
      <c r="AI8" s="176"/>
      <c r="AJ8" s="176">
        <v>0</v>
      </c>
      <c r="AK8" s="194">
        <f t="shared" si="5"/>
        <v>0</v>
      </c>
      <c r="AL8" s="176"/>
      <c r="AM8" s="194">
        <f>+AJ8*E8</f>
        <v>0</v>
      </c>
      <c r="AN8" s="194">
        <f t="shared" si="6"/>
        <v>0</v>
      </c>
      <c r="AO8" s="247" t="s">
        <v>1852</v>
      </c>
      <c r="AP8" s="588" t="s">
        <v>1919</v>
      </c>
      <c r="AQ8" s="163"/>
      <c r="AR8" s="571" t="s">
        <v>2288</v>
      </c>
      <c r="AS8" s="792" t="s">
        <v>2402</v>
      </c>
      <c r="AT8" s="792" t="s">
        <v>2438</v>
      </c>
      <c r="AU8" s="571" t="s">
        <v>2493</v>
      </c>
      <c r="AV8" s="571" t="s">
        <v>1893</v>
      </c>
    </row>
    <row r="9" spans="1:125" ht="67.2" customHeight="1" thickBot="1" x14ac:dyDescent="0.4">
      <c r="A9" s="264"/>
      <c r="B9" s="1580" t="s">
        <v>1821</v>
      </c>
      <c r="C9" s="1562"/>
      <c r="D9" s="266"/>
      <c r="E9" s="271">
        <v>0.4</v>
      </c>
      <c r="F9" s="226"/>
      <c r="G9" s="170"/>
      <c r="H9" s="170"/>
      <c r="I9" s="170"/>
      <c r="J9" s="169">
        <f>+AVERAGE(J10:J11)</f>
        <v>0.25</v>
      </c>
      <c r="K9" s="169">
        <f>+AVERAGE(K10:K11)</f>
        <v>0.25</v>
      </c>
      <c r="L9" s="169">
        <f>+AVERAGE(L10:L11)</f>
        <v>0.1875</v>
      </c>
      <c r="M9" s="169">
        <f>+M10+M11</f>
        <v>0.25</v>
      </c>
      <c r="N9" s="169">
        <f>+N10+N11</f>
        <v>0.25</v>
      </c>
      <c r="O9" s="169"/>
      <c r="P9" s="168"/>
      <c r="Q9" s="168"/>
      <c r="R9" s="168"/>
      <c r="S9" s="168"/>
      <c r="T9" s="168"/>
      <c r="U9" s="987"/>
      <c r="V9" s="170"/>
      <c r="W9" s="170"/>
      <c r="X9" s="168"/>
      <c r="Y9" s="168"/>
      <c r="Z9" s="168"/>
      <c r="AA9" s="168"/>
      <c r="AB9" s="168"/>
      <c r="AC9" s="192">
        <f>+AVERAGE(AC10:AC11)</f>
        <v>0.75</v>
      </c>
      <c r="AD9" s="192">
        <f>+AVERAGE(AD10:AD11)</f>
        <v>1</v>
      </c>
      <c r="AE9" s="192">
        <f>+AVERAGE(AE10:AE11)</f>
        <v>0.5</v>
      </c>
      <c r="AF9" s="192">
        <f>+(AF10+AF11)*E9</f>
        <v>0.34</v>
      </c>
      <c r="AG9" s="192">
        <f>+(AG10+AG11)*E9</f>
        <v>0.4</v>
      </c>
      <c r="AH9" s="192">
        <f>+(AH10+AH11)*E9</f>
        <v>0.12</v>
      </c>
      <c r="AI9" s="169">
        <f>+AVERAGE(AI10:AI11)</f>
        <v>0.1875</v>
      </c>
      <c r="AJ9" s="169">
        <v>0.625</v>
      </c>
      <c r="AK9" s="169">
        <f>+AVERAGE(AK10:AK11)</f>
        <v>0.6875</v>
      </c>
      <c r="AL9" s="169">
        <f>+(AL10+AL11)*E9</f>
        <v>8.5000000000000006E-2</v>
      </c>
      <c r="AM9" s="169">
        <f>+(AM10+AM11)</f>
        <v>0.57499999999999996</v>
      </c>
      <c r="AN9" s="169">
        <f>+(AN10+AN11)</f>
        <v>0.61250000000000004</v>
      </c>
      <c r="AO9" s="163"/>
      <c r="AP9" s="163"/>
      <c r="AQ9" s="163"/>
      <c r="AR9" s="163"/>
      <c r="AS9" s="609"/>
      <c r="AT9" s="609"/>
      <c r="AU9" s="163"/>
      <c r="AV9" s="535"/>
    </row>
    <row r="10" spans="1:125" ht="163.95" customHeight="1" thickBot="1" x14ac:dyDescent="0.4">
      <c r="A10" s="264"/>
      <c r="B10" s="1504" t="s">
        <v>958</v>
      </c>
      <c r="C10" s="1504" t="s">
        <v>1165</v>
      </c>
      <c r="D10" s="266" t="s">
        <v>516</v>
      </c>
      <c r="E10" s="225">
        <v>0.7</v>
      </c>
      <c r="F10" s="226">
        <v>1</v>
      </c>
      <c r="G10" s="170">
        <v>0.25</v>
      </c>
      <c r="H10" s="170">
        <v>0.25</v>
      </c>
      <c r="I10" s="170">
        <v>0.25</v>
      </c>
      <c r="J10" s="176">
        <f>+G10/F10</f>
        <v>0.25</v>
      </c>
      <c r="K10" s="176">
        <f>+H10/F10</f>
        <v>0.25</v>
      </c>
      <c r="L10" s="176">
        <f t="shared" si="8"/>
        <v>0.25</v>
      </c>
      <c r="M10" s="176">
        <f>+(G10/F10)*E10</f>
        <v>0.17499999999999999</v>
      </c>
      <c r="N10" s="176">
        <f>+(H10/F10)*E10</f>
        <v>0.17499999999999999</v>
      </c>
      <c r="O10" s="176"/>
      <c r="P10" s="170">
        <v>0.25</v>
      </c>
      <c r="Q10" s="541">
        <v>0</v>
      </c>
      <c r="R10" s="541">
        <v>0.18</v>
      </c>
      <c r="S10" s="541">
        <v>7.0000000000000007E-2</v>
      </c>
      <c r="T10" s="541">
        <v>0</v>
      </c>
      <c r="U10" s="541">
        <v>0</v>
      </c>
      <c r="V10" s="170">
        <f t="shared" si="1"/>
        <v>0.25</v>
      </c>
      <c r="W10" s="170">
        <f t="shared" si="2"/>
        <v>0.5</v>
      </c>
      <c r="X10" s="541">
        <v>0</v>
      </c>
      <c r="Y10" s="170"/>
      <c r="Z10" s="170"/>
      <c r="AA10" s="170"/>
      <c r="AB10" s="170">
        <f t="shared" si="3"/>
        <v>0</v>
      </c>
      <c r="AC10" s="194">
        <f>+(P10/G10)</f>
        <v>1</v>
      </c>
      <c r="AD10" s="194">
        <f t="shared" ref="AD10" si="12">+V10/H10</f>
        <v>1</v>
      </c>
      <c r="AE10" s="194">
        <f t="shared" si="11"/>
        <v>0</v>
      </c>
      <c r="AF10" s="194">
        <f>+AC10*E10</f>
        <v>0.7</v>
      </c>
      <c r="AG10" s="194">
        <f t="shared" ref="AG10:AG16" si="13">+AD10*E10</f>
        <v>0.7</v>
      </c>
      <c r="AH10" s="194">
        <f t="shared" si="4"/>
        <v>0</v>
      </c>
      <c r="AI10" s="194">
        <f>+P10/F10</f>
        <v>0.25</v>
      </c>
      <c r="AJ10" s="194">
        <v>0.5</v>
      </c>
      <c r="AK10" s="194">
        <f t="shared" si="5"/>
        <v>0.5</v>
      </c>
      <c r="AL10" s="176">
        <f>+AI10*E10</f>
        <v>0.17499999999999999</v>
      </c>
      <c r="AM10" s="194">
        <f>+AJ10*E10</f>
        <v>0.35</v>
      </c>
      <c r="AN10" s="194">
        <f t="shared" si="6"/>
        <v>0.35</v>
      </c>
      <c r="AO10" s="247" t="s">
        <v>1852</v>
      </c>
      <c r="AP10" s="163"/>
      <c r="AQ10" s="571" t="s">
        <v>2269</v>
      </c>
      <c r="AR10" s="571" t="s">
        <v>2288</v>
      </c>
      <c r="AS10" s="792" t="s">
        <v>2402</v>
      </c>
      <c r="AT10" s="792" t="s">
        <v>2438</v>
      </c>
      <c r="AU10" s="571" t="s">
        <v>2493</v>
      </c>
      <c r="AV10" s="571" t="s">
        <v>1893</v>
      </c>
    </row>
    <row r="11" spans="1:125" ht="97.2" customHeight="1" thickBot="1" x14ac:dyDescent="0.4">
      <c r="A11" s="264"/>
      <c r="B11" s="1504" t="s">
        <v>959</v>
      </c>
      <c r="C11" s="1504" t="s">
        <v>1166</v>
      </c>
      <c r="D11" s="266" t="s">
        <v>960</v>
      </c>
      <c r="E11" s="270">
        <v>0.3</v>
      </c>
      <c r="F11" s="226">
        <v>8</v>
      </c>
      <c r="G11" s="170">
        <v>2</v>
      </c>
      <c r="H11" s="170">
        <v>2</v>
      </c>
      <c r="I11" s="170">
        <v>1</v>
      </c>
      <c r="J11" s="176">
        <f>+G11/F11</f>
        <v>0.25</v>
      </c>
      <c r="K11" s="176">
        <f>+H11/F11</f>
        <v>0.25</v>
      </c>
      <c r="L11" s="176">
        <f>+I11/F11</f>
        <v>0.125</v>
      </c>
      <c r="M11" s="176">
        <f>+(G11/F11)*E11</f>
        <v>7.4999999999999997E-2</v>
      </c>
      <c r="N11" s="176">
        <f>+(H11/F11)*E11</f>
        <v>7.4999999999999997E-2</v>
      </c>
      <c r="O11" s="176"/>
      <c r="P11" s="170">
        <v>1</v>
      </c>
      <c r="Q11" s="541">
        <v>0</v>
      </c>
      <c r="R11" s="541">
        <v>1</v>
      </c>
      <c r="S11" s="541">
        <v>0</v>
      </c>
      <c r="T11" s="541">
        <v>0</v>
      </c>
      <c r="U11" s="541">
        <v>4</v>
      </c>
      <c r="V11" s="170">
        <f t="shared" si="1"/>
        <v>5</v>
      </c>
      <c r="W11" s="170">
        <f t="shared" si="2"/>
        <v>7</v>
      </c>
      <c r="X11" s="541">
        <v>1</v>
      </c>
      <c r="Y11" s="170"/>
      <c r="Z11" s="170"/>
      <c r="AA11" s="170"/>
      <c r="AB11" s="170">
        <f t="shared" si="3"/>
        <v>1</v>
      </c>
      <c r="AC11" s="194">
        <f>+(P11/G11)</f>
        <v>0.5</v>
      </c>
      <c r="AD11" s="194">
        <v>1</v>
      </c>
      <c r="AE11" s="194">
        <f t="shared" si="11"/>
        <v>1</v>
      </c>
      <c r="AF11" s="194">
        <f>+AC11*E11</f>
        <v>0.15</v>
      </c>
      <c r="AG11" s="194">
        <f t="shared" si="13"/>
        <v>0.3</v>
      </c>
      <c r="AH11" s="194">
        <f t="shared" si="4"/>
        <v>0.3</v>
      </c>
      <c r="AI11" s="194">
        <f>+P11/F11</f>
        <v>0.125</v>
      </c>
      <c r="AJ11" s="194">
        <v>0.75</v>
      </c>
      <c r="AK11" s="194">
        <f t="shared" si="5"/>
        <v>0.875</v>
      </c>
      <c r="AL11" s="176">
        <f>+AI11*E11</f>
        <v>3.7499999999999999E-2</v>
      </c>
      <c r="AM11" s="194">
        <f>+AJ11*E11</f>
        <v>0.22499999999999998</v>
      </c>
      <c r="AN11" s="194">
        <f t="shared" si="6"/>
        <v>0.26250000000000001</v>
      </c>
      <c r="AO11" s="247" t="s">
        <v>1852</v>
      </c>
      <c r="AP11" s="163"/>
      <c r="AQ11" s="571" t="s">
        <v>2269</v>
      </c>
      <c r="AR11" s="571" t="s">
        <v>2288</v>
      </c>
      <c r="AS11" s="792" t="s">
        <v>2402</v>
      </c>
      <c r="AT11" s="792" t="s">
        <v>2438</v>
      </c>
      <c r="AU11" s="571" t="s">
        <v>2493</v>
      </c>
      <c r="AV11" s="571" t="s">
        <v>1893</v>
      </c>
    </row>
    <row r="12" spans="1:125" ht="67.2" customHeight="1" thickBot="1" x14ac:dyDescent="0.4">
      <c r="A12" s="264"/>
      <c r="B12" s="1580" t="s">
        <v>1822</v>
      </c>
      <c r="C12" s="1562"/>
      <c r="D12" s="266"/>
      <c r="E12" s="272">
        <v>0.3</v>
      </c>
      <c r="F12" s="216"/>
      <c r="G12" s="163"/>
      <c r="H12" s="163"/>
      <c r="I12" s="163"/>
      <c r="J12" s="169">
        <f>+AVERAGE(J13:J16)</f>
        <v>0.23249999999999998</v>
      </c>
      <c r="K12" s="169">
        <f>+AVERAGE(K13:K16)</f>
        <v>0.1525</v>
      </c>
      <c r="L12" s="169">
        <f>+AVERAGE(L13:L16)</f>
        <v>0.32250000000000001</v>
      </c>
      <c r="M12" s="169">
        <f>+M13+M14+M15+M16</f>
        <v>0.24566666666666664</v>
      </c>
      <c r="N12" s="169">
        <f>+N13+N14+N15+N16</f>
        <v>0.14966666666666667</v>
      </c>
      <c r="O12" s="169"/>
      <c r="P12" s="168"/>
      <c r="Q12" s="168"/>
      <c r="R12" s="168"/>
      <c r="S12" s="168"/>
      <c r="T12" s="168"/>
      <c r="U12" s="987"/>
      <c r="V12" s="170"/>
      <c r="W12" s="170"/>
      <c r="X12" s="168"/>
      <c r="Y12" s="168"/>
      <c r="Z12" s="168"/>
      <c r="AA12" s="168"/>
      <c r="AB12" s="168"/>
      <c r="AC12" s="192">
        <f>+AVERAGE(AC13:AC16)</f>
        <v>1</v>
      </c>
      <c r="AD12" s="192">
        <f>+AVERAGE(AD13:AD16)</f>
        <v>1</v>
      </c>
      <c r="AE12" s="192">
        <f>+AVERAGE(AE13:AE16)</f>
        <v>0.43880952380952382</v>
      </c>
      <c r="AF12" s="192">
        <f>+(AF13+AF14+AF15+AF16)*E12</f>
        <v>0.3</v>
      </c>
      <c r="AG12" s="192">
        <f>+(AG13+AG14+AG15+AG16)*E12</f>
        <v>0.3</v>
      </c>
      <c r="AH12" s="192">
        <f>+(AH13+AH14+AH15+AH16)*E12</f>
        <v>0.13817142857142856</v>
      </c>
      <c r="AI12" s="169">
        <f>+AVERAGE(AI13:AI16)</f>
        <v>0.23249999999999998</v>
      </c>
      <c r="AJ12" s="169">
        <v>0.47691666666666666</v>
      </c>
      <c r="AK12" s="169">
        <f>+AVERAGE(AK13:AK16)</f>
        <v>0.51275000000000004</v>
      </c>
      <c r="AL12" s="169">
        <f>+(AL13+AL14+AL15+AL16)*E12</f>
        <v>7.3699999999999988E-2</v>
      </c>
      <c r="AM12" s="169">
        <f>+(AM13+AM14+AM15+AM16)</f>
        <v>0.50563333333333338</v>
      </c>
      <c r="AN12" s="169">
        <f>+(AN13+AN14+AN15+AN16)</f>
        <v>0.53763333333333341</v>
      </c>
      <c r="AO12" s="163"/>
      <c r="AP12" s="163"/>
      <c r="AQ12" s="163"/>
      <c r="AR12" s="163"/>
      <c r="AS12" s="609"/>
      <c r="AT12" s="609"/>
      <c r="AU12" s="163"/>
      <c r="AV12" s="535"/>
    </row>
    <row r="13" spans="1:125" ht="135.6" customHeight="1" thickBot="1" x14ac:dyDescent="0.4">
      <c r="A13" s="264"/>
      <c r="B13" s="774" t="s">
        <v>961</v>
      </c>
      <c r="C13" s="774" t="s">
        <v>1167</v>
      </c>
      <c r="D13" s="183" t="s">
        <v>962</v>
      </c>
      <c r="E13" s="228">
        <v>0.3</v>
      </c>
      <c r="F13" s="648">
        <v>3000</v>
      </c>
      <c r="G13" s="170">
        <v>350</v>
      </c>
      <c r="H13" s="170">
        <v>350</v>
      </c>
      <c r="I13" s="170">
        <v>350</v>
      </c>
      <c r="J13" s="176">
        <f>+G13/F13</f>
        <v>0.11666666666666667</v>
      </c>
      <c r="K13" s="176">
        <f t="shared" ref="K13:K16" si="14">+H13/F13</f>
        <v>0.11666666666666667</v>
      </c>
      <c r="L13" s="176">
        <f t="shared" si="8"/>
        <v>0.11666666666666667</v>
      </c>
      <c r="M13" s="176">
        <f>+(G13/F13)*E13</f>
        <v>3.4999999999999996E-2</v>
      </c>
      <c r="N13" s="176">
        <f t="shared" ref="N13:N16" si="15">+(H13/F13)*E13</f>
        <v>3.4999999999999996E-2</v>
      </c>
      <c r="O13" s="176"/>
      <c r="P13" s="170">
        <v>350</v>
      </c>
      <c r="Q13" s="541">
        <v>0</v>
      </c>
      <c r="R13" s="541">
        <v>160</v>
      </c>
      <c r="S13" s="541">
        <v>155</v>
      </c>
      <c r="T13" s="541">
        <v>58</v>
      </c>
      <c r="U13" s="541">
        <v>0</v>
      </c>
      <c r="V13" s="170">
        <f t="shared" si="1"/>
        <v>373</v>
      </c>
      <c r="W13" s="170">
        <f t="shared" si="2"/>
        <v>823</v>
      </c>
      <c r="X13" s="541">
        <v>100</v>
      </c>
      <c r="Y13" s="170"/>
      <c r="Z13" s="170"/>
      <c r="AA13" s="170"/>
      <c r="AB13" s="170">
        <f t="shared" si="3"/>
        <v>100</v>
      </c>
      <c r="AC13" s="194">
        <f>+(P13/G13)</f>
        <v>1</v>
      </c>
      <c r="AD13" s="194">
        <v>1</v>
      </c>
      <c r="AE13" s="194">
        <f t="shared" si="11"/>
        <v>0.2857142857142857</v>
      </c>
      <c r="AF13" s="194">
        <f>+AC13*E13</f>
        <v>0.3</v>
      </c>
      <c r="AG13" s="194">
        <f t="shared" si="13"/>
        <v>0.3</v>
      </c>
      <c r="AH13" s="194">
        <f t="shared" si="4"/>
        <v>8.5714285714285701E-2</v>
      </c>
      <c r="AI13" s="194">
        <f>+P13/F13</f>
        <v>0.11666666666666667</v>
      </c>
      <c r="AJ13" s="194">
        <v>0.24099999999999999</v>
      </c>
      <c r="AK13" s="194">
        <f t="shared" si="5"/>
        <v>0.27433333333333332</v>
      </c>
      <c r="AL13" s="194">
        <f>+AI13*E13</f>
        <v>3.4999999999999996E-2</v>
      </c>
      <c r="AM13" s="194">
        <f>+AJ13*E13</f>
        <v>7.2299999999999989E-2</v>
      </c>
      <c r="AN13" s="194">
        <f t="shared" si="6"/>
        <v>8.2299999999999998E-2</v>
      </c>
      <c r="AO13" s="247" t="s">
        <v>1852</v>
      </c>
      <c r="AP13" s="1306" t="s">
        <v>1950</v>
      </c>
      <c r="AQ13" s="571" t="s">
        <v>2269</v>
      </c>
      <c r="AR13" s="571" t="s">
        <v>2288</v>
      </c>
      <c r="AS13" s="792" t="s">
        <v>2402</v>
      </c>
      <c r="AT13" s="792" t="s">
        <v>2438</v>
      </c>
      <c r="AU13" s="551" t="s">
        <v>1865</v>
      </c>
      <c r="AV13" s="551" t="s">
        <v>1865</v>
      </c>
    </row>
    <row r="14" spans="1:125" ht="67.2" customHeight="1" thickBot="1" x14ac:dyDescent="0.4">
      <c r="A14" s="264"/>
      <c r="B14" s="774" t="s">
        <v>963</v>
      </c>
      <c r="C14" s="774" t="s">
        <v>1168</v>
      </c>
      <c r="D14" s="183" t="s">
        <v>964</v>
      </c>
      <c r="E14" s="228">
        <v>0.2</v>
      </c>
      <c r="F14" s="648">
        <v>6</v>
      </c>
      <c r="G14" s="170">
        <v>1</v>
      </c>
      <c r="H14" s="170">
        <v>1</v>
      </c>
      <c r="I14" s="170">
        <v>1</v>
      </c>
      <c r="J14" s="176">
        <f>+G14/F14</f>
        <v>0.16666666666666666</v>
      </c>
      <c r="K14" s="176">
        <f t="shared" si="14"/>
        <v>0.16666666666666666</v>
      </c>
      <c r="L14" s="176">
        <f>+I14/F14</f>
        <v>0.16666666666666666</v>
      </c>
      <c r="M14" s="176">
        <f>+(G14/F14)*E14</f>
        <v>3.3333333333333333E-2</v>
      </c>
      <c r="N14" s="176">
        <f t="shared" si="15"/>
        <v>3.3333333333333333E-2</v>
      </c>
      <c r="O14" s="176"/>
      <c r="P14" s="170">
        <v>1</v>
      </c>
      <c r="Q14" s="541">
        <v>0</v>
      </c>
      <c r="R14" s="541">
        <v>0.6</v>
      </c>
      <c r="S14" s="541">
        <v>0.2</v>
      </c>
      <c r="T14" s="541">
        <v>0.2</v>
      </c>
      <c r="U14" s="541">
        <v>0</v>
      </c>
      <c r="V14" s="206">
        <f t="shared" si="1"/>
        <v>1</v>
      </c>
      <c r="W14" s="647">
        <f>+V14+P14+AB14</f>
        <v>2.33</v>
      </c>
      <c r="X14" s="1202">
        <v>0.33</v>
      </c>
      <c r="Y14" s="647"/>
      <c r="Z14" s="647"/>
      <c r="AA14" s="647"/>
      <c r="AB14" s="647">
        <f t="shared" si="3"/>
        <v>0.33</v>
      </c>
      <c r="AC14" s="194">
        <f>+(P14/G14)</f>
        <v>1</v>
      </c>
      <c r="AD14" s="194">
        <f t="shared" ref="AD14:AD15" si="16">+V14/H14</f>
        <v>1</v>
      </c>
      <c r="AE14" s="194">
        <f>+AB14/I14</f>
        <v>0.33</v>
      </c>
      <c r="AF14" s="194">
        <f>+AC14*E14</f>
        <v>0.2</v>
      </c>
      <c r="AG14" s="194">
        <f t="shared" si="13"/>
        <v>0.2</v>
      </c>
      <c r="AH14" s="194">
        <f t="shared" si="4"/>
        <v>6.6000000000000003E-2</v>
      </c>
      <c r="AI14" s="194">
        <f>+P14/F14</f>
        <v>0.16666666666666666</v>
      </c>
      <c r="AJ14" s="194">
        <v>0.33333333333333331</v>
      </c>
      <c r="AK14" s="194">
        <f t="shared" si="5"/>
        <v>0.38833333333333336</v>
      </c>
      <c r="AL14" s="194">
        <f>+AI14*E14</f>
        <v>3.3333333333333333E-2</v>
      </c>
      <c r="AM14" s="194">
        <f>+AJ14*E14</f>
        <v>6.6666666666666666E-2</v>
      </c>
      <c r="AN14" s="194">
        <f t="shared" si="6"/>
        <v>7.7666666666666676E-2</v>
      </c>
      <c r="AO14" s="247" t="s">
        <v>1852</v>
      </c>
      <c r="AP14" s="1306" t="s">
        <v>1950</v>
      </c>
      <c r="AQ14" s="571" t="s">
        <v>2269</v>
      </c>
      <c r="AR14" s="571" t="s">
        <v>2288</v>
      </c>
      <c r="AS14" s="792" t="s">
        <v>2402</v>
      </c>
      <c r="AT14" s="792" t="s">
        <v>2438</v>
      </c>
      <c r="AU14" s="551" t="s">
        <v>1865</v>
      </c>
      <c r="AV14" s="551" t="s">
        <v>1865</v>
      </c>
    </row>
    <row r="15" spans="1:125" ht="67.2" customHeight="1" thickBot="1" x14ac:dyDescent="0.4">
      <c r="A15" s="264"/>
      <c r="B15" s="774" t="s">
        <v>965</v>
      </c>
      <c r="C15" s="774" t="s">
        <v>1169</v>
      </c>
      <c r="D15" s="183" t="s">
        <v>964</v>
      </c>
      <c r="E15" s="228">
        <v>0.2</v>
      </c>
      <c r="F15" s="648">
        <v>6</v>
      </c>
      <c r="G15" s="170">
        <v>1</v>
      </c>
      <c r="H15" s="170">
        <v>1</v>
      </c>
      <c r="I15" s="170">
        <v>1</v>
      </c>
      <c r="J15" s="176">
        <f>+G15/F15</f>
        <v>0.16666666666666666</v>
      </c>
      <c r="K15" s="176">
        <f t="shared" si="14"/>
        <v>0.16666666666666666</v>
      </c>
      <c r="L15" s="176">
        <f t="shared" si="8"/>
        <v>0.16666666666666666</v>
      </c>
      <c r="M15" s="176">
        <f>+(G15/F15)*E15</f>
        <v>3.3333333333333333E-2</v>
      </c>
      <c r="N15" s="176">
        <f t="shared" si="15"/>
        <v>3.3333333333333333E-2</v>
      </c>
      <c r="O15" s="176"/>
      <c r="P15" s="170">
        <v>1</v>
      </c>
      <c r="Q15" s="541">
        <v>0</v>
      </c>
      <c r="R15" s="541">
        <v>0.5</v>
      </c>
      <c r="S15" s="541">
        <v>0.4</v>
      </c>
      <c r="T15" s="541">
        <v>0.1</v>
      </c>
      <c r="U15" s="541">
        <v>0</v>
      </c>
      <c r="V15" s="170">
        <f t="shared" si="1"/>
        <v>1</v>
      </c>
      <c r="W15" s="170">
        <f t="shared" si="2"/>
        <v>2.33</v>
      </c>
      <c r="X15" s="541">
        <v>0.33</v>
      </c>
      <c r="Y15" s="170"/>
      <c r="Z15" s="170"/>
      <c r="AA15" s="170"/>
      <c r="AB15" s="170">
        <f t="shared" si="3"/>
        <v>0.33</v>
      </c>
      <c r="AC15" s="194">
        <f>+(P15/G15)</f>
        <v>1</v>
      </c>
      <c r="AD15" s="194">
        <f t="shared" si="16"/>
        <v>1</v>
      </c>
      <c r="AE15" s="194">
        <f>+AB15/I15</f>
        <v>0.33</v>
      </c>
      <c r="AF15" s="194">
        <f>+AC15*E15</f>
        <v>0.2</v>
      </c>
      <c r="AG15" s="194">
        <f t="shared" si="13"/>
        <v>0.2</v>
      </c>
      <c r="AH15" s="194">
        <f t="shared" si="4"/>
        <v>6.6000000000000003E-2</v>
      </c>
      <c r="AI15" s="194">
        <f>+P15/F15</f>
        <v>0.16666666666666666</v>
      </c>
      <c r="AJ15" s="194">
        <v>0.33333333333333331</v>
      </c>
      <c r="AK15" s="194">
        <f t="shared" si="5"/>
        <v>0.38833333333333336</v>
      </c>
      <c r="AL15" s="194">
        <f>+AI15*E15</f>
        <v>3.3333333333333333E-2</v>
      </c>
      <c r="AM15" s="194">
        <f>+AJ15*E15</f>
        <v>6.6666666666666666E-2</v>
      </c>
      <c r="AN15" s="194">
        <f t="shared" si="6"/>
        <v>7.7666666666666676E-2</v>
      </c>
      <c r="AO15" s="247" t="s">
        <v>1852</v>
      </c>
      <c r="AP15" s="650" t="s">
        <v>1950</v>
      </c>
      <c r="AQ15" s="571" t="s">
        <v>2269</v>
      </c>
      <c r="AR15" s="571" t="s">
        <v>2288</v>
      </c>
      <c r="AS15" s="792" t="s">
        <v>2402</v>
      </c>
      <c r="AT15" s="792" t="s">
        <v>2438</v>
      </c>
      <c r="AU15" s="551" t="s">
        <v>1865</v>
      </c>
      <c r="AV15" s="551" t="s">
        <v>1865</v>
      </c>
    </row>
    <row r="16" spans="1:125" ht="67.2" customHeight="1" thickBot="1" x14ac:dyDescent="0.4">
      <c r="A16" s="264"/>
      <c r="B16" s="774" t="s">
        <v>966</v>
      </c>
      <c r="C16" s="774" t="s">
        <v>1170</v>
      </c>
      <c r="D16" s="183" t="s">
        <v>964</v>
      </c>
      <c r="E16" s="228">
        <v>0.3</v>
      </c>
      <c r="F16" s="226">
        <v>50</v>
      </c>
      <c r="G16" s="170">
        <v>24</v>
      </c>
      <c r="H16" s="170">
        <v>8</v>
      </c>
      <c r="I16" s="170">
        <v>42</v>
      </c>
      <c r="J16" s="176">
        <f>+G16/F16</f>
        <v>0.48</v>
      </c>
      <c r="K16" s="176">
        <f t="shared" si="14"/>
        <v>0.16</v>
      </c>
      <c r="L16" s="176">
        <f>+I16/F16</f>
        <v>0.84</v>
      </c>
      <c r="M16" s="176">
        <f>+(G16/F16)*E16</f>
        <v>0.14399999999999999</v>
      </c>
      <c r="N16" s="176">
        <f t="shared" si="15"/>
        <v>4.8000000000000001E-2</v>
      </c>
      <c r="O16" s="176"/>
      <c r="P16" s="170">
        <v>24</v>
      </c>
      <c r="Q16" s="541">
        <v>26</v>
      </c>
      <c r="R16" s="541">
        <v>1</v>
      </c>
      <c r="S16" s="541">
        <v>3</v>
      </c>
      <c r="T16" s="541">
        <v>2</v>
      </c>
      <c r="U16" s="541">
        <v>0</v>
      </c>
      <c r="V16" s="170">
        <f t="shared" si="1"/>
        <v>32</v>
      </c>
      <c r="W16" s="170">
        <f t="shared" si="2"/>
        <v>90</v>
      </c>
      <c r="X16" s="541">
        <v>34</v>
      </c>
      <c r="Y16" s="170"/>
      <c r="Z16" s="170"/>
      <c r="AA16" s="170"/>
      <c r="AB16" s="170">
        <f t="shared" si="3"/>
        <v>34</v>
      </c>
      <c r="AC16" s="194">
        <f>+(P16/G16)</f>
        <v>1</v>
      </c>
      <c r="AD16" s="194">
        <v>1</v>
      </c>
      <c r="AE16" s="194">
        <f>+AB16/I16</f>
        <v>0.80952380952380953</v>
      </c>
      <c r="AF16" s="194">
        <f>+AC16*E16</f>
        <v>0.3</v>
      </c>
      <c r="AG16" s="194">
        <f t="shared" si="13"/>
        <v>0.3</v>
      </c>
      <c r="AH16" s="194">
        <f t="shared" si="4"/>
        <v>0.24285714285714285</v>
      </c>
      <c r="AI16" s="194">
        <f>+P16/F16</f>
        <v>0.48</v>
      </c>
      <c r="AJ16" s="194">
        <v>1</v>
      </c>
      <c r="AK16" s="194">
        <v>1</v>
      </c>
      <c r="AL16" s="194">
        <f>+AI16*E16</f>
        <v>0.14399999999999999</v>
      </c>
      <c r="AM16" s="194">
        <f>+AJ16*E16</f>
        <v>0.3</v>
      </c>
      <c r="AN16" s="230">
        <f t="shared" si="6"/>
        <v>0.3</v>
      </c>
      <c r="AO16" s="649" t="s">
        <v>1852</v>
      </c>
      <c r="AP16" s="589" t="s">
        <v>1907</v>
      </c>
      <c r="AQ16" s="216"/>
      <c r="AR16" s="571" t="s">
        <v>2308</v>
      </c>
      <c r="AS16" s="792" t="s">
        <v>2402</v>
      </c>
      <c r="AT16" s="792" t="s">
        <v>2438</v>
      </c>
      <c r="AU16" s="551" t="s">
        <v>1865</v>
      </c>
      <c r="AV16" s="551" t="s">
        <v>1865</v>
      </c>
    </row>
    <row r="17" spans="1:48" ht="99" customHeight="1" thickBot="1" x14ac:dyDescent="0.4">
      <c r="A17" s="264"/>
      <c r="B17" s="1576" t="s">
        <v>1823</v>
      </c>
      <c r="C17" s="1562"/>
      <c r="D17" s="266"/>
      <c r="E17" s="234">
        <v>0.2</v>
      </c>
      <c r="F17" s="267">
        <f>+E17*AF17</f>
        <v>0.14985474006116206</v>
      </c>
      <c r="G17" s="163"/>
      <c r="H17" s="267">
        <f>+E17*AG17</f>
        <v>0.17789623529411763</v>
      </c>
      <c r="I17" s="267">
        <f>+E17*AH17</f>
        <v>4.4466386666666677E-2</v>
      </c>
      <c r="J17" s="161">
        <f>+(J18+J23+J26+J30+J32+J36+J40+J43)/6</f>
        <v>0.19706348655814188</v>
      </c>
      <c r="K17" s="161">
        <f>+(K18+K23+K26+K30+K32+K36+K40+K43)/7</f>
        <v>0.30753522141119316</v>
      </c>
      <c r="L17" s="161">
        <f>+(L18+L23+L26+L30+L32+L36+L40+L43)/8</f>
        <v>0.32124337991608437</v>
      </c>
      <c r="M17" s="162">
        <f>+(M18+M23+M26+M30+M32+M36+M40+M43)/6</f>
        <v>0.16739826874293517</v>
      </c>
      <c r="N17" s="162">
        <f>+(N18+N23+N26+N30+N32+N36+N40+N43)/8</f>
        <v>0.26339477894605123</v>
      </c>
      <c r="O17" s="162"/>
      <c r="P17" s="163"/>
      <c r="Q17" s="163"/>
      <c r="R17" s="163"/>
      <c r="S17" s="163"/>
      <c r="T17" s="163"/>
      <c r="U17" s="215"/>
      <c r="V17" s="967"/>
      <c r="W17" s="163"/>
      <c r="X17" s="163"/>
      <c r="Y17" s="163"/>
      <c r="Z17" s="163"/>
      <c r="AA17" s="163"/>
      <c r="AB17" s="163"/>
      <c r="AC17" s="161">
        <f>+(AC18+AC23+AC26+AC30+AC32+AC36+AC40+AC43)/6</f>
        <v>0.92647808358817529</v>
      </c>
      <c r="AD17" s="161">
        <f>+(AD18+AD23+AD26+AD30+AD32+AD36+AD40+AD43)/7</f>
        <v>0.91988702147525692</v>
      </c>
      <c r="AE17" s="161">
        <f>+(AE18+AE23+AE26+AE30+AE32+AE36+AE40+AE43)/8</f>
        <v>0.2321691666666667</v>
      </c>
      <c r="AF17" s="162">
        <f>+AF18+AF23+AF26+AF30+AF32+AF36+AF40+AF43</f>
        <v>0.74927370030581031</v>
      </c>
      <c r="AG17" s="162">
        <f>+AG18+AG23+AG26+AG30+AG32+AG36+AG40+AG43</f>
        <v>0.88948117647058811</v>
      </c>
      <c r="AH17" s="162">
        <f>+AH18+AH23+AH26+AH30+AH32+AH36+AH40+AH43</f>
        <v>0.22233193333333337</v>
      </c>
      <c r="AI17" s="161">
        <f>(AI18+AI23+AI26+AI30+AI32+AI36+AI40+AI43)/6</f>
        <v>0.19974545886160069</v>
      </c>
      <c r="AJ17" s="161">
        <v>0.46666914224150913</v>
      </c>
      <c r="AK17" s="161">
        <f>(AK18+AK23+AK26+AK30+AK32+AK36+AK40+AK43)/8</f>
        <v>0.53328062515392005</v>
      </c>
      <c r="AL17" s="268">
        <f>(AL18+AL23+AL26+AL30+AL32+AL36+AL40+AL43)</f>
        <v>0.14653217466808169</v>
      </c>
      <c r="AM17" s="268">
        <f>(AM18*E18+AM23*E23+AM26*E26+AM30*E30+AM32*E32+AM36*E36+AM40*E40+AM43*E43)</f>
        <v>0.52144215270407368</v>
      </c>
      <c r="AN17" s="1146">
        <f>(AN18*E18+AN23*E23+AN26*E26+AN30*E30+AN32*E32+AN36*E36+AN40*E40+AN43*E43)</f>
        <v>0.57272250232279487</v>
      </c>
      <c r="AO17" s="163"/>
      <c r="AP17" s="651" t="s">
        <v>1889</v>
      </c>
      <c r="AQ17" s="163"/>
      <c r="AR17" s="163"/>
      <c r="AS17" s="609"/>
      <c r="AT17" s="609"/>
      <c r="AU17" s="163"/>
      <c r="AV17" s="535"/>
    </row>
    <row r="18" spans="1:48" ht="67.2" customHeight="1" thickBot="1" x14ac:dyDescent="0.4">
      <c r="A18" s="264"/>
      <c r="B18" s="1580" t="s">
        <v>1755</v>
      </c>
      <c r="C18" s="1562"/>
      <c r="D18" s="266"/>
      <c r="E18" s="232">
        <v>0.15</v>
      </c>
      <c r="F18" s="216"/>
      <c r="G18" s="163"/>
      <c r="H18" s="163"/>
      <c r="I18" s="163"/>
      <c r="J18" s="169">
        <f>+AVERAGE(J19:J22)</f>
        <v>0.27777777777777773</v>
      </c>
      <c r="K18" s="169">
        <f>+AVERAGE(K19:K22)</f>
        <v>0.29083333333333333</v>
      </c>
      <c r="L18" s="169">
        <f>+AVERAGE(L19:L22)</f>
        <v>0.27666666666666667</v>
      </c>
      <c r="M18" s="169">
        <f>+M19+M20+M21+M22</f>
        <v>0.27083333333333337</v>
      </c>
      <c r="N18" s="169">
        <f>+N19+N20+N21+N22</f>
        <v>0.28733333333333333</v>
      </c>
      <c r="O18" s="169"/>
      <c r="P18" s="168"/>
      <c r="Q18" s="168"/>
      <c r="R18" s="168"/>
      <c r="S18" s="168"/>
      <c r="T18" s="168"/>
      <c r="U18" s="987"/>
      <c r="V18" s="170"/>
      <c r="W18" s="168"/>
      <c r="X18" s="168"/>
      <c r="Y18" s="168"/>
      <c r="Z18" s="168"/>
      <c r="AA18" s="168"/>
      <c r="AB18" s="168"/>
      <c r="AC18" s="192">
        <f>+AVERAGE(AC19:AC22)</f>
        <v>1</v>
      </c>
      <c r="AD18" s="192">
        <f>+AVERAGE(AD19:AD22)</f>
        <v>1</v>
      </c>
      <c r="AE18" s="192">
        <f>+AVERAGE(AE19:AE22)</f>
        <v>0.26250000000000001</v>
      </c>
      <c r="AF18" s="192">
        <f>+(AF19+AF20+AF21+AF22)*E18</f>
        <v>0.14249999999999999</v>
      </c>
      <c r="AG18" s="192">
        <f>+(AG19+AG20+AG21+AG22)*E18</f>
        <v>0.15</v>
      </c>
      <c r="AH18" s="192">
        <f>+(AH19+AH20+AH21+AH22)*E18</f>
        <v>3.7874999999999999E-2</v>
      </c>
      <c r="AI18" s="169">
        <f>+AVERAGE(AI19:AI22)</f>
        <v>0.27777777777777773</v>
      </c>
      <c r="AJ18" s="169">
        <v>0.62817499999999993</v>
      </c>
      <c r="AK18" s="169">
        <f>+AVERAGE(AK19:AK22)</f>
        <v>0.76317499999999994</v>
      </c>
      <c r="AL18" s="169">
        <f>+(AL19+AL20+AL21+AL22)*E18</f>
        <v>4.0625000000000001E-2</v>
      </c>
      <c r="AM18" s="169">
        <f>+(AM19+AM20+AM21+AM22)</f>
        <v>0.70063500000000001</v>
      </c>
      <c r="AN18" s="169">
        <f>+(AN19+AN20+AN21+AN22)</f>
        <v>0.75575999999999999</v>
      </c>
      <c r="AO18" s="163"/>
      <c r="AP18" s="163"/>
      <c r="AQ18" s="163"/>
      <c r="AR18" s="163"/>
      <c r="AS18" s="609"/>
      <c r="AT18" s="609"/>
      <c r="AU18" s="163"/>
      <c r="AV18" s="535"/>
    </row>
    <row r="19" spans="1:48" ht="95.4" customHeight="1" thickBot="1" x14ac:dyDescent="0.4">
      <c r="A19" s="264"/>
      <c r="B19" s="1480" t="s">
        <v>967</v>
      </c>
      <c r="C19" s="1480" t="s">
        <v>1171</v>
      </c>
      <c r="D19" s="266" t="s">
        <v>516</v>
      </c>
      <c r="E19" s="228">
        <v>0.05</v>
      </c>
      <c r="F19" s="226">
        <v>1</v>
      </c>
      <c r="G19" s="170">
        <v>0.25</v>
      </c>
      <c r="H19" s="170">
        <v>0.25</v>
      </c>
      <c r="I19" s="170">
        <v>0.25</v>
      </c>
      <c r="J19" s="176">
        <f>+G19/F19</f>
        <v>0.25</v>
      </c>
      <c r="K19" s="176">
        <f t="shared" ref="K19:K22" si="17">+H19/F19</f>
        <v>0.25</v>
      </c>
      <c r="L19" s="176">
        <f t="shared" ref="L19:L22" si="18">+I19/F19</f>
        <v>0.25</v>
      </c>
      <c r="M19" s="176">
        <f>+(G19/F19)*E19</f>
        <v>1.2500000000000001E-2</v>
      </c>
      <c r="N19" s="176">
        <f t="shared" ref="N19:N47" si="19">+(H19/F19)*E19</f>
        <v>1.2500000000000001E-2</v>
      </c>
      <c r="O19" s="176"/>
      <c r="P19" s="206">
        <v>0.25</v>
      </c>
      <c r="Q19" s="541">
        <v>0.05</v>
      </c>
      <c r="R19" s="541">
        <v>0.13</v>
      </c>
      <c r="S19" s="541">
        <v>0.02</v>
      </c>
      <c r="T19" s="541">
        <v>0.03</v>
      </c>
      <c r="U19" s="541">
        <v>0.02</v>
      </c>
      <c r="V19" s="170">
        <f t="shared" si="1"/>
        <v>0.24999999999999997</v>
      </c>
      <c r="W19" s="170">
        <f t="shared" ref="W19:W21" si="20">+V19+P19+AB19</f>
        <v>0.57499999999999996</v>
      </c>
      <c r="X19" s="541">
        <v>7.4999999999999997E-2</v>
      </c>
      <c r="Y19" s="170"/>
      <c r="Z19" s="170"/>
      <c r="AA19" s="170"/>
      <c r="AB19" s="170">
        <f t="shared" ref="AB19:AB22" si="21">+X19+Y19+Z19+AA19</f>
        <v>7.4999999999999997E-2</v>
      </c>
      <c r="AC19" s="194">
        <v>1</v>
      </c>
      <c r="AD19" s="194">
        <f t="shared" ref="AD19:AD22" si="22">+V19/H19</f>
        <v>0.99999999999999989</v>
      </c>
      <c r="AE19" s="194">
        <f t="shared" ref="AE19:AE22" si="23">+AB19/I19</f>
        <v>0.3</v>
      </c>
      <c r="AF19" s="194">
        <f>+AC19*E19</f>
        <v>0.05</v>
      </c>
      <c r="AG19" s="194">
        <f t="shared" ref="AG19:AG22" si="24">+AD19*E19</f>
        <v>4.9999999999999996E-2</v>
      </c>
      <c r="AH19" s="194">
        <f t="shared" ref="AH19:AH22" si="25">+AE19*E19</f>
        <v>1.4999999999999999E-2</v>
      </c>
      <c r="AI19" s="194">
        <f>+P19/F19</f>
        <v>0.25</v>
      </c>
      <c r="AJ19" s="194">
        <v>0.48</v>
      </c>
      <c r="AK19" s="194">
        <f t="shared" ref="AK19:AK22" si="26">+W19/F19</f>
        <v>0.57499999999999996</v>
      </c>
      <c r="AL19" s="194">
        <f>+AI19*E19</f>
        <v>1.2500000000000001E-2</v>
      </c>
      <c r="AM19" s="176">
        <f>+AJ19*E19</f>
        <v>2.4E-2</v>
      </c>
      <c r="AN19" s="176">
        <f t="shared" ref="AN19:AN22" si="27">+AK19*E19</f>
        <v>2.8749999999999998E-2</v>
      </c>
      <c r="AO19" s="247" t="s">
        <v>1852</v>
      </c>
      <c r="AP19" s="551" t="s">
        <v>1948</v>
      </c>
      <c r="AQ19" s="163"/>
      <c r="AR19" s="571" t="s">
        <v>2288</v>
      </c>
      <c r="AS19" s="792" t="s">
        <v>2402</v>
      </c>
      <c r="AT19" s="792" t="s">
        <v>2438</v>
      </c>
      <c r="AU19" s="551" t="s">
        <v>1865</v>
      </c>
      <c r="AV19" s="571" t="s">
        <v>1893</v>
      </c>
    </row>
    <row r="20" spans="1:48" ht="136.94999999999999" customHeight="1" thickBot="1" x14ac:dyDescent="0.4">
      <c r="A20" s="264"/>
      <c r="B20" s="1480" t="s">
        <v>968</v>
      </c>
      <c r="C20" s="1480" t="s">
        <v>1172</v>
      </c>
      <c r="D20" s="266" t="s">
        <v>969</v>
      </c>
      <c r="E20" s="228">
        <v>0.05</v>
      </c>
      <c r="F20" s="226">
        <v>1</v>
      </c>
      <c r="G20" s="170">
        <v>0</v>
      </c>
      <c r="H20" s="170">
        <v>0.33</v>
      </c>
      <c r="I20" s="170">
        <v>0.33</v>
      </c>
      <c r="J20" s="176"/>
      <c r="K20" s="176">
        <f t="shared" si="17"/>
        <v>0.33</v>
      </c>
      <c r="L20" s="176">
        <f t="shared" si="18"/>
        <v>0.33</v>
      </c>
      <c r="M20" s="176"/>
      <c r="N20" s="176">
        <f t="shared" si="19"/>
        <v>1.6500000000000001E-2</v>
      </c>
      <c r="O20" s="176"/>
      <c r="P20" s="170"/>
      <c r="Q20" s="541">
        <v>0</v>
      </c>
      <c r="R20" s="541">
        <v>6.4500000000000002E-2</v>
      </c>
      <c r="S20" s="541">
        <v>0.21410000000000001</v>
      </c>
      <c r="T20" s="541">
        <v>0.25409999999999999</v>
      </c>
      <c r="U20" s="541">
        <v>0.3</v>
      </c>
      <c r="V20" s="170">
        <f t="shared" si="1"/>
        <v>0.8327</v>
      </c>
      <c r="W20" s="170">
        <f t="shared" si="20"/>
        <v>0.91520000000000001</v>
      </c>
      <c r="X20" s="541">
        <v>8.2500000000000004E-2</v>
      </c>
      <c r="Y20" s="170"/>
      <c r="Z20" s="170"/>
      <c r="AA20" s="170"/>
      <c r="AB20" s="170">
        <f t="shared" si="21"/>
        <v>8.2500000000000004E-2</v>
      </c>
      <c r="AC20" s="194"/>
      <c r="AD20" s="194">
        <v>1</v>
      </c>
      <c r="AE20" s="194">
        <f t="shared" si="23"/>
        <v>0.25</v>
      </c>
      <c r="AF20" s="194"/>
      <c r="AG20" s="194">
        <f t="shared" si="24"/>
        <v>0.05</v>
      </c>
      <c r="AH20" s="194">
        <f t="shared" si="25"/>
        <v>1.2500000000000001E-2</v>
      </c>
      <c r="AI20" s="194"/>
      <c r="AJ20" s="194">
        <v>0.53269999999999995</v>
      </c>
      <c r="AK20" s="194">
        <f t="shared" si="26"/>
        <v>0.91520000000000001</v>
      </c>
      <c r="AL20" s="194"/>
      <c r="AM20" s="176">
        <f>+AJ20*E20</f>
        <v>2.6634999999999999E-2</v>
      </c>
      <c r="AN20" s="176">
        <f t="shared" si="27"/>
        <v>4.5760000000000002E-2</v>
      </c>
      <c r="AO20" s="247" t="s">
        <v>1852</v>
      </c>
      <c r="AP20" s="588" t="s">
        <v>1919</v>
      </c>
      <c r="AQ20" s="163"/>
      <c r="AR20" s="571" t="s">
        <v>2288</v>
      </c>
      <c r="AS20" s="784" t="s">
        <v>2383</v>
      </c>
      <c r="AT20" s="792" t="s">
        <v>2438</v>
      </c>
      <c r="AU20" s="551" t="s">
        <v>1865</v>
      </c>
      <c r="AV20" s="571" t="s">
        <v>1893</v>
      </c>
    </row>
    <row r="21" spans="1:48" ht="97.2" customHeight="1" thickBot="1" x14ac:dyDescent="0.4">
      <c r="A21" s="264"/>
      <c r="B21" s="1504" t="s">
        <v>970</v>
      </c>
      <c r="C21" s="1504" t="s">
        <v>1173</v>
      </c>
      <c r="D21" s="266" t="s">
        <v>790</v>
      </c>
      <c r="E21" s="228">
        <v>0.4</v>
      </c>
      <c r="F21" s="226">
        <v>3</v>
      </c>
      <c r="G21" s="170">
        <v>1</v>
      </c>
      <c r="H21" s="170">
        <v>1</v>
      </c>
      <c r="I21" s="170">
        <v>1</v>
      </c>
      <c r="J21" s="176">
        <f>+G21/F21</f>
        <v>0.33333333333333331</v>
      </c>
      <c r="K21" s="176">
        <f t="shared" si="17"/>
        <v>0.33333333333333331</v>
      </c>
      <c r="L21" s="176"/>
      <c r="M21" s="176">
        <f>+(G21/F21)*E21</f>
        <v>0.13333333333333333</v>
      </c>
      <c r="N21" s="176">
        <f t="shared" si="19"/>
        <v>0.13333333333333333</v>
      </c>
      <c r="O21" s="176"/>
      <c r="P21" s="170">
        <v>1</v>
      </c>
      <c r="Q21" s="541">
        <v>1</v>
      </c>
      <c r="R21" s="541">
        <v>0.2</v>
      </c>
      <c r="S21" s="541">
        <v>0</v>
      </c>
      <c r="T21" s="541">
        <v>0.8</v>
      </c>
      <c r="U21" s="541">
        <v>0</v>
      </c>
      <c r="V21" s="170">
        <f t="shared" si="1"/>
        <v>2</v>
      </c>
      <c r="W21" s="170">
        <f t="shared" si="20"/>
        <v>3.25</v>
      </c>
      <c r="X21" s="541">
        <v>0.25</v>
      </c>
      <c r="Y21" s="170"/>
      <c r="Z21" s="170"/>
      <c r="AA21" s="170"/>
      <c r="AB21" s="170">
        <f t="shared" si="21"/>
        <v>0.25</v>
      </c>
      <c r="AC21" s="194">
        <f>+(P21/G21)</f>
        <v>1</v>
      </c>
      <c r="AD21" s="194">
        <v>1</v>
      </c>
      <c r="AE21" s="194">
        <f t="shared" si="23"/>
        <v>0.25</v>
      </c>
      <c r="AF21" s="194">
        <f>+AC21*E21</f>
        <v>0.4</v>
      </c>
      <c r="AG21" s="194">
        <f t="shared" si="24"/>
        <v>0.4</v>
      </c>
      <c r="AH21" s="194">
        <f t="shared" si="25"/>
        <v>0.1</v>
      </c>
      <c r="AI21" s="194">
        <f>+P21/F21</f>
        <v>0.33333333333333331</v>
      </c>
      <c r="AJ21" s="194">
        <v>1</v>
      </c>
      <c r="AK21" s="194">
        <v>1</v>
      </c>
      <c r="AL21" s="194">
        <f>+AI21*E21</f>
        <v>0.13333333333333333</v>
      </c>
      <c r="AM21" s="176">
        <f>+AJ21*E21</f>
        <v>0.4</v>
      </c>
      <c r="AN21" s="176">
        <f t="shared" si="27"/>
        <v>0.4</v>
      </c>
      <c r="AO21" s="247" t="s">
        <v>1852</v>
      </c>
      <c r="AP21" s="571" t="s">
        <v>1892</v>
      </c>
      <c r="AQ21" s="571" t="s">
        <v>2269</v>
      </c>
      <c r="AR21" s="571" t="s">
        <v>2288</v>
      </c>
      <c r="AS21" s="571" t="s">
        <v>2288</v>
      </c>
      <c r="AT21" s="792" t="s">
        <v>2438</v>
      </c>
      <c r="AU21" s="571" t="s">
        <v>2493</v>
      </c>
      <c r="AV21" s="571" t="s">
        <v>1893</v>
      </c>
    </row>
    <row r="22" spans="1:48" ht="81" customHeight="1" thickBot="1" x14ac:dyDescent="0.4">
      <c r="A22" s="264"/>
      <c r="B22" s="1480" t="s">
        <v>971</v>
      </c>
      <c r="C22" s="1480" t="s">
        <v>1174</v>
      </c>
      <c r="D22" s="266" t="s">
        <v>790</v>
      </c>
      <c r="E22" s="228">
        <v>0.5</v>
      </c>
      <c r="F22" s="226">
        <v>4</v>
      </c>
      <c r="G22" s="170">
        <v>1</v>
      </c>
      <c r="H22" s="170">
        <v>1</v>
      </c>
      <c r="I22" s="170">
        <v>1</v>
      </c>
      <c r="J22" s="176">
        <f>+G22/F22</f>
        <v>0.25</v>
      </c>
      <c r="K22" s="176">
        <f t="shared" si="17"/>
        <v>0.25</v>
      </c>
      <c r="L22" s="176">
        <f t="shared" si="18"/>
        <v>0.25</v>
      </c>
      <c r="M22" s="176">
        <f>+(G22/F22)*E22</f>
        <v>0.125</v>
      </c>
      <c r="N22" s="176">
        <f t="shared" si="19"/>
        <v>0.125</v>
      </c>
      <c r="O22" s="176"/>
      <c r="P22" s="170">
        <v>1</v>
      </c>
      <c r="Q22" s="541">
        <v>0.25</v>
      </c>
      <c r="R22" s="541">
        <v>0.18</v>
      </c>
      <c r="S22" s="541">
        <v>0.32</v>
      </c>
      <c r="T22" s="541">
        <v>0</v>
      </c>
      <c r="U22" s="541">
        <v>0.25</v>
      </c>
      <c r="V22" s="170">
        <f t="shared" si="1"/>
        <v>1</v>
      </c>
      <c r="W22" s="170">
        <f>+V22+P22+AB22</f>
        <v>2.25</v>
      </c>
      <c r="X22" s="541">
        <v>0.25</v>
      </c>
      <c r="Y22" s="170"/>
      <c r="Z22" s="170"/>
      <c r="AA22" s="170"/>
      <c r="AB22" s="170">
        <f t="shared" si="21"/>
        <v>0.25</v>
      </c>
      <c r="AC22" s="194">
        <f>+(P22/G22)</f>
        <v>1</v>
      </c>
      <c r="AD22" s="194">
        <f t="shared" si="22"/>
        <v>1</v>
      </c>
      <c r="AE22" s="194">
        <f t="shared" si="23"/>
        <v>0.25</v>
      </c>
      <c r="AF22" s="194">
        <f>+AC22*E22</f>
        <v>0.5</v>
      </c>
      <c r="AG22" s="194">
        <f t="shared" si="24"/>
        <v>0.5</v>
      </c>
      <c r="AH22" s="194">
        <f t="shared" si="25"/>
        <v>0.125</v>
      </c>
      <c r="AI22" s="194">
        <f>+P22/F22</f>
        <v>0.25</v>
      </c>
      <c r="AJ22" s="194">
        <v>0.5</v>
      </c>
      <c r="AK22" s="194">
        <f t="shared" si="26"/>
        <v>0.5625</v>
      </c>
      <c r="AL22" s="194">
        <f>+AI22*E22</f>
        <v>0.125</v>
      </c>
      <c r="AM22" s="176">
        <f>+AJ22*E22</f>
        <v>0.25</v>
      </c>
      <c r="AN22" s="176">
        <f t="shared" si="27"/>
        <v>0.28125</v>
      </c>
      <c r="AO22" s="247" t="s">
        <v>1852</v>
      </c>
      <c r="AP22" s="571" t="s">
        <v>1892</v>
      </c>
      <c r="AQ22" s="571" t="s">
        <v>2269</v>
      </c>
      <c r="AR22" s="571" t="s">
        <v>2288</v>
      </c>
      <c r="AS22" s="571" t="s">
        <v>2288</v>
      </c>
      <c r="AT22" s="792" t="s">
        <v>2438</v>
      </c>
      <c r="AU22" s="571" t="s">
        <v>2493</v>
      </c>
      <c r="AV22" s="571" t="s">
        <v>1893</v>
      </c>
    </row>
    <row r="23" spans="1:48" ht="67.2" customHeight="1" thickBot="1" x14ac:dyDescent="0.4">
      <c r="A23" s="264"/>
      <c r="B23" s="1580" t="s">
        <v>1824</v>
      </c>
      <c r="C23" s="1562"/>
      <c r="D23" s="214"/>
      <c r="E23" s="232">
        <v>0.05</v>
      </c>
      <c r="F23" s="216"/>
      <c r="G23" s="163"/>
      <c r="H23" s="163"/>
      <c r="I23" s="163"/>
      <c r="J23" s="169">
        <f>+AVERAGE(J24:J25)</f>
        <v>0.25</v>
      </c>
      <c r="K23" s="169">
        <f>+AVERAGE(K24:K25)</f>
        <v>0.25</v>
      </c>
      <c r="L23" s="169">
        <f>+AVERAGE(L24:L25)</f>
        <v>0.25</v>
      </c>
      <c r="M23" s="169">
        <f>+M24+M25</f>
        <v>0.25</v>
      </c>
      <c r="N23" s="169">
        <f>+N24+N25</f>
        <v>0.25</v>
      </c>
      <c r="O23" s="169"/>
      <c r="P23" s="168"/>
      <c r="Q23" s="168"/>
      <c r="R23" s="168"/>
      <c r="S23" s="168"/>
      <c r="T23" s="168"/>
      <c r="U23" s="987"/>
      <c r="V23" s="170"/>
      <c r="W23" s="168"/>
      <c r="X23" s="168"/>
      <c r="Y23" s="168"/>
      <c r="Z23" s="168"/>
      <c r="AA23" s="168"/>
      <c r="AB23" s="168"/>
      <c r="AC23" s="192">
        <f>+AVERAGE(AC24:AC25)</f>
        <v>1</v>
      </c>
      <c r="AD23" s="192">
        <f>+AVERAGE(AD24:AD25)</f>
        <v>1</v>
      </c>
      <c r="AE23" s="192">
        <f>+AVERAGE(AE24:AE25)</f>
        <v>0.125</v>
      </c>
      <c r="AF23" s="192">
        <f>+(AF24+AF25)*E23</f>
        <v>0.05</v>
      </c>
      <c r="AG23" s="192">
        <f>+(AG24+AG25)*E23</f>
        <v>0.05</v>
      </c>
      <c r="AH23" s="192">
        <f>+(AH24+AH25)*E23</f>
        <v>1.0000000000000002E-2</v>
      </c>
      <c r="AI23" s="169">
        <f>+AVERAGE(AI24:AI25)</f>
        <v>0.25</v>
      </c>
      <c r="AJ23" s="169">
        <v>0.53749999999999998</v>
      </c>
      <c r="AK23" s="169">
        <f>+AVERAGE(AK24:AK25)</f>
        <v>0.56874999999999998</v>
      </c>
      <c r="AL23" s="169">
        <f>+(AL24+AL25)*E23</f>
        <v>1.2500000000000001E-2</v>
      </c>
      <c r="AM23" s="169">
        <f>+(AM24+AM25)</f>
        <v>0.55999999999999994</v>
      </c>
      <c r="AN23" s="169">
        <f>+(AN24+AN25)</f>
        <v>0.61</v>
      </c>
      <c r="AO23" s="163"/>
      <c r="AP23" s="163"/>
      <c r="AQ23" s="163"/>
      <c r="AR23" s="163"/>
      <c r="AS23" s="609"/>
      <c r="AT23" s="609"/>
      <c r="AU23" s="163"/>
      <c r="AV23" s="535"/>
    </row>
    <row r="24" spans="1:48" ht="67.2" customHeight="1" thickBot="1" x14ac:dyDescent="0.4">
      <c r="A24" s="264"/>
      <c r="B24" s="1504" t="s">
        <v>972</v>
      </c>
      <c r="C24" s="183" t="s">
        <v>1175</v>
      </c>
      <c r="D24" s="273" t="s">
        <v>1551</v>
      </c>
      <c r="E24" s="228">
        <v>0.8</v>
      </c>
      <c r="F24" s="226">
        <v>4</v>
      </c>
      <c r="G24" s="170">
        <v>1</v>
      </c>
      <c r="H24" s="170">
        <v>1</v>
      </c>
      <c r="I24" s="170">
        <v>1</v>
      </c>
      <c r="J24" s="176">
        <f>+G24/F24</f>
        <v>0.25</v>
      </c>
      <c r="K24" s="176">
        <f t="shared" ref="K24:K25" si="28">+H24/F24</f>
        <v>0.25</v>
      </c>
      <c r="L24" s="176">
        <f t="shared" ref="L24:L25" si="29">+I24/F24</f>
        <v>0.25</v>
      </c>
      <c r="M24" s="176">
        <f>+(G24/F24)*E24</f>
        <v>0.2</v>
      </c>
      <c r="N24" s="176">
        <f t="shared" si="19"/>
        <v>0.2</v>
      </c>
      <c r="O24" s="176"/>
      <c r="P24" s="170">
        <v>1</v>
      </c>
      <c r="Q24" s="541"/>
      <c r="R24" s="541">
        <v>0.3</v>
      </c>
      <c r="S24" s="541">
        <v>0.6</v>
      </c>
      <c r="T24" s="541">
        <v>0.2</v>
      </c>
      <c r="U24" s="541">
        <v>0.2</v>
      </c>
      <c r="V24" s="170">
        <f t="shared" si="1"/>
        <v>1.2999999999999998</v>
      </c>
      <c r="W24" s="170">
        <f>+V24+P24+AB24</f>
        <v>2.5499999999999998</v>
      </c>
      <c r="X24" s="541">
        <v>0.25</v>
      </c>
      <c r="Y24" s="170"/>
      <c r="Z24" s="170"/>
      <c r="AA24" s="170"/>
      <c r="AB24" s="170">
        <f t="shared" ref="AB24:AB25" si="30">+X24+Y24+Z24+AA24</f>
        <v>0.25</v>
      </c>
      <c r="AC24" s="194">
        <f>+(P24/G24)</f>
        <v>1</v>
      </c>
      <c r="AD24" s="194">
        <v>1</v>
      </c>
      <c r="AE24" s="194">
        <f t="shared" ref="AE24:AE25" si="31">+AB24/I24</f>
        <v>0.25</v>
      </c>
      <c r="AF24" s="194">
        <f>+AC24*E24</f>
        <v>0.8</v>
      </c>
      <c r="AG24" s="194">
        <f t="shared" ref="AG24:AG25" si="32">+AD24*E24</f>
        <v>0.8</v>
      </c>
      <c r="AH24" s="194">
        <f t="shared" ref="AH24:AH25" si="33">+AE24*E24</f>
        <v>0.2</v>
      </c>
      <c r="AI24" s="194">
        <f>+P24/F24</f>
        <v>0.25</v>
      </c>
      <c r="AJ24" s="194">
        <v>0.57499999999999996</v>
      </c>
      <c r="AK24" s="194">
        <f t="shared" ref="AK24:AK25" si="34">+W24/F24</f>
        <v>0.63749999999999996</v>
      </c>
      <c r="AL24" s="194">
        <f>+AI24*E24</f>
        <v>0.2</v>
      </c>
      <c r="AM24" s="194">
        <f>+AJ24*E24</f>
        <v>0.45999999999999996</v>
      </c>
      <c r="AN24" s="194">
        <f t="shared" ref="AN24:AN25" si="35">+AK24*E24</f>
        <v>0.51</v>
      </c>
      <c r="AO24" s="247" t="s">
        <v>1852</v>
      </c>
      <c r="AP24" s="163"/>
      <c r="AQ24" s="571" t="s">
        <v>2269</v>
      </c>
      <c r="AR24" s="571" t="s">
        <v>2288</v>
      </c>
      <c r="AS24" s="792" t="s">
        <v>2402</v>
      </c>
      <c r="AT24" s="792" t="s">
        <v>2438</v>
      </c>
      <c r="AU24" s="163"/>
      <c r="AV24" s="571" t="s">
        <v>1893</v>
      </c>
    </row>
    <row r="25" spans="1:48" ht="67.2" customHeight="1" thickBot="1" x14ac:dyDescent="0.4">
      <c r="A25" s="264"/>
      <c r="B25" s="1504" t="s">
        <v>973</v>
      </c>
      <c r="C25" s="1504" t="s">
        <v>1176</v>
      </c>
      <c r="D25" s="273" t="s">
        <v>1551</v>
      </c>
      <c r="E25" s="270">
        <v>0.2</v>
      </c>
      <c r="F25" s="226">
        <v>4</v>
      </c>
      <c r="G25" s="170">
        <v>1</v>
      </c>
      <c r="H25" s="170">
        <v>1</v>
      </c>
      <c r="I25" s="170">
        <v>1</v>
      </c>
      <c r="J25" s="176">
        <f>+G25/F25</f>
        <v>0.25</v>
      </c>
      <c r="K25" s="176">
        <f t="shared" si="28"/>
        <v>0.25</v>
      </c>
      <c r="L25" s="176">
        <f t="shared" si="29"/>
        <v>0.25</v>
      </c>
      <c r="M25" s="176">
        <f>+(G25/F25)*E25</f>
        <v>0.05</v>
      </c>
      <c r="N25" s="176">
        <f t="shared" si="19"/>
        <v>0.05</v>
      </c>
      <c r="O25" s="176"/>
      <c r="P25" s="170">
        <v>1</v>
      </c>
      <c r="Q25" s="541"/>
      <c r="R25" s="541">
        <v>0.5</v>
      </c>
      <c r="S25" s="541">
        <v>0.5</v>
      </c>
      <c r="T25" s="541">
        <v>0</v>
      </c>
      <c r="U25" s="541">
        <v>0</v>
      </c>
      <c r="V25" s="170">
        <f t="shared" si="1"/>
        <v>1</v>
      </c>
      <c r="W25" s="170">
        <f>+V25+P25+AB25</f>
        <v>2</v>
      </c>
      <c r="X25" s="541">
        <v>0</v>
      </c>
      <c r="Y25" s="170"/>
      <c r="Z25" s="170"/>
      <c r="AA25" s="170"/>
      <c r="AB25" s="170">
        <f t="shared" si="30"/>
        <v>0</v>
      </c>
      <c r="AC25" s="194">
        <f>+(P25/G25)</f>
        <v>1</v>
      </c>
      <c r="AD25" s="194">
        <f>+V25/H25</f>
        <v>1</v>
      </c>
      <c r="AE25" s="194">
        <f t="shared" si="31"/>
        <v>0</v>
      </c>
      <c r="AF25" s="194">
        <f>+AC25*E25</f>
        <v>0.2</v>
      </c>
      <c r="AG25" s="194">
        <f t="shared" si="32"/>
        <v>0.2</v>
      </c>
      <c r="AH25" s="194">
        <f t="shared" si="33"/>
        <v>0</v>
      </c>
      <c r="AI25" s="194">
        <f>+P25/F25</f>
        <v>0.25</v>
      </c>
      <c r="AJ25" s="194">
        <v>0.5</v>
      </c>
      <c r="AK25" s="194">
        <f t="shared" si="34"/>
        <v>0.5</v>
      </c>
      <c r="AL25" s="194">
        <f>+AI25*E25</f>
        <v>0.05</v>
      </c>
      <c r="AM25" s="194">
        <f>+AJ25*E25</f>
        <v>0.1</v>
      </c>
      <c r="AN25" s="194">
        <f t="shared" si="35"/>
        <v>0.1</v>
      </c>
      <c r="AO25" s="247" t="s">
        <v>1852</v>
      </c>
      <c r="AP25" s="163"/>
      <c r="AQ25" s="571" t="s">
        <v>2269</v>
      </c>
      <c r="AR25" s="571" t="s">
        <v>2288</v>
      </c>
      <c r="AS25" s="792" t="s">
        <v>2402</v>
      </c>
      <c r="AT25" s="792" t="s">
        <v>2438</v>
      </c>
      <c r="AU25" s="163"/>
      <c r="AV25" s="571" t="s">
        <v>1893</v>
      </c>
    </row>
    <row r="26" spans="1:48" ht="67.2" customHeight="1" thickBot="1" x14ac:dyDescent="0.4">
      <c r="A26" s="264"/>
      <c r="B26" s="1580" t="s">
        <v>1825</v>
      </c>
      <c r="C26" s="1562"/>
      <c r="D26" s="214"/>
      <c r="E26" s="272">
        <v>0.2</v>
      </c>
      <c r="F26" s="216"/>
      <c r="G26" s="163"/>
      <c r="H26" s="163"/>
      <c r="I26" s="163"/>
      <c r="J26" s="169">
        <f>+AVERAGE(J27:J29)</f>
        <v>0.20186882933709449</v>
      </c>
      <c r="K26" s="169">
        <f>+AVERAGE(K27:K29)</f>
        <v>0.27736248236953459</v>
      </c>
      <c r="L26" s="169">
        <f>+AVERAGE(L27:L29)</f>
        <v>0.27736248236953459</v>
      </c>
      <c r="M26" s="169">
        <f>+M27+M28+M29</f>
        <v>0.17686882933709452</v>
      </c>
      <c r="N26" s="169">
        <f>+N27+N28+N29</f>
        <v>0.24104372355430184</v>
      </c>
      <c r="O26" s="169"/>
      <c r="P26" s="168"/>
      <c r="Q26" s="168"/>
      <c r="R26" s="168"/>
      <c r="S26" s="168"/>
      <c r="T26" s="168"/>
      <c r="U26" s="987"/>
      <c r="V26" s="170"/>
      <c r="W26" s="168"/>
      <c r="X26" s="168"/>
      <c r="Y26" s="168"/>
      <c r="Z26" s="168"/>
      <c r="AA26" s="168"/>
      <c r="AB26" s="168"/>
      <c r="AC26" s="192">
        <f>+AVERAGE(AC27:AC29)</f>
        <v>0.80886850152905199</v>
      </c>
      <c r="AD26" s="192">
        <f>+AVERAGE(AD27:AD29)</f>
        <v>1</v>
      </c>
      <c r="AE26" s="192">
        <f>+AVERAGE(AE27:AE29)</f>
        <v>0.52</v>
      </c>
      <c r="AF26" s="192">
        <f>+(AF27+AF28+AF29)*E26</f>
        <v>0.14177370030581041</v>
      </c>
      <c r="AG26" s="192">
        <f>+(AG27+AG28+AG29)*E26</f>
        <v>0.2</v>
      </c>
      <c r="AH26" s="192">
        <f>+(AH27+AH28+AH29)*E26</f>
        <v>6.9333333333333344E-2</v>
      </c>
      <c r="AI26" s="169">
        <f>+AVERAGE(AI27:AI29)</f>
        <v>0.17248472026328163</v>
      </c>
      <c r="AJ26" s="169">
        <v>0.555892493339602</v>
      </c>
      <c r="AK26" s="169">
        <f>+AVERAGE(AK27:AK29)</f>
        <v>0.74498354489891871</v>
      </c>
      <c r="AL26" s="169">
        <f>+(AL27+AL28+AL29)*E26</f>
        <v>2.9496944052656328E-2</v>
      </c>
      <c r="AM26" s="169">
        <f>+(AM27+AM28+AM29)</f>
        <v>0.53483874000940301</v>
      </c>
      <c r="AN26" s="169">
        <f>+(AN27+AN28+AN29)</f>
        <v>0.64214198401504463</v>
      </c>
      <c r="AO26" s="163"/>
      <c r="AP26" s="163"/>
      <c r="AQ26" s="163"/>
      <c r="AR26" s="163"/>
      <c r="AS26" s="609"/>
      <c r="AT26" s="609"/>
      <c r="AU26" s="163"/>
      <c r="AV26" s="535"/>
    </row>
    <row r="27" spans="1:48" ht="103.2" customHeight="1" thickBot="1" x14ac:dyDescent="0.4">
      <c r="A27" s="264"/>
      <c r="B27" s="1480" t="s">
        <v>974</v>
      </c>
      <c r="C27" s="1482" t="s">
        <v>1177</v>
      </c>
      <c r="D27" s="645" t="s">
        <v>975</v>
      </c>
      <c r="E27" s="238">
        <v>0.5</v>
      </c>
      <c r="F27" s="226">
        <v>10635</v>
      </c>
      <c r="G27" s="170">
        <v>1635</v>
      </c>
      <c r="H27" s="170">
        <v>3000</v>
      </c>
      <c r="I27" s="170">
        <v>3000</v>
      </c>
      <c r="J27" s="176">
        <f>+G27/F27</f>
        <v>0.15373765867418901</v>
      </c>
      <c r="K27" s="176">
        <f t="shared" ref="K27:K29" si="36">+H27/F27</f>
        <v>0.28208744710860367</v>
      </c>
      <c r="L27" s="176">
        <f t="shared" ref="L27:L29" si="37">+I27/F27</f>
        <v>0.28208744710860367</v>
      </c>
      <c r="M27" s="176">
        <f>+(G27/F27)*E27</f>
        <v>7.6868829337094505E-2</v>
      </c>
      <c r="N27" s="176">
        <f t="shared" si="19"/>
        <v>0.14104372355430184</v>
      </c>
      <c r="O27" s="176"/>
      <c r="P27" s="170">
        <v>1010</v>
      </c>
      <c r="Q27" s="541">
        <v>154</v>
      </c>
      <c r="R27" s="541">
        <v>1606</v>
      </c>
      <c r="S27" s="541">
        <v>1102</v>
      </c>
      <c r="T27" s="541">
        <v>570</v>
      </c>
      <c r="U27" s="541">
        <v>0</v>
      </c>
      <c r="V27" s="170">
        <f t="shared" si="1"/>
        <v>3432</v>
      </c>
      <c r="W27" s="170">
        <f t="shared" ref="W27:W28" si="38">+V27+P27+AB27</f>
        <v>5122</v>
      </c>
      <c r="X27" s="541">
        <v>680</v>
      </c>
      <c r="Y27" s="170"/>
      <c r="Z27" s="170"/>
      <c r="AA27" s="170"/>
      <c r="AB27" s="170">
        <f t="shared" ref="AB27:AB29" si="39">+X27+Y27+Z27+AA27</f>
        <v>680</v>
      </c>
      <c r="AC27" s="194">
        <f>+(P27/G27)</f>
        <v>0.61773700305810397</v>
      </c>
      <c r="AD27" s="194">
        <v>1</v>
      </c>
      <c r="AE27" s="194">
        <f t="shared" ref="AE27:AE28" si="40">+AB27/I27</f>
        <v>0.22666666666666666</v>
      </c>
      <c r="AF27" s="194">
        <f>+AC27*E27</f>
        <v>0.30886850152905199</v>
      </c>
      <c r="AG27" s="194">
        <f t="shared" ref="AG27:AG29" si="41">+AD27*E27</f>
        <v>0.5</v>
      </c>
      <c r="AH27" s="194">
        <f t="shared" ref="AH27:AH29" si="42">+AE27*E27</f>
        <v>0.11333333333333333</v>
      </c>
      <c r="AI27" s="194">
        <f>+P27/F27</f>
        <v>9.496944052656324E-2</v>
      </c>
      <c r="AJ27" s="194">
        <v>0.41767748001880584</v>
      </c>
      <c r="AK27" s="194">
        <f t="shared" ref="AK27:AK28" si="43">+W27/F27</f>
        <v>0.48161730136342268</v>
      </c>
      <c r="AL27" s="194">
        <f>+AI27*E27</f>
        <v>4.748472026328162E-2</v>
      </c>
      <c r="AM27" s="194">
        <f>+AJ27*E27</f>
        <v>0.20883874000940292</v>
      </c>
      <c r="AN27" s="194">
        <f t="shared" ref="AN27:AN29" si="44">+AK27*E27</f>
        <v>0.24080865068171134</v>
      </c>
      <c r="AO27" s="274" t="s">
        <v>1865</v>
      </c>
      <c r="AP27" s="571" t="s">
        <v>1892</v>
      </c>
      <c r="AQ27" s="571" t="s">
        <v>2269</v>
      </c>
      <c r="AR27" s="571" t="s">
        <v>2288</v>
      </c>
      <c r="AS27" s="792" t="s">
        <v>2402</v>
      </c>
      <c r="AT27" s="792" t="s">
        <v>2438</v>
      </c>
      <c r="AU27" s="571" t="s">
        <v>2493</v>
      </c>
      <c r="AV27" s="571" t="s">
        <v>1893</v>
      </c>
    </row>
    <row r="28" spans="1:48" ht="67.2" customHeight="1" thickBot="1" x14ac:dyDescent="0.4">
      <c r="A28" s="264"/>
      <c r="B28" s="1480" t="s">
        <v>976</v>
      </c>
      <c r="C28" s="1482" t="s">
        <v>1178</v>
      </c>
      <c r="D28" s="645" t="s">
        <v>975</v>
      </c>
      <c r="E28" s="238">
        <v>0.4</v>
      </c>
      <c r="F28" s="226">
        <v>600</v>
      </c>
      <c r="G28" s="170">
        <v>150</v>
      </c>
      <c r="H28" s="170">
        <v>150</v>
      </c>
      <c r="I28" s="170">
        <v>150</v>
      </c>
      <c r="J28" s="176">
        <f>+G28/F28</f>
        <v>0.25</v>
      </c>
      <c r="K28" s="176">
        <f t="shared" si="36"/>
        <v>0.25</v>
      </c>
      <c r="L28" s="176">
        <f t="shared" si="37"/>
        <v>0.25</v>
      </c>
      <c r="M28" s="176">
        <f>+(G28/F28)*E28</f>
        <v>0.1</v>
      </c>
      <c r="N28" s="176">
        <f t="shared" si="19"/>
        <v>0.1</v>
      </c>
      <c r="O28" s="176"/>
      <c r="P28" s="170">
        <v>150</v>
      </c>
      <c r="Q28" s="541">
        <v>42</v>
      </c>
      <c r="R28" s="541">
        <v>90</v>
      </c>
      <c r="S28" s="541">
        <v>60</v>
      </c>
      <c r="T28" s="541">
        <v>60</v>
      </c>
      <c r="U28" s="541">
        <v>0</v>
      </c>
      <c r="V28" s="170">
        <f t="shared" si="1"/>
        <v>252</v>
      </c>
      <c r="W28" s="170">
        <f t="shared" si="38"/>
        <v>452</v>
      </c>
      <c r="X28" s="541">
        <v>50</v>
      </c>
      <c r="Y28" s="170"/>
      <c r="Z28" s="170"/>
      <c r="AA28" s="170"/>
      <c r="AB28" s="170">
        <f t="shared" si="39"/>
        <v>50</v>
      </c>
      <c r="AC28" s="194">
        <f>+(P28/G28)</f>
        <v>1</v>
      </c>
      <c r="AD28" s="194">
        <v>1</v>
      </c>
      <c r="AE28" s="194">
        <f t="shared" si="40"/>
        <v>0.33333333333333331</v>
      </c>
      <c r="AF28" s="194">
        <f>+AC28*E28</f>
        <v>0.4</v>
      </c>
      <c r="AG28" s="194">
        <f t="shared" si="41"/>
        <v>0.4</v>
      </c>
      <c r="AH28" s="194">
        <f t="shared" si="42"/>
        <v>0.13333333333333333</v>
      </c>
      <c r="AI28" s="194">
        <f>+P28/F28</f>
        <v>0.25</v>
      </c>
      <c r="AJ28" s="194">
        <v>0.67</v>
      </c>
      <c r="AK28" s="194">
        <f t="shared" si="43"/>
        <v>0.7533333333333333</v>
      </c>
      <c r="AL28" s="194">
        <f>+AI28*E28</f>
        <v>0.1</v>
      </c>
      <c r="AM28" s="194">
        <f>+AJ28*E28</f>
        <v>0.26800000000000002</v>
      </c>
      <c r="AN28" s="194">
        <f t="shared" si="44"/>
        <v>0.30133333333333334</v>
      </c>
      <c r="AO28" s="274" t="s">
        <v>1865</v>
      </c>
      <c r="AP28" s="571" t="s">
        <v>1892</v>
      </c>
      <c r="AQ28" s="571" t="s">
        <v>2269</v>
      </c>
      <c r="AR28" s="571" t="s">
        <v>2288</v>
      </c>
      <c r="AS28" s="792" t="s">
        <v>2402</v>
      </c>
      <c r="AT28" s="792" t="s">
        <v>2438</v>
      </c>
      <c r="AU28" s="571" t="s">
        <v>2493</v>
      </c>
      <c r="AV28" s="571" t="s">
        <v>1893</v>
      </c>
    </row>
    <row r="29" spans="1:48" ht="67.2" customHeight="1" thickBot="1" x14ac:dyDescent="0.4">
      <c r="A29" s="264"/>
      <c r="B29" s="774" t="s">
        <v>977</v>
      </c>
      <c r="C29" s="774" t="s">
        <v>1179</v>
      </c>
      <c r="D29" s="265" t="s">
        <v>975</v>
      </c>
      <c r="E29" s="228">
        <v>0.1</v>
      </c>
      <c r="F29" s="226">
        <v>1</v>
      </c>
      <c r="G29" s="170">
        <v>0</v>
      </c>
      <c r="H29" s="170">
        <v>0.3</v>
      </c>
      <c r="I29" s="170">
        <v>0.3</v>
      </c>
      <c r="J29" s="176"/>
      <c r="K29" s="176">
        <f t="shared" si="36"/>
        <v>0.3</v>
      </c>
      <c r="L29" s="176">
        <f t="shared" si="37"/>
        <v>0.3</v>
      </c>
      <c r="M29" s="176"/>
      <c r="N29" s="176"/>
      <c r="O29" s="176"/>
      <c r="P29" s="170"/>
      <c r="Q29" s="541"/>
      <c r="R29" s="541"/>
      <c r="S29" s="541"/>
      <c r="T29" s="541">
        <v>0.57999999999999996</v>
      </c>
      <c r="U29" s="541">
        <v>0</v>
      </c>
      <c r="V29" s="170">
        <f t="shared" si="1"/>
        <v>0.57999999999999996</v>
      </c>
      <c r="W29" s="170">
        <f>+V29+P29+AB29</f>
        <v>1.08</v>
      </c>
      <c r="X29" s="542">
        <v>0.5</v>
      </c>
      <c r="Y29" s="170"/>
      <c r="Z29" s="170"/>
      <c r="AA29" s="170"/>
      <c r="AB29" s="170">
        <f t="shared" si="39"/>
        <v>0.5</v>
      </c>
      <c r="AC29" s="194"/>
      <c r="AD29" s="194">
        <v>1</v>
      </c>
      <c r="AE29" s="194">
        <v>1</v>
      </c>
      <c r="AF29" s="194"/>
      <c r="AG29" s="194">
        <f t="shared" si="41"/>
        <v>0.1</v>
      </c>
      <c r="AH29" s="194">
        <f t="shared" si="42"/>
        <v>0.1</v>
      </c>
      <c r="AI29" s="194"/>
      <c r="AJ29" s="194">
        <v>0.57999999999999996</v>
      </c>
      <c r="AK29" s="194">
        <v>1</v>
      </c>
      <c r="AL29" s="194"/>
      <c r="AM29" s="194">
        <f>+AJ29*E29</f>
        <v>5.7999999999999996E-2</v>
      </c>
      <c r="AN29" s="194">
        <f t="shared" si="44"/>
        <v>0.1</v>
      </c>
      <c r="AO29" s="247" t="s">
        <v>1852</v>
      </c>
      <c r="AP29" s="571" t="s">
        <v>1892</v>
      </c>
      <c r="AQ29" s="779"/>
      <c r="AR29" s="571" t="s">
        <v>2288</v>
      </c>
      <c r="AS29" s="784" t="s">
        <v>2388</v>
      </c>
      <c r="AT29" s="792" t="s">
        <v>2438</v>
      </c>
      <c r="AU29" s="571" t="s">
        <v>2493</v>
      </c>
      <c r="AV29" s="785" t="s">
        <v>1865</v>
      </c>
    </row>
    <row r="30" spans="1:48" ht="67.2" customHeight="1" thickBot="1" x14ac:dyDescent="0.4">
      <c r="A30" s="264"/>
      <c r="B30" s="1580" t="s">
        <v>1758</v>
      </c>
      <c r="C30" s="1562"/>
      <c r="D30" s="266"/>
      <c r="E30" s="272">
        <v>0.3</v>
      </c>
      <c r="F30" s="216"/>
      <c r="G30" s="163"/>
      <c r="H30" s="163"/>
      <c r="I30" s="163"/>
      <c r="J30" s="169">
        <f>+AVERAGE(J31)</f>
        <v>0.06</v>
      </c>
      <c r="K30" s="169">
        <f>+AVERAGE(K31)</f>
        <v>0.06</v>
      </c>
      <c r="L30" s="169">
        <f>+AVERAGE(L31)</f>
        <v>0.25</v>
      </c>
      <c r="M30" s="169">
        <f>+M31</f>
        <v>0.06</v>
      </c>
      <c r="N30" s="169">
        <f>+N31</f>
        <v>0.06</v>
      </c>
      <c r="O30" s="169"/>
      <c r="P30" s="168"/>
      <c r="Q30" s="168"/>
      <c r="R30" s="168"/>
      <c r="S30" s="168"/>
      <c r="T30" s="168"/>
      <c r="U30" s="987"/>
      <c r="V30" s="170"/>
      <c r="W30" s="168"/>
      <c r="X30" s="168"/>
      <c r="Y30" s="168"/>
      <c r="Z30" s="168"/>
      <c r="AA30" s="168"/>
      <c r="AB30" s="168"/>
      <c r="AC30" s="192">
        <f>+AVERAGE(AC31)</f>
        <v>1</v>
      </c>
      <c r="AD30" s="192">
        <f>+AVERAGE(AD31)</f>
        <v>1</v>
      </c>
      <c r="AE30" s="192">
        <f>+AVERAGE(AE31)</f>
        <v>0.25</v>
      </c>
      <c r="AF30" s="192">
        <f>+(AF31)*E30</f>
        <v>0.3</v>
      </c>
      <c r="AG30" s="192">
        <f>+(AG31)*E30</f>
        <v>0.3</v>
      </c>
      <c r="AH30" s="192">
        <f>+(AH31)*E30</f>
        <v>7.4999999999999997E-2</v>
      </c>
      <c r="AI30" s="169">
        <f>+AVERAGE(AI31)</f>
        <v>0.15</v>
      </c>
      <c r="AJ30" s="169">
        <v>0.62375999999999998</v>
      </c>
      <c r="AK30" s="169">
        <f>+AVERAGE(AK31)</f>
        <v>0.65019760000000004</v>
      </c>
      <c r="AL30" s="169">
        <f>+(AL31)*E30</f>
        <v>4.4999999999999998E-2</v>
      </c>
      <c r="AM30" s="169">
        <f>+(AM31)</f>
        <v>0.62375999999999998</v>
      </c>
      <c r="AN30" s="169">
        <f>+(AN31)</f>
        <v>0.65019760000000004</v>
      </c>
      <c r="AO30" s="163"/>
      <c r="AP30" s="163"/>
      <c r="AQ30" s="163"/>
      <c r="AR30" s="163"/>
      <c r="AS30" s="609"/>
      <c r="AT30" s="1135"/>
      <c r="AU30" s="163"/>
      <c r="AV30" s="535"/>
    </row>
    <row r="31" spans="1:48" ht="103.2" customHeight="1" thickBot="1" x14ac:dyDescent="0.4">
      <c r="A31" s="264"/>
      <c r="B31" s="1480" t="s">
        <v>978</v>
      </c>
      <c r="C31" s="1480" t="s">
        <v>1180</v>
      </c>
      <c r="D31" s="276" t="s">
        <v>969</v>
      </c>
      <c r="E31" s="238">
        <v>1</v>
      </c>
      <c r="F31" s="226">
        <v>5</v>
      </c>
      <c r="G31" s="170">
        <v>0.3</v>
      </c>
      <c r="H31" s="170">
        <v>0.3</v>
      </c>
      <c r="I31" s="170">
        <v>0.2</v>
      </c>
      <c r="J31" s="176">
        <f>+G31/F31</f>
        <v>0.06</v>
      </c>
      <c r="K31" s="176">
        <f t="shared" ref="K31" si="45">+H31/F31</f>
        <v>0.06</v>
      </c>
      <c r="L31" s="176">
        <f>+I31/F31*6.25</f>
        <v>0.25</v>
      </c>
      <c r="M31" s="176">
        <f>+(G31/F31)*E31</f>
        <v>0.06</v>
      </c>
      <c r="N31" s="176">
        <f t="shared" si="19"/>
        <v>0.06</v>
      </c>
      <c r="O31" s="176"/>
      <c r="P31" s="170">
        <v>0.75</v>
      </c>
      <c r="Q31" s="541">
        <v>0</v>
      </c>
      <c r="R31" s="541">
        <v>5.4600000000000003E-2</v>
      </c>
      <c r="S31" s="541">
        <v>0.20399999999999999</v>
      </c>
      <c r="T31" s="541">
        <v>0.55079999999999996</v>
      </c>
      <c r="U31" s="541"/>
      <c r="V31" s="170">
        <f t="shared" si="1"/>
        <v>0.8093999999999999</v>
      </c>
      <c r="W31" s="170">
        <f>+V31+P31+AB31</f>
        <v>1.6093999999999999</v>
      </c>
      <c r="X31" s="541">
        <v>0.05</v>
      </c>
      <c r="Y31" s="170"/>
      <c r="Z31" s="170"/>
      <c r="AA31" s="170"/>
      <c r="AB31" s="170">
        <f t="shared" ref="AB31" si="46">+X31+Y31+Z31+AA31</f>
        <v>0.05</v>
      </c>
      <c r="AC31" s="194">
        <v>1</v>
      </c>
      <c r="AD31" s="194">
        <v>1</v>
      </c>
      <c r="AE31" s="194">
        <f>+AB31/I31</f>
        <v>0.25</v>
      </c>
      <c r="AF31" s="194">
        <f>+AC31*E31</f>
        <v>1</v>
      </c>
      <c r="AG31" s="194">
        <f t="shared" ref="AG31" si="47">+AD31*E31</f>
        <v>1</v>
      </c>
      <c r="AH31" s="194">
        <f t="shared" ref="AH31" si="48">+AE31*E31</f>
        <v>0.25</v>
      </c>
      <c r="AI31" s="194">
        <f>+P31/F31</f>
        <v>0.15</v>
      </c>
      <c r="AJ31" s="802">
        <v>0.62375999999999998</v>
      </c>
      <c r="AK31" s="802">
        <f>+W31/F31*2.02</f>
        <v>0.65019760000000004</v>
      </c>
      <c r="AL31" s="194">
        <f>+AI31*E31</f>
        <v>0.15</v>
      </c>
      <c r="AM31" s="176">
        <f>+AJ31*E31</f>
        <v>0.62375999999999998</v>
      </c>
      <c r="AN31" s="194">
        <f t="shared" ref="AN31" si="49">+AK31*E31</f>
        <v>0.65019760000000004</v>
      </c>
      <c r="AO31" s="274" t="s">
        <v>1865</v>
      </c>
      <c r="AP31" s="588" t="s">
        <v>1949</v>
      </c>
      <c r="AQ31" s="571" t="s">
        <v>2269</v>
      </c>
      <c r="AR31" s="571" t="s">
        <v>2288</v>
      </c>
      <c r="AS31" s="609"/>
      <c r="AT31" s="792" t="s">
        <v>2438</v>
      </c>
      <c r="AU31" s="571" t="s">
        <v>2493</v>
      </c>
      <c r="AV31" s="571" t="s">
        <v>1893</v>
      </c>
    </row>
    <row r="32" spans="1:48" ht="67.2" customHeight="1" thickBot="1" x14ac:dyDescent="0.4">
      <c r="A32" s="264"/>
      <c r="B32" s="1580" t="s">
        <v>1759</v>
      </c>
      <c r="C32" s="1562"/>
      <c r="D32" s="266"/>
      <c r="E32" s="272">
        <v>0.05</v>
      </c>
      <c r="F32" s="216"/>
      <c r="G32" s="163"/>
      <c r="H32" s="163"/>
      <c r="I32" s="163"/>
      <c r="J32" s="169"/>
      <c r="K32" s="169">
        <f>+AVERAGE(K33:K35)</f>
        <v>0.76666666666666661</v>
      </c>
      <c r="L32" s="169">
        <f>+AVERAGE(L33:L35)</f>
        <v>0.5</v>
      </c>
      <c r="M32" s="169"/>
      <c r="N32" s="169">
        <f>+N33+N34+N35</f>
        <v>0.72</v>
      </c>
      <c r="O32" s="169"/>
      <c r="P32" s="168"/>
      <c r="Q32" s="168"/>
      <c r="R32" s="168"/>
      <c r="S32" s="168"/>
      <c r="T32" s="168"/>
      <c r="U32" s="987"/>
      <c r="V32" s="170"/>
      <c r="W32" s="168"/>
      <c r="X32" s="168"/>
      <c r="Y32" s="168"/>
      <c r="Z32" s="168"/>
      <c r="AA32" s="168"/>
      <c r="AB32" s="168"/>
      <c r="AC32" s="192"/>
      <c r="AD32" s="192">
        <f>+AVERAGE(AD33:AD35)</f>
        <v>0.66666666666666663</v>
      </c>
      <c r="AE32" s="192">
        <f>+AVERAGE(AE33:AE35)</f>
        <v>0.4</v>
      </c>
      <c r="AF32" s="192"/>
      <c r="AG32" s="192">
        <f>+(AG33+AG34+AG35)*E32</f>
        <v>0.03</v>
      </c>
      <c r="AH32" s="192">
        <f>+(AH33+AH34+AH35)*E32</f>
        <v>8.0000000000000019E-3</v>
      </c>
      <c r="AI32" s="169"/>
      <c r="AJ32" s="169">
        <v>0.66666666666666663</v>
      </c>
      <c r="AK32" s="169">
        <f>+AVERAGE(AK33:AK35)</f>
        <v>0.73333333333333339</v>
      </c>
      <c r="AL32" s="169"/>
      <c r="AM32" s="169">
        <f>+(AM33+AM34+AM35)</f>
        <v>0.6</v>
      </c>
      <c r="AN32" s="169">
        <f>+(AN33+AN34+AN35)</f>
        <v>0.67999999999999994</v>
      </c>
      <c r="AO32" s="163"/>
      <c r="AP32" s="163"/>
      <c r="AQ32" s="163"/>
      <c r="AR32" s="163"/>
      <c r="AS32" s="609"/>
      <c r="AT32" s="609"/>
      <c r="AU32" s="163"/>
      <c r="AV32" s="535"/>
    </row>
    <row r="33" spans="1:48" ht="67.2" customHeight="1" thickBot="1" x14ac:dyDescent="0.4">
      <c r="A33" s="264"/>
      <c r="B33" s="1480" t="s">
        <v>979</v>
      </c>
      <c r="C33" s="1480" t="s">
        <v>1181</v>
      </c>
      <c r="D33" s="266" t="s">
        <v>516</v>
      </c>
      <c r="E33" s="228">
        <v>0.3</v>
      </c>
      <c r="F33" s="226">
        <v>1</v>
      </c>
      <c r="G33" s="170">
        <v>0</v>
      </c>
      <c r="H33" s="170">
        <v>1</v>
      </c>
      <c r="I33" s="170">
        <v>0</v>
      </c>
      <c r="J33" s="176"/>
      <c r="K33" s="176">
        <f t="shared" ref="K33:K35" si="50">+H33/F33</f>
        <v>1</v>
      </c>
      <c r="L33" s="176"/>
      <c r="M33" s="176"/>
      <c r="N33" s="176">
        <f t="shared" si="19"/>
        <v>0.3</v>
      </c>
      <c r="O33" s="176"/>
      <c r="P33" s="170"/>
      <c r="Q33" s="541">
        <v>0.25</v>
      </c>
      <c r="R33" s="541">
        <v>0.75</v>
      </c>
      <c r="S33" s="541">
        <v>0</v>
      </c>
      <c r="T33" s="541">
        <v>0</v>
      </c>
      <c r="U33" s="541">
        <v>0</v>
      </c>
      <c r="V33" s="170">
        <f t="shared" si="1"/>
        <v>1</v>
      </c>
      <c r="W33" s="170">
        <f t="shared" ref="W33:W34" si="51">+V33+P33+AB33</f>
        <v>1</v>
      </c>
      <c r="X33" s="541"/>
      <c r="Y33" s="170"/>
      <c r="Z33" s="170"/>
      <c r="AA33" s="170"/>
      <c r="AB33" s="170">
        <f t="shared" ref="AB33:AB35" si="52">+X33+Y33+Z33+AA33</f>
        <v>0</v>
      </c>
      <c r="AC33" s="176"/>
      <c r="AD33" s="176">
        <f t="shared" ref="AD33:AD35" si="53">+V33/H33</f>
        <v>1</v>
      </c>
      <c r="AE33" s="176"/>
      <c r="AF33" s="176"/>
      <c r="AG33" s="176">
        <f t="shared" ref="AG33:AG35" si="54">+AD33*E33</f>
        <v>0.3</v>
      </c>
      <c r="AH33" s="176">
        <f t="shared" ref="AH33:AH35" si="55">+AE33*E33</f>
        <v>0</v>
      </c>
      <c r="AI33" s="176"/>
      <c r="AJ33" s="176">
        <v>1</v>
      </c>
      <c r="AK33" s="176">
        <f t="shared" ref="AK33:AK35" si="56">+W33/F33</f>
        <v>1</v>
      </c>
      <c r="AL33" s="176"/>
      <c r="AM33" s="176">
        <f>+AJ33*E33</f>
        <v>0.3</v>
      </c>
      <c r="AN33" s="176">
        <f t="shared" ref="AN33:AN35" si="57">+AK33*E33</f>
        <v>0.3</v>
      </c>
      <c r="AO33" s="247" t="s">
        <v>1852</v>
      </c>
      <c r="AP33" s="571" t="s">
        <v>1892</v>
      </c>
      <c r="AQ33" s="779"/>
      <c r="AR33" s="571" t="s">
        <v>2308</v>
      </c>
      <c r="AS33" s="609"/>
      <c r="AT33" s="792" t="s">
        <v>2438</v>
      </c>
      <c r="AU33" s="571" t="s">
        <v>2493</v>
      </c>
      <c r="AV33" s="571" t="s">
        <v>1893</v>
      </c>
    </row>
    <row r="34" spans="1:48" ht="67.2" customHeight="1" thickBot="1" x14ac:dyDescent="0.4">
      <c r="A34" s="264"/>
      <c r="B34" s="1480" t="s">
        <v>980</v>
      </c>
      <c r="C34" s="1480" t="s">
        <v>1182</v>
      </c>
      <c r="D34" s="266" t="s">
        <v>516</v>
      </c>
      <c r="E34" s="228">
        <v>0.3</v>
      </c>
      <c r="F34" s="226">
        <v>1</v>
      </c>
      <c r="G34" s="170">
        <v>0</v>
      </c>
      <c r="H34" s="170">
        <v>1</v>
      </c>
      <c r="I34" s="170">
        <v>0</v>
      </c>
      <c r="J34" s="176"/>
      <c r="K34" s="176">
        <f t="shared" si="50"/>
        <v>1</v>
      </c>
      <c r="L34" s="176"/>
      <c r="M34" s="176"/>
      <c r="N34" s="176">
        <f t="shared" si="19"/>
        <v>0.3</v>
      </c>
      <c r="O34" s="176"/>
      <c r="P34" s="170"/>
      <c r="Q34" s="541">
        <v>0.1</v>
      </c>
      <c r="R34" s="541">
        <v>0.9</v>
      </c>
      <c r="S34" s="541">
        <v>0</v>
      </c>
      <c r="T34" s="541">
        <v>0</v>
      </c>
      <c r="U34" s="541">
        <v>0</v>
      </c>
      <c r="V34" s="170">
        <f t="shared" si="1"/>
        <v>1</v>
      </c>
      <c r="W34" s="170">
        <f t="shared" si="51"/>
        <v>1</v>
      </c>
      <c r="X34" s="541"/>
      <c r="Y34" s="170"/>
      <c r="Z34" s="170"/>
      <c r="AA34" s="170"/>
      <c r="AB34" s="170">
        <f t="shared" si="52"/>
        <v>0</v>
      </c>
      <c r="AC34" s="176"/>
      <c r="AD34" s="176">
        <f t="shared" si="53"/>
        <v>1</v>
      </c>
      <c r="AE34" s="176"/>
      <c r="AF34" s="176"/>
      <c r="AG34" s="176">
        <f t="shared" si="54"/>
        <v>0.3</v>
      </c>
      <c r="AH34" s="176">
        <f t="shared" si="55"/>
        <v>0</v>
      </c>
      <c r="AI34" s="176"/>
      <c r="AJ34" s="176">
        <v>1</v>
      </c>
      <c r="AK34" s="176">
        <f t="shared" si="56"/>
        <v>1</v>
      </c>
      <c r="AL34" s="176"/>
      <c r="AM34" s="176">
        <f>+AJ34*E34</f>
        <v>0.3</v>
      </c>
      <c r="AN34" s="176">
        <f t="shared" si="57"/>
        <v>0.3</v>
      </c>
      <c r="AO34" s="247" t="s">
        <v>1852</v>
      </c>
      <c r="AP34" s="571" t="s">
        <v>1892</v>
      </c>
      <c r="AQ34" s="779"/>
      <c r="AR34" s="588" t="s">
        <v>1865</v>
      </c>
      <c r="AS34" s="785" t="s">
        <v>1865</v>
      </c>
      <c r="AT34" s="785" t="s">
        <v>1865</v>
      </c>
      <c r="AU34" s="571" t="s">
        <v>2493</v>
      </c>
      <c r="AV34" s="571" t="s">
        <v>1893</v>
      </c>
    </row>
    <row r="35" spans="1:48" ht="131.4" customHeight="1" thickBot="1" x14ac:dyDescent="0.4">
      <c r="A35" s="264"/>
      <c r="B35" s="1480" t="s">
        <v>981</v>
      </c>
      <c r="C35" s="1480" t="s">
        <v>1183</v>
      </c>
      <c r="D35" s="266" t="s">
        <v>516</v>
      </c>
      <c r="E35" s="228">
        <v>0.4</v>
      </c>
      <c r="F35" s="226">
        <v>1</v>
      </c>
      <c r="G35" s="170">
        <v>0</v>
      </c>
      <c r="H35" s="170">
        <v>0.3</v>
      </c>
      <c r="I35" s="170">
        <v>0.5</v>
      </c>
      <c r="J35" s="176"/>
      <c r="K35" s="176">
        <f t="shared" si="50"/>
        <v>0.3</v>
      </c>
      <c r="L35" s="176">
        <f t="shared" ref="L35" si="58">+I35/F35</f>
        <v>0.5</v>
      </c>
      <c r="M35" s="176"/>
      <c r="N35" s="176">
        <f t="shared" si="19"/>
        <v>0.12</v>
      </c>
      <c r="O35" s="176"/>
      <c r="P35" s="170"/>
      <c r="Q35" s="541">
        <v>0</v>
      </c>
      <c r="R35" s="541">
        <v>0</v>
      </c>
      <c r="S35" s="541">
        <v>0</v>
      </c>
      <c r="T35" s="541">
        <v>0</v>
      </c>
      <c r="U35" s="541">
        <v>0</v>
      </c>
      <c r="V35" s="170">
        <f t="shared" si="1"/>
        <v>0</v>
      </c>
      <c r="W35" s="170">
        <f>+V35+P35+AB35</f>
        <v>0.2</v>
      </c>
      <c r="X35" s="541">
        <v>0.2</v>
      </c>
      <c r="Y35" s="170"/>
      <c r="Z35" s="170"/>
      <c r="AA35" s="170"/>
      <c r="AB35" s="170">
        <f t="shared" si="52"/>
        <v>0.2</v>
      </c>
      <c r="AC35" s="176"/>
      <c r="AD35" s="176">
        <f t="shared" si="53"/>
        <v>0</v>
      </c>
      <c r="AE35" s="176">
        <f t="shared" ref="AE35" si="59">+AB35/I35</f>
        <v>0.4</v>
      </c>
      <c r="AF35" s="176"/>
      <c r="AG35" s="176">
        <f t="shared" si="54"/>
        <v>0</v>
      </c>
      <c r="AH35" s="176">
        <f t="shared" si="55"/>
        <v>0.16000000000000003</v>
      </c>
      <c r="AI35" s="176"/>
      <c r="AJ35" s="176">
        <v>0</v>
      </c>
      <c r="AK35" s="176">
        <f t="shared" si="56"/>
        <v>0.2</v>
      </c>
      <c r="AL35" s="176"/>
      <c r="AM35" s="176">
        <f>+AJ35*E35</f>
        <v>0</v>
      </c>
      <c r="AN35" s="176">
        <f t="shared" si="57"/>
        <v>8.0000000000000016E-2</v>
      </c>
      <c r="AO35" s="247" t="s">
        <v>1852</v>
      </c>
      <c r="AP35" s="571" t="s">
        <v>1892</v>
      </c>
      <c r="AQ35" s="571" t="s">
        <v>2269</v>
      </c>
      <c r="AR35" s="588" t="s">
        <v>2309</v>
      </c>
      <c r="AS35" s="784" t="s">
        <v>2385</v>
      </c>
      <c r="AT35" s="785" t="s">
        <v>1865</v>
      </c>
      <c r="AU35" s="571" t="s">
        <v>2493</v>
      </c>
      <c r="AV35" s="571" t="s">
        <v>1893</v>
      </c>
    </row>
    <row r="36" spans="1:48" ht="67.2" customHeight="1" thickBot="1" x14ac:dyDescent="0.4">
      <c r="A36" s="264"/>
      <c r="B36" s="1580" t="s">
        <v>1760</v>
      </c>
      <c r="C36" s="1562"/>
      <c r="D36" s="266"/>
      <c r="E36" s="232">
        <v>0.05</v>
      </c>
      <c r="F36" s="226"/>
      <c r="G36" s="163"/>
      <c r="H36" s="163"/>
      <c r="I36" s="163"/>
      <c r="J36" s="169">
        <f>+AVERAGE(J37:J39)</f>
        <v>0.22500000000000001</v>
      </c>
      <c r="K36" s="169">
        <f>+AVERAGE(K37:K39)</f>
        <v>0.33</v>
      </c>
      <c r="L36" s="169">
        <f>+AVERAGE(L37:L39)</f>
        <v>0.31666666666666665</v>
      </c>
      <c r="M36" s="169">
        <f>+M37+M38+M39</f>
        <v>0.16250000000000001</v>
      </c>
      <c r="N36" s="169">
        <f>+N37+N38+N39</f>
        <v>0.34750000000000003</v>
      </c>
      <c r="O36" s="169"/>
      <c r="P36" s="168"/>
      <c r="Q36" s="168"/>
      <c r="R36" s="168"/>
      <c r="S36" s="168"/>
      <c r="T36" s="168"/>
      <c r="U36" s="987"/>
      <c r="V36" s="170"/>
      <c r="W36" s="168"/>
      <c r="X36" s="168"/>
      <c r="Y36" s="168"/>
      <c r="Z36" s="168"/>
      <c r="AA36" s="168"/>
      <c r="AB36" s="168"/>
      <c r="AC36" s="192">
        <f>+AVERAGE(AC37:AC39)</f>
        <v>0.75</v>
      </c>
      <c r="AD36" s="192">
        <f>+AVERAGE(AD37:AD39)</f>
        <v>0.91176470588235292</v>
      </c>
      <c r="AE36" s="192">
        <f>+AVERAGE(AE37:AE39)</f>
        <v>0.25333333333333335</v>
      </c>
      <c r="AF36" s="192">
        <f>+(AF37+AF38+AF39)*E36</f>
        <v>2.5000000000000001E-2</v>
      </c>
      <c r="AG36" s="192">
        <f>+(AG37+AG38+AG39)*E36</f>
        <v>4.6691176470588236E-2</v>
      </c>
      <c r="AH36" s="192">
        <f>+(AH37+AH38+AH39)*E36</f>
        <v>1.5250000000000003E-2</v>
      </c>
      <c r="AI36" s="169">
        <f>+AVERAGE(AI37:AI39)</f>
        <v>0.17499999999999999</v>
      </c>
      <c r="AJ36" s="169">
        <v>0.43</v>
      </c>
      <c r="AK36" s="169">
        <f>+AVERAGE(AK37:AK39)</f>
        <v>0.4956666666666667</v>
      </c>
      <c r="AL36" s="169">
        <f>+(AL37+AL38+AL39)*E36</f>
        <v>5.6250000000000007E-3</v>
      </c>
      <c r="AM36" s="169">
        <f>+(AM37+AM38+AM39)</f>
        <v>0.45749999999999996</v>
      </c>
      <c r="AN36" s="169">
        <f>+(AN37+AN38+AN39)</f>
        <v>0.52974999999999994</v>
      </c>
      <c r="AO36" s="163"/>
      <c r="AP36" s="163"/>
      <c r="AQ36" s="163"/>
      <c r="AR36" s="163"/>
      <c r="AS36" s="609"/>
      <c r="AT36" s="609"/>
      <c r="AU36" s="163"/>
      <c r="AV36" s="535"/>
    </row>
    <row r="37" spans="1:48" ht="67.2" customHeight="1" thickBot="1" x14ac:dyDescent="0.4">
      <c r="A37" s="264"/>
      <c r="B37" s="1480" t="s">
        <v>982</v>
      </c>
      <c r="C37" s="1480" t="s">
        <v>1184</v>
      </c>
      <c r="D37" s="266" t="s">
        <v>516</v>
      </c>
      <c r="E37" s="228">
        <v>0.5</v>
      </c>
      <c r="F37" s="226">
        <v>5</v>
      </c>
      <c r="G37" s="170">
        <v>1</v>
      </c>
      <c r="H37" s="170">
        <v>2</v>
      </c>
      <c r="I37" s="170">
        <v>1</v>
      </c>
      <c r="J37" s="176">
        <f>+G37/F37</f>
        <v>0.2</v>
      </c>
      <c r="K37" s="176">
        <f t="shared" ref="K37:K39" si="60">+H37/F37</f>
        <v>0.4</v>
      </c>
      <c r="L37" s="176">
        <f t="shared" ref="L37:L39" si="61">+I37/F37</f>
        <v>0.2</v>
      </c>
      <c r="M37" s="176">
        <f>+(G37/F37)*E37</f>
        <v>0.1</v>
      </c>
      <c r="N37" s="176">
        <f t="shared" si="19"/>
        <v>0.2</v>
      </c>
      <c r="O37" s="176"/>
      <c r="P37" s="170">
        <v>0.5</v>
      </c>
      <c r="Q37" s="541">
        <v>0.2</v>
      </c>
      <c r="R37" s="541">
        <v>0.97</v>
      </c>
      <c r="S37" s="541" t="s">
        <v>2417</v>
      </c>
      <c r="T37" s="541">
        <v>0.6</v>
      </c>
      <c r="U37" s="541">
        <v>0</v>
      </c>
      <c r="V37" s="206">
        <f t="shared" si="1"/>
        <v>2.1999999999999997</v>
      </c>
      <c r="W37" s="170">
        <f t="shared" ref="W37:W38" si="62">+V37+P37+AB37</f>
        <v>3.1599999999999997</v>
      </c>
      <c r="X37" s="541">
        <v>0.46</v>
      </c>
      <c r="Y37" s="170"/>
      <c r="Z37" s="170"/>
      <c r="AA37" s="170"/>
      <c r="AB37" s="170">
        <f t="shared" ref="AB37:AB39" si="63">+X37+Y37+Z37+AA37</f>
        <v>0.46</v>
      </c>
      <c r="AC37" s="194">
        <f>+(P37/G37)</f>
        <v>0.5</v>
      </c>
      <c r="AD37" s="194">
        <v>1</v>
      </c>
      <c r="AE37" s="194">
        <f t="shared" ref="AE37:AE39" si="64">+AB37/I37</f>
        <v>0.46</v>
      </c>
      <c r="AF37" s="194">
        <f>+AC37*E37</f>
        <v>0.25</v>
      </c>
      <c r="AG37" s="194">
        <f t="shared" ref="AG37:AG39" si="65">+AD37*E37</f>
        <v>0.5</v>
      </c>
      <c r="AH37" s="194">
        <f t="shared" ref="AH37:AH39" si="66">+AE37*E37</f>
        <v>0.23</v>
      </c>
      <c r="AI37" s="194">
        <f>+P37/F37</f>
        <v>0.1</v>
      </c>
      <c r="AJ37" s="194">
        <v>0.53999999999999992</v>
      </c>
      <c r="AK37" s="194">
        <f t="shared" ref="AK37:AK39" si="67">+W37/F37</f>
        <v>0.6319999999999999</v>
      </c>
      <c r="AL37" s="194">
        <f>+AI37*E37</f>
        <v>0.05</v>
      </c>
      <c r="AM37" s="176">
        <f>+AJ37*E37</f>
        <v>0.26999999999999996</v>
      </c>
      <c r="AN37" s="176">
        <f t="shared" ref="AN37:AN39" si="68">+AK37*E37</f>
        <v>0.31599999999999995</v>
      </c>
      <c r="AO37" s="247" t="s">
        <v>1852</v>
      </c>
      <c r="AP37" s="571" t="s">
        <v>1892</v>
      </c>
      <c r="AQ37" s="571" t="s">
        <v>2269</v>
      </c>
      <c r="AR37" s="571" t="s">
        <v>2288</v>
      </c>
      <c r="AS37" s="792" t="s">
        <v>2402</v>
      </c>
      <c r="AT37" s="792" t="s">
        <v>2438</v>
      </c>
      <c r="AU37" s="571" t="s">
        <v>2493</v>
      </c>
      <c r="AV37" s="571" t="s">
        <v>1893</v>
      </c>
    </row>
    <row r="38" spans="1:48" ht="67.2" customHeight="1" thickBot="1" x14ac:dyDescent="0.4">
      <c r="A38" s="264"/>
      <c r="B38" s="1480" t="s">
        <v>983</v>
      </c>
      <c r="C38" s="1480" t="s">
        <v>1185</v>
      </c>
      <c r="D38" s="266" t="s">
        <v>516</v>
      </c>
      <c r="E38" s="228">
        <v>0.25</v>
      </c>
      <c r="F38" s="226">
        <v>2</v>
      </c>
      <c r="G38" s="170">
        <v>0.5</v>
      </c>
      <c r="H38" s="170">
        <v>0.5</v>
      </c>
      <c r="I38" s="170">
        <v>0.5</v>
      </c>
      <c r="J38" s="176">
        <f>+G38/F38</f>
        <v>0.25</v>
      </c>
      <c r="K38" s="176">
        <f t="shared" si="60"/>
        <v>0.25</v>
      </c>
      <c r="L38" s="176">
        <f t="shared" si="61"/>
        <v>0.25</v>
      </c>
      <c r="M38" s="176">
        <f>+(G38/F38)*E38</f>
        <v>6.25E-2</v>
      </c>
      <c r="N38" s="176">
        <f t="shared" si="19"/>
        <v>6.25E-2</v>
      </c>
      <c r="O38" s="176"/>
      <c r="P38" s="170">
        <v>0.5</v>
      </c>
      <c r="Q38" s="541">
        <v>0</v>
      </c>
      <c r="R38" s="541">
        <v>0.14099999999999999</v>
      </c>
      <c r="S38" s="541">
        <v>0.20899999999999999</v>
      </c>
      <c r="T38" s="541">
        <v>0.1</v>
      </c>
      <c r="U38" s="541">
        <v>0.05</v>
      </c>
      <c r="V38" s="170">
        <f t="shared" si="1"/>
        <v>0.49999999999999994</v>
      </c>
      <c r="W38" s="170">
        <f t="shared" si="62"/>
        <v>1.0900000000000001</v>
      </c>
      <c r="X38" s="541">
        <v>0.09</v>
      </c>
      <c r="Y38" s="170"/>
      <c r="Z38" s="170"/>
      <c r="AA38" s="170"/>
      <c r="AB38" s="170">
        <f t="shared" si="63"/>
        <v>0.09</v>
      </c>
      <c r="AC38" s="194">
        <f>+(P38/G38)</f>
        <v>1</v>
      </c>
      <c r="AD38" s="194">
        <f t="shared" ref="AD38:AD39" si="69">+V38/H38</f>
        <v>0.99999999999999989</v>
      </c>
      <c r="AE38" s="194">
        <f t="shared" si="64"/>
        <v>0.18</v>
      </c>
      <c r="AF38" s="194">
        <f>+AC38*E38</f>
        <v>0.25</v>
      </c>
      <c r="AG38" s="194">
        <f t="shared" si="65"/>
        <v>0.24999999999999997</v>
      </c>
      <c r="AH38" s="194">
        <f t="shared" si="66"/>
        <v>4.4999999999999998E-2</v>
      </c>
      <c r="AI38" s="194">
        <f>+P38/F38</f>
        <v>0.25</v>
      </c>
      <c r="AJ38" s="194">
        <v>0.5</v>
      </c>
      <c r="AK38" s="194">
        <f t="shared" si="67"/>
        <v>0.54500000000000004</v>
      </c>
      <c r="AL38" s="194">
        <f>+AI38*E38</f>
        <v>6.25E-2</v>
      </c>
      <c r="AM38" s="176">
        <f>+AJ38*E38</f>
        <v>0.125</v>
      </c>
      <c r="AN38" s="176">
        <f t="shared" si="68"/>
        <v>0.13625000000000001</v>
      </c>
      <c r="AO38" s="247" t="s">
        <v>1852</v>
      </c>
      <c r="AP38" s="571" t="s">
        <v>1892</v>
      </c>
      <c r="AQ38" s="571" t="s">
        <v>2269</v>
      </c>
      <c r="AR38" s="571" t="s">
        <v>2288</v>
      </c>
      <c r="AS38" s="792" t="s">
        <v>2402</v>
      </c>
      <c r="AT38" s="792" t="s">
        <v>2438</v>
      </c>
      <c r="AU38" s="571" t="s">
        <v>2493</v>
      </c>
      <c r="AV38" s="571" t="s">
        <v>1893</v>
      </c>
    </row>
    <row r="39" spans="1:48" ht="118.2" customHeight="1" thickBot="1" x14ac:dyDescent="0.4">
      <c r="A39" s="264"/>
      <c r="B39" s="1480" t="s">
        <v>984</v>
      </c>
      <c r="C39" s="1480" t="s">
        <v>1186</v>
      </c>
      <c r="D39" s="266" t="s">
        <v>516</v>
      </c>
      <c r="E39" s="228">
        <v>0.25</v>
      </c>
      <c r="F39" s="226">
        <v>1</v>
      </c>
      <c r="G39" s="170">
        <v>0</v>
      </c>
      <c r="H39" s="170">
        <v>0.34</v>
      </c>
      <c r="I39" s="170">
        <v>0.5</v>
      </c>
      <c r="J39" s="176"/>
      <c r="K39" s="176">
        <f t="shared" si="60"/>
        <v>0.34</v>
      </c>
      <c r="L39" s="176">
        <f t="shared" si="61"/>
        <v>0.5</v>
      </c>
      <c r="M39" s="176"/>
      <c r="N39" s="176">
        <f t="shared" si="19"/>
        <v>8.5000000000000006E-2</v>
      </c>
      <c r="O39" s="176"/>
      <c r="P39" s="170"/>
      <c r="Q39" s="541">
        <v>0</v>
      </c>
      <c r="R39" s="541">
        <v>7.0000000000000007E-2</v>
      </c>
      <c r="S39" s="541">
        <v>0.08</v>
      </c>
      <c r="T39" s="541">
        <v>0.1</v>
      </c>
      <c r="U39" s="541">
        <v>0</v>
      </c>
      <c r="V39" s="170">
        <f t="shared" si="1"/>
        <v>0.25</v>
      </c>
      <c r="W39" s="170">
        <f>+V39+P39+AB39</f>
        <v>0.31</v>
      </c>
      <c r="X39" s="541">
        <v>0.06</v>
      </c>
      <c r="Y39" s="170"/>
      <c r="Z39" s="170"/>
      <c r="AA39" s="170"/>
      <c r="AB39" s="170">
        <f t="shared" si="63"/>
        <v>0.06</v>
      </c>
      <c r="AC39" s="194"/>
      <c r="AD39" s="194">
        <f t="shared" si="69"/>
        <v>0.73529411764705876</v>
      </c>
      <c r="AE39" s="194">
        <f t="shared" si="64"/>
        <v>0.12</v>
      </c>
      <c r="AF39" s="194"/>
      <c r="AG39" s="194">
        <f t="shared" si="65"/>
        <v>0.18382352941176469</v>
      </c>
      <c r="AH39" s="194">
        <f t="shared" si="66"/>
        <v>0.03</v>
      </c>
      <c r="AI39" s="194"/>
      <c r="AJ39" s="194">
        <v>0.25</v>
      </c>
      <c r="AK39" s="194">
        <f t="shared" si="67"/>
        <v>0.31</v>
      </c>
      <c r="AL39" s="194"/>
      <c r="AM39" s="176">
        <f>+AJ39*E39</f>
        <v>6.25E-2</v>
      </c>
      <c r="AN39" s="176">
        <f t="shared" si="68"/>
        <v>7.7499999999999999E-2</v>
      </c>
      <c r="AO39" s="247" t="s">
        <v>1852</v>
      </c>
      <c r="AP39" s="588" t="s">
        <v>1919</v>
      </c>
      <c r="AQ39" s="571" t="s">
        <v>2269</v>
      </c>
      <c r="AR39" s="588" t="s">
        <v>2307</v>
      </c>
      <c r="AS39" s="792" t="s">
        <v>2402</v>
      </c>
      <c r="AT39" s="792" t="s">
        <v>2438</v>
      </c>
      <c r="AU39" s="571" t="s">
        <v>2493</v>
      </c>
      <c r="AV39" s="571" t="s">
        <v>1893</v>
      </c>
    </row>
    <row r="40" spans="1:48" ht="67.2" customHeight="1" thickBot="1" x14ac:dyDescent="0.4">
      <c r="A40" s="264"/>
      <c r="B40" s="1580" t="s">
        <v>1761</v>
      </c>
      <c r="C40" s="1562"/>
      <c r="D40" s="266"/>
      <c r="E40" s="232">
        <v>0.05</v>
      </c>
      <c r="F40" s="216"/>
      <c r="G40" s="163"/>
      <c r="H40" s="163"/>
      <c r="I40" s="163"/>
      <c r="J40" s="169"/>
      <c r="K40" s="169">
        <f>+AVERAGE(K41:K42)</f>
        <v>0</v>
      </c>
      <c r="L40" s="169">
        <f>+AVERAGE(L41:L42)</f>
        <v>0.5</v>
      </c>
      <c r="M40" s="169"/>
      <c r="N40" s="169">
        <f>+N41+N42</f>
        <v>0</v>
      </c>
      <c r="O40" s="169"/>
      <c r="P40" s="168"/>
      <c r="Q40" s="168"/>
      <c r="R40" s="168"/>
      <c r="S40" s="168"/>
      <c r="T40" s="168"/>
      <c r="U40" s="987"/>
      <c r="V40" s="170"/>
      <c r="W40" s="168"/>
      <c r="X40" s="168"/>
      <c r="Y40" s="168"/>
      <c r="Z40" s="168"/>
      <c r="AA40" s="168"/>
      <c r="AB40" s="168"/>
      <c r="AC40" s="192"/>
      <c r="AD40" s="192"/>
      <c r="AE40" s="192">
        <f>+AVERAGE(AE41:AE42)</f>
        <v>0</v>
      </c>
      <c r="AF40" s="192"/>
      <c r="AG40" s="192">
        <f>+(AG41+AG42)*E40</f>
        <v>0</v>
      </c>
      <c r="AH40" s="192">
        <f>+(AH41+AH42)*E40</f>
        <v>0</v>
      </c>
      <c r="AI40" s="169"/>
      <c r="AJ40" s="169">
        <v>0.05</v>
      </c>
      <c r="AK40" s="169">
        <f>+AVERAGE(AK41:AK42)</f>
        <v>0.05</v>
      </c>
      <c r="AL40" s="169"/>
      <c r="AM40" s="169">
        <f>+(AM41+AM42)</f>
        <v>0.05</v>
      </c>
      <c r="AN40" s="169">
        <f>+(AN41+AN42)</f>
        <v>0.05</v>
      </c>
      <c r="AO40" s="163"/>
      <c r="AP40" s="163"/>
      <c r="AQ40" s="163"/>
      <c r="AR40" s="163"/>
      <c r="AS40" s="609"/>
      <c r="AT40" s="609"/>
      <c r="AU40" s="163"/>
      <c r="AV40" s="535"/>
    </row>
    <row r="41" spans="1:48" ht="103.2" customHeight="1" thickBot="1" x14ac:dyDescent="0.4">
      <c r="A41" s="264"/>
      <c r="B41" s="1480" t="s">
        <v>985</v>
      </c>
      <c r="C41" s="1480" t="s">
        <v>1187</v>
      </c>
      <c r="D41" s="266" t="s">
        <v>1550</v>
      </c>
      <c r="E41" s="228">
        <v>0.5</v>
      </c>
      <c r="F41" s="226">
        <v>1</v>
      </c>
      <c r="G41" s="170">
        <v>0</v>
      </c>
      <c r="H41" s="170">
        <v>0</v>
      </c>
      <c r="I41" s="170">
        <v>0.5</v>
      </c>
      <c r="J41" s="176"/>
      <c r="K41" s="176">
        <f t="shared" ref="K41:K42" si="70">+H41/F41</f>
        <v>0</v>
      </c>
      <c r="L41" s="176">
        <f t="shared" ref="L41:L42" si="71">+I41/F41</f>
        <v>0.5</v>
      </c>
      <c r="M41" s="176"/>
      <c r="N41" s="176">
        <f t="shared" si="19"/>
        <v>0</v>
      </c>
      <c r="O41" s="176"/>
      <c r="P41" s="170"/>
      <c r="Q41" s="541"/>
      <c r="R41" s="541">
        <v>0.1</v>
      </c>
      <c r="S41" s="541">
        <v>0</v>
      </c>
      <c r="T41" s="541">
        <v>0</v>
      </c>
      <c r="U41" s="541">
        <v>0</v>
      </c>
      <c r="V41" s="170">
        <f t="shared" si="1"/>
        <v>0.1</v>
      </c>
      <c r="W41" s="170">
        <f>+V41+P41+AB41</f>
        <v>0.1</v>
      </c>
      <c r="X41" s="170">
        <v>0</v>
      </c>
      <c r="Y41" s="170"/>
      <c r="Z41" s="170"/>
      <c r="AA41" s="170"/>
      <c r="AB41" s="170">
        <f t="shared" ref="AB41:AB42" si="72">+X41+Y41+Z41+AA41</f>
        <v>0</v>
      </c>
      <c r="AC41" s="194"/>
      <c r="AD41" s="194"/>
      <c r="AE41" s="194">
        <f>+AB41/I41</f>
        <v>0</v>
      </c>
      <c r="AF41" s="194"/>
      <c r="AG41" s="194">
        <f t="shared" ref="AG41:AG42" si="73">+AD41*E41</f>
        <v>0</v>
      </c>
      <c r="AH41" s="194">
        <f t="shared" ref="AH41:AH42" si="74">+AE41*E41</f>
        <v>0</v>
      </c>
      <c r="AI41" s="194"/>
      <c r="AJ41" s="194">
        <v>0.1</v>
      </c>
      <c r="AK41" s="194">
        <f t="shared" ref="AK41:AK42" si="75">+W41/F41</f>
        <v>0.1</v>
      </c>
      <c r="AL41" s="176"/>
      <c r="AM41" s="176">
        <f>+AJ41*E41</f>
        <v>0.05</v>
      </c>
      <c r="AN41" s="176">
        <f t="shared" ref="AN41:AN42" si="76">+AK41*E41</f>
        <v>0.05</v>
      </c>
      <c r="AO41" s="247" t="s">
        <v>1852</v>
      </c>
      <c r="AP41" s="644" t="s">
        <v>1951</v>
      </c>
      <c r="AQ41" s="779"/>
      <c r="AR41" s="571" t="s">
        <v>2288</v>
      </c>
      <c r="AS41" s="784" t="s">
        <v>2384</v>
      </c>
      <c r="AT41" s="792" t="s">
        <v>2438</v>
      </c>
      <c r="AU41" s="571" t="s">
        <v>2493</v>
      </c>
      <c r="AV41" s="571" t="s">
        <v>1893</v>
      </c>
    </row>
    <row r="42" spans="1:48" ht="85.2" customHeight="1" thickBot="1" x14ac:dyDescent="0.4">
      <c r="A42" s="264"/>
      <c r="B42" s="1480" t="s">
        <v>986</v>
      </c>
      <c r="C42" s="1480" t="s">
        <v>1188</v>
      </c>
      <c r="D42" s="266" t="s">
        <v>1550</v>
      </c>
      <c r="E42" s="228">
        <v>0.5</v>
      </c>
      <c r="F42" s="226">
        <v>1</v>
      </c>
      <c r="G42" s="170">
        <v>0</v>
      </c>
      <c r="H42" s="170">
        <v>0</v>
      </c>
      <c r="I42" s="170">
        <v>0.5</v>
      </c>
      <c r="J42" s="176"/>
      <c r="K42" s="176">
        <f t="shared" si="70"/>
        <v>0</v>
      </c>
      <c r="L42" s="176">
        <f t="shared" si="71"/>
        <v>0.5</v>
      </c>
      <c r="M42" s="176"/>
      <c r="N42" s="176">
        <f t="shared" si="19"/>
        <v>0</v>
      </c>
      <c r="O42" s="176"/>
      <c r="P42" s="170"/>
      <c r="Q42" s="541"/>
      <c r="R42" s="541">
        <v>0</v>
      </c>
      <c r="S42" s="541">
        <v>0</v>
      </c>
      <c r="T42" s="541">
        <v>0</v>
      </c>
      <c r="U42" s="541">
        <v>0</v>
      </c>
      <c r="V42" s="170">
        <f t="shared" si="1"/>
        <v>0</v>
      </c>
      <c r="W42" s="170">
        <f>+V42+P42+AB42</f>
        <v>0</v>
      </c>
      <c r="X42" s="170">
        <v>0</v>
      </c>
      <c r="Y42" s="170"/>
      <c r="Z42" s="170"/>
      <c r="AA42" s="170"/>
      <c r="AB42" s="170">
        <f t="shared" si="72"/>
        <v>0</v>
      </c>
      <c r="AC42" s="194"/>
      <c r="AD42" s="194"/>
      <c r="AE42" s="194">
        <f t="shared" ref="AE42" si="77">+AB42/I42</f>
        <v>0</v>
      </c>
      <c r="AF42" s="194"/>
      <c r="AG42" s="194">
        <f t="shared" si="73"/>
        <v>0</v>
      </c>
      <c r="AH42" s="194">
        <f t="shared" si="74"/>
        <v>0</v>
      </c>
      <c r="AI42" s="194"/>
      <c r="AJ42" s="194">
        <v>0</v>
      </c>
      <c r="AK42" s="194">
        <f t="shared" si="75"/>
        <v>0</v>
      </c>
      <c r="AL42" s="176"/>
      <c r="AM42" s="176">
        <f>+AJ42*E42</f>
        <v>0</v>
      </c>
      <c r="AN42" s="176">
        <f t="shared" si="76"/>
        <v>0</v>
      </c>
      <c r="AO42" s="247" t="s">
        <v>1852</v>
      </c>
      <c r="AP42" s="644" t="s">
        <v>1951</v>
      </c>
      <c r="AQ42" s="779"/>
      <c r="AR42" s="571" t="s">
        <v>2288</v>
      </c>
      <c r="AS42" s="784" t="s">
        <v>2384</v>
      </c>
      <c r="AT42" s="792" t="s">
        <v>2438</v>
      </c>
      <c r="AU42" s="571" t="s">
        <v>2493</v>
      </c>
      <c r="AV42" s="571" t="s">
        <v>1893</v>
      </c>
    </row>
    <row r="43" spans="1:48" ht="67.2" customHeight="1" thickBot="1" x14ac:dyDescent="0.4">
      <c r="A43" s="264"/>
      <c r="B43" s="1580" t="s">
        <v>1762</v>
      </c>
      <c r="C43" s="1562"/>
      <c r="D43" s="266"/>
      <c r="E43" s="232">
        <v>0.15</v>
      </c>
      <c r="F43" s="216"/>
      <c r="G43" s="163"/>
      <c r="H43" s="163"/>
      <c r="I43" s="163"/>
      <c r="J43" s="169">
        <f>+AVERAGE(J44:J47)</f>
        <v>0.16773431223397892</v>
      </c>
      <c r="K43" s="169">
        <f>+AVERAGE(K44:K47)</f>
        <v>0.17788406750881749</v>
      </c>
      <c r="L43" s="169">
        <f>+AVERAGE(L44:L47)</f>
        <v>0.19925122362580694</v>
      </c>
      <c r="M43" s="169">
        <f>+M44+M45+M46+M47</f>
        <v>8.4187449787183122E-2</v>
      </c>
      <c r="N43" s="169">
        <f>+N44+N45+N46+N47</f>
        <v>0.20128117468077469</v>
      </c>
      <c r="O43" s="169"/>
      <c r="P43" s="168"/>
      <c r="Q43" s="168"/>
      <c r="R43" s="168"/>
      <c r="S43" s="168"/>
      <c r="T43" s="168"/>
      <c r="U43" s="987"/>
      <c r="V43" s="170"/>
      <c r="W43" s="168"/>
      <c r="X43" s="168"/>
      <c r="Y43" s="168"/>
      <c r="Z43" s="168"/>
      <c r="AA43" s="168"/>
      <c r="AB43" s="168"/>
      <c r="AC43" s="192">
        <f>+AVERAGE(AC44:AC47)</f>
        <v>1</v>
      </c>
      <c r="AD43" s="192">
        <f>+AVERAGE(AD44:AD47)</f>
        <v>0.86077777777777786</v>
      </c>
      <c r="AE43" s="192">
        <f>+AVERAGE(AE44:AE47)</f>
        <v>4.6520000000000006E-2</v>
      </c>
      <c r="AF43" s="192">
        <f>+(AF44+AF45+AF46+AF47)*E43</f>
        <v>9.0000000000000011E-2</v>
      </c>
      <c r="AG43" s="192">
        <f>+(AG44+AG45+AG46+AG47)*E43</f>
        <v>0.11279</v>
      </c>
      <c r="AH43" s="192">
        <f>+(AH44+AH45+AH46+AH47)*E43</f>
        <v>6.8736000000000005E-3</v>
      </c>
      <c r="AI43" s="169">
        <f>+AVERAGE(AI44:AI47)</f>
        <v>0.17321025512854482</v>
      </c>
      <c r="AJ43" s="169">
        <v>0.24135897792580469</v>
      </c>
      <c r="AK43" s="169">
        <f>+AVERAGE(AK44:AK47)</f>
        <v>0.2601388563324416</v>
      </c>
      <c r="AL43" s="169">
        <f>+(AL44+AL45+AL46+AL47)*E43</f>
        <v>1.3285230615425379E-2</v>
      </c>
      <c r="AM43" s="169">
        <f>+(AM44+AM45+AM46+AM47)</f>
        <v>0.25917436468128752</v>
      </c>
      <c r="AN43" s="169">
        <f>+(AN44+AN45+AN46+AN47)</f>
        <v>0.28255550346523994</v>
      </c>
      <c r="AO43" s="163"/>
      <c r="AP43" s="163"/>
      <c r="AQ43" s="163"/>
      <c r="AR43" s="163"/>
      <c r="AS43" s="609"/>
      <c r="AT43" s="609"/>
      <c r="AU43" s="163"/>
      <c r="AV43" s="535"/>
    </row>
    <row r="44" spans="1:48" ht="95.4" customHeight="1" thickBot="1" x14ac:dyDescent="0.4">
      <c r="A44" s="264"/>
      <c r="B44" s="1504" t="s">
        <v>987</v>
      </c>
      <c r="C44" s="1504" t="s">
        <v>1189</v>
      </c>
      <c r="D44" s="266" t="s">
        <v>48</v>
      </c>
      <c r="E44" s="228">
        <v>0.3</v>
      </c>
      <c r="F44" s="226">
        <v>3</v>
      </c>
      <c r="G44" s="170">
        <v>0</v>
      </c>
      <c r="H44" s="170">
        <v>1</v>
      </c>
      <c r="I44" s="170">
        <v>1</v>
      </c>
      <c r="J44" s="176"/>
      <c r="K44" s="176">
        <f t="shared" ref="K44:K47" si="78">+H44/F44</f>
        <v>0.33333333333333331</v>
      </c>
      <c r="L44" s="176">
        <f t="shared" ref="L44:L47" si="79">+I44/F44</f>
        <v>0.33333333333333331</v>
      </c>
      <c r="M44" s="176"/>
      <c r="N44" s="176">
        <f t="shared" si="19"/>
        <v>9.9999999999999992E-2</v>
      </c>
      <c r="O44" s="176"/>
      <c r="P44" s="170"/>
      <c r="Q44" s="541">
        <v>0</v>
      </c>
      <c r="R44" s="541">
        <v>0</v>
      </c>
      <c r="S44" s="541">
        <v>0.56999999999999995</v>
      </c>
      <c r="T44" s="541">
        <v>0.24</v>
      </c>
      <c r="U44" s="541">
        <v>0</v>
      </c>
      <c r="V44" s="170">
        <f t="shared" si="1"/>
        <v>0.80999999999999994</v>
      </c>
      <c r="W44" s="647">
        <f>+V44+P44+AB44+0.1</f>
        <v>1.01</v>
      </c>
      <c r="X44" s="541">
        <v>0.1</v>
      </c>
      <c r="Y44" s="170"/>
      <c r="Z44" s="170"/>
      <c r="AA44" s="170"/>
      <c r="AB44" s="170">
        <f t="shared" ref="AB44:AB47" si="80">+X44+Y44+Z44+AA44</f>
        <v>0.1</v>
      </c>
      <c r="AC44" s="194"/>
      <c r="AD44" s="194">
        <f t="shared" ref="AD44:AD46" si="81">+V44/H44</f>
        <v>0.80999999999999994</v>
      </c>
      <c r="AE44" s="194">
        <f t="shared" ref="AE44:AE46" si="82">+AB44/I44</f>
        <v>0.1</v>
      </c>
      <c r="AF44" s="194"/>
      <c r="AG44" s="194">
        <f t="shared" ref="AG44:AG46" si="83">+AD44*E44</f>
        <v>0.24299999999999997</v>
      </c>
      <c r="AH44" s="194">
        <f t="shared" ref="AH44:AH47" si="84">+AE44*E44</f>
        <v>0.03</v>
      </c>
      <c r="AI44" s="194"/>
      <c r="AJ44" s="194">
        <v>0.26999999999999996</v>
      </c>
      <c r="AK44" s="194">
        <f t="shared" ref="AK44:AK47" si="85">+W44/F44</f>
        <v>0.33666666666666667</v>
      </c>
      <c r="AL44" s="176"/>
      <c r="AM44" s="176">
        <f>+AJ44*E44</f>
        <v>8.0999999999999989E-2</v>
      </c>
      <c r="AN44" s="176">
        <f t="shared" ref="AN44:AN47" si="86">+AK44*E44</f>
        <v>0.10099999999999999</v>
      </c>
      <c r="AO44" s="247" t="s">
        <v>1852</v>
      </c>
      <c r="AP44" s="588" t="s">
        <v>1919</v>
      </c>
      <c r="AQ44" s="571" t="s">
        <v>2269</v>
      </c>
      <c r="AR44" s="571" t="s">
        <v>2288</v>
      </c>
      <c r="AS44" s="792" t="s">
        <v>2402</v>
      </c>
      <c r="AT44" s="792" t="s">
        <v>2438</v>
      </c>
      <c r="AU44" s="571" t="s">
        <v>2493</v>
      </c>
      <c r="AV44" s="571" t="s">
        <v>1893</v>
      </c>
    </row>
    <row r="45" spans="1:48" ht="67.2" customHeight="1" thickBot="1" x14ac:dyDescent="0.4">
      <c r="A45" s="264"/>
      <c r="B45" s="1504" t="s">
        <v>988</v>
      </c>
      <c r="C45" s="1504" t="s">
        <v>1190</v>
      </c>
      <c r="D45" s="266" t="s">
        <v>48</v>
      </c>
      <c r="E45" s="228">
        <v>0.2</v>
      </c>
      <c r="F45" s="226">
        <v>1</v>
      </c>
      <c r="G45" s="170">
        <v>0.25</v>
      </c>
      <c r="H45" s="170">
        <v>0.25</v>
      </c>
      <c r="I45" s="170">
        <v>0.25</v>
      </c>
      <c r="J45" s="176">
        <f>+G45/F45</f>
        <v>0.25</v>
      </c>
      <c r="K45" s="176">
        <f t="shared" si="78"/>
        <v>0.25</v>
      </c>
      <c r="L45" s="176">
        <f t="shared" si="79"/>
        <v>0.25</v>
      </c>
      <c r="M45" s="176">
        <f>+(G45/F45)*E45</f>
        <v>0.05</v>
      </c>
      <c r="N45" s="176">
        <f t="shared" si="19"/>
        <v>0.05</v>
      </c>
      <c r="O45" s="176"/>
      <c r="P45" s="541">
        <v>0.25</v>
      </c>
      <c r="Q45" s="541">
        <v>0.04</v>
      </c>
      <c r="R45" s="541">
        <v>0.21</v>
      </c>
      <c r="S45" s="541">
        <v>0</v>
      </c>
      <c r="T45" s="541">
        <v>0</v>
      </c>
      <c r="U45" s="541">
        <v>0</v>
      </c>
      <c r="V45" s="170">
        <f t="shared" si="1"/>
        <v>0.25</v>
      </c>
      <c r="W45" s="170">
        <f t="shared" ref="W45:W46" si="87">+V45+P45+AB45</f>
        <v>0.5</v>
      </c>
      <c r="X45" s="541">
        <v>0</v>
      </c>
      <c r="Y45" s="170"/>
      <c r="Z45" s="170"/>
      <c r="AA45" s="170"/>
      <c r="AB45" s="170">
        <f t="shared" si="80"/>
        <v>0</v>
      </c>
      <c r="AC45" s="194">
        <f>+(P45/G45)</f>
        <v>1</v>
      </c>
      <c r="AD45" s="194">
        <f t="shared" si="81"/>
        <v>1</v>
      </c>
      <c r="AE45" s="194">
        <f t="shared" si="82"/>
        <v>0</v>
      </c>
      <c r="AF45" s="194">
        <f>+AC45*E45</f>
        <v>0.2</v>
      </c>
      <c r="AG45" s="194">
        <f t="shared" si="83"/>
        <v>0.2</v>
      </c>
      <c r="AH45" s="194">
        <f>+AE45*E45</f>
        <v>0</v>
      </c>
      <c r="AI45" s="194">
        <f>+P45/F45</f>
        <v>0.25</v>
      </c>
      <c r="AJ45" s="194">
        <v>0.5</v>
      </c>
      <c r="AK45" s="194">
        <f t="shared" si="85"/>
        <v>0.5</v>
      </c>
      <c r="AL45" s="176">
        <f>+AI45*E45</f>
        <v>0.05</v>
      </c>
      <c r="AM45" s="176">
        <f>+AJ45*E45</f>
        <v>0.1</v>
      </c>
      <c r="AN45" s="176">
        <f t="shared" si="86"/>
        <v>0.1</v>
      </c>
      <c r="AO45" s="247" t="s">
        <v>1852</v>
      </c>
      <c r="AP45" s="571" t="s">
        <v>1892</v>
      </c>
      <c r="AQ45" s="571" t="s">
        <v>2269</v>
      </c>
      <c r="AR45" s="571" t="s">
        <v>2288</v>
      </c>
      <c r="AS45" s="792" t="s">
        <v>2402</v>
      </c>
      <c r="AT45" s="792" t="s">
        <v>2438</v>
      </c>
      <c r="AU45" s="571" t="s">
        <v>2493</v>
      </c>
      <c r="AV45" s="571" t="s">
        <v>1893</v>
      </c>
    </row>
    <row r="46" spans="1:48" ht="67.2" customHeight="1" thickBot="1" x14ac:dyDescent="0.4">
      <c r="A46" s="264"/>
      <c r="B46" s="1504" t="s">
        <v>989</v>
      </c>
      <c r="C46" s="1504" t="s">
        <v>1191</v>
      </c>
      <c r="D46" s="266" t="s">
        <v>48</v>
      </c>
      <c r="E46" s="228">
        <v>0.4</v>
      </c>
      <c r="F46" s="275">
        <v>117002000000</v>
      </c>
      <c r="G46" s="249">
        <v>10000000000</v>
      </c>
      <c r="H46" s="249">
        <v>15000000000</v>
      </c>
      <c r="I46" s="249">
        <v>25000000000</v>
      </c>
      <c r="J46" s="176">
        <f>+G46/F46</f>
        <v>8.5468624467957818E-2</v>
      </c>
      <c r="K46" s="176">
        <f t="shared" si="78"/>
        <v>0.12820293670193672</v>
      </c>
      <c r="L46" s="176">
        <f>+I46/F46</f>
        <v>0.21367156116989452</v>
      </c>
      <c r="M46" s="176">
        <f>+(G46/F46)*E46</f>
        <v>3.4187449787183126E-2</v>
      </c>
      <c r="N46" s="176">
        <f t="shared" si="19"/>
        <v>5.1281174680774692E-2</v>
      </c>
      <c r="O46" s="176"/>
      <c r="P46" s="544">
        <v>11281392541.1</v>
      </c>
      <c r="Q46" s="544">
        <v>1551000000</v>
      </c>
      <c r="R46" s="544">
        <v>4063000000</v>
      </c>
      <c r="S46" s="544">
        <v>2564000000</v>
      </c>
      <c r="T46" s="544">
        <v>1832000000</v>
      </c>
      <c r="U46" s="544">
        <v>1575000000</v>
      </c>
      <c r="V46" s="249">
        <f t="shared" si="1"/>
        <v>11585000000</v>
      </c>
      <c r="W46" s="170">
        <f t="shared" si="87"/>
        <v>23855392541.099998</v>
      </c>
      <c r="X46" s="544">
        <v>989000000</v>
      </c>
      <c r="Y46" s="249"/>
      <c r="Z46" s="249"/>
      <c r="AA46" s="249"/>
      <c r="AB46" s="170">
        <f t="shared" si="80"/>
        <v>989000000</v>
      </c>
      <c r="AC46" s="194">
        <v>1</v>
      </c>
      <c r="AD46" s="194">
        <f t="shared" si="81"/>
        <v>0.77233333333333332</v>
      </c>
      <c r="AE46" s="194">
        <f t="shared" si="82"/>
        <v>3.9559999999999998E-2</v>
      </c>
      <c r="AF46" s="194">
        <f>+AC46*E46</f>
        <v>0.4</v>
      </c>
      <c r="AG46" s="194">
        <f t="shared" si="83"/>
        <v>0.30893333333333334</v>
      </c>
      <c r="AH46" s="194">
        <f t="shared" si="84"/>
        <v>1.5824000000000001E-2</v>
      </c>
      <c r="AI46" s="194">
        <f>+P46/F46</f>
        <v>9.6420510257089628E-2</v>
      </c>
      <c r="AJ46" s="194">
        <v>0.19543591170321872</v>
      </c>
      <c r="AK46" s="194">
        <f t="shared" si="85"/>
        <v>0.20388875866309977</v>
      </c>
      <c r="AL46" s="176">
        <f>+AI46*E46</f>
        <v>3.8568204102835853E-2</v>
      </c>
      <c r="AM46" s="176">
        <f>+AJ46*E46</f>
        <v>7.8174364681287495E-2</v>
      </c>
      <c r="AN46" s="176">
        <f t="shared" si="86"/>
        <v>8.1555503465239917E-2</v>
      </c>
      <c r="AO46" s="247" t="s">
        <v>1852</v>
      </c>
      <c r="AP46" s="571" t="s">
        <v>1892</v>
      </c>
      <c r="AQ46" s="571" t="s">
        <v>2269</v>
      </c>
      <c r="AR46" s="571" t="s">
        <v>2288</v>
      </c>
      <c r="AS46" s="784" t="s">
        <v>2368</v>
      </c>
      <c r="AT46" s="792" t="s">
        <v>2438</v>
      </c>
      <c r="AU46" s="571" t="s">
        <v>2493</v>
      </c>
      <c r="AV46" s="571" t="s">
        <v>1893</v>
      </c>
    </row>
    <row r="47" spans="1:48" ht="93" customHeight="1" thickBot="1" x14ac:dyDescent="0.4">
      <c r="A47" s="264"/>
      <c r="B47" s="1504" t="s">
        <v>990</v>
      </c>
      <c r="C47" s="1504" t="s">
        <v>1192</v>
      </c>
      <c r="D47" s="266" t="s">
        <v>48</v>
      </c>
      <c r="E47" s="228">
        <v>0.1</v>
      </c>
      <c r="F47" s="226">
        <v>30</v>
      </c>
      <c r="G47" s="170">
        <v>0</v>
      </c>
      <c r="H47" s="170">
        <v>0</v>
      </c>
      <c r="I47" s="170">
        <v>0</v>
      </c>
      <c r="J47" s="176"/>
      <c r="K47" s="176">
        <f t="shared" si="78"/>
        <v>0</v>
      </c>
      <c r="L47" s="176">
        <f t="shared" si="79"/>
        <v>0</v>
      </c>
      <c r="M47" s="176"/>
      <c r="N47" s="176">
        <f t="shared" si="19"/>
        <v>0</v>
      </c>
      <c r="O47" s="176"/>
      <c r="P47" s="170"/>
      <c r="Q47" s="541"/>
      <c r="R47" s="541"/>
      <c r="S47" s="541"/>
      <c r="T47" s="541"/>
      <c r="U47" s="541"/>
      <c r="V47" s="170">
        <f t="shared" si="1"/>
        <v>0</v>
      </c>
      <c r="W47" s="170">
        <f>+V47+P47+AB47</f>
        <v>0</v>
      </c>
      <c r="X47" s="541"/>
      <c r="Y47" s="170"/>
      <c r="Z47" s="170"/>
      <c r="AA47" s="170"/>
      <c r="AB47" s="170">
        <f t="shared" si="80"/>
        <v>0</v>
      </c>
      <c r="AC47" s="176"/>
      <c r="AD47" s="176"/>
      <c r="AE47" s="176"/>
      <c r="AF47" s="176"/>
      <c r="AG47" s="176"/>
      <c r="AH47" s="176">
        <f t="shared" si="84"/>
        <v>0</v>
      </c>
      <c r="AI47" s="176"/>
      <c r="AJ47" s="194">
        <v>0</v>
      </c>
      <c r="AK47" s="194">
        <f t="shared" si="85"/>
        <v>0</v>
      </c>
      <c r="AL47" s="176"/>
      <c r="AM47" s="176">
        <f>+AJ47*E47</f>
        <v>0</v>
      </c>
      <c r="AN47" s="176">
        <f t="shared" si="86"/>
        <v>0</v>
      </c>
      <c r="AO47" s="247" t="s">
        <v>1852</v>
      </c>
      <c r="AP47" s="588" t="s">
        <v>1919</v>
      </c>
      <c r="AQ47" s="571" t="s">
        <v>2269</v>
      </c>
      <c r="AR47" s="571" t="s">
        <v>2288</v>
      </c>
      <c r="AS47" s="784" t="s">
        <v>2367</v>
      </c>
      <c r="AT47" s="792" t="s">
        <v>2438</v>
      </c>
      <c r="AU47" s="571" t="s">
        <v>2493</v>
      </c>
      <c r="AV47" s="571" t="s">
        <v>1893</v>
      </c>
    </row>
    <row r="48" spans="1:48" ht="89.4" customHeight="1" thickBot="1" x14ac:dyDescent="0.4">
      <c r="A48" s="264"/>
      <c r="B48" s="1576" t="s">
        <v>1826</v>
      </c>
      <c r="C48" s="1562"/>
      <c r="D48" s="266"/>
      <c r="E48" s="234">
        <v>0.2</v>
      </c>
      <c r="F48" s="267">
        <f>+E48*AF48</f>
        <v>0.18625993100110649</v>
      </c>
      <c r="G48" s="163"/>
      <c r="H48" s="267">
        <f>+E48*AG48</f>
        <v>0.19419076548026978</v>
      </c>
      <c r="I48" s="267">
        <f>+E48*AH48</f>
        <v>3.1927060300528595E-2</v>
      </c>
      <c r="J48" s="161">
        <f>+(J49+J55)</f>
        <v>0.22689134534516447</v>
      </c>
      <c r="K48" s="161">
        <f>+(K49+K55)/2</f>
        <v>0.2540275605253442</v>
      </c>
      <c r="L48" s="161">
        <f>+(L49+L55)/2</f>
        <v>0.31631974529991125</v>
      </c>
      <c r="M48" s="162">
        <f>+(M49+M55)</f>
        <v>0.22571301967260979</v>
      </c>
      <c r="N48" s="162">
        <f>+(N49+N55)/2</f>
        <v>0.25432469935214241</v>
      </c>
      <c r="O48" s="162"/>
      <c r="P48" s="163"/>
      <c r="Q48" s="163"/>
      <c r="R48" s="163"/>
      <c r="S48" s="163"/>
      <c r="T48" s="163"/>
      <c r="U48" s="215"/>
      <c r="V48" s="967"/>
      <c r="W48" s="163"/>
      <c r="X48" s="163"/>
      <c r="Y48" s="163"/>
      <c r="Z48" s="163"/>
      <c r="AA48" s="163"/>
      <c r="AB48" s="163"/>
      <c r="AC48" s="161">
        <f>+(AC49+AC55)</f>
        <v>0.99015771316080659</v>
      </c>
      <c r="AD48" s="161">
        <f>+(AD49+AD55)/2</f>
        <v>0.99113502988969038</v>
      </c>
      <c r="AE48" s="161">
        <f>+(AE49+AE55)/2</f>
        <v>0.40019861695551479</v>
      </c>
      <c r="AF48" s="162">
        <f>+AF49+AF55</f>
        <v>0.93129965500553247</v>
      </c>
      <c r="AG48" s="162">
        <f>+AG49+AG55</f>
        <v>0.97095382740134883</v>
      </c>
      <c r="AH48" s="162">
        <f>+AH49+AH55</f>
        <v>0.15963530150264296</v>
      </c>
      <c r="AI48" s="161">
        <f>(AI49+AI55)</f>
        <v>0.25580038172039926</v>
      </c>
      <c r="AJ48" s="161">
        <v>0.77712521124768763</v>
      </c>
      <c r="AK48" s="161">
        <f>(AK49+AK55)/2</f>
        <v>0.79732721065676904</v>
      </c>
      <c r="AL48" s="268">
        <f>(AL49+AL55)</f>
        <v>0.22738216072471779</v>
      </c>
      <c r="AM48" s="268">
        <f>(AM49*E49+AM55*E55)</f>
        <v>0.53668886120066794</v>
      </c>
      <c r="AN48" s="268">
        <f>(AN49*E49+AN55*E55)</f>
        <v>0.56985589212523613</v>
      </c>
      <c r="AO48" s="609"/>
      <c r="AP48" s="591" t="s">
        <v>1888</v>
      </c>
      <c r="AQ48" s="216"/>
      <c r="AR48" s="163"/>
      <c r="AS48" s="609"/>
      <c r="AT48" s="609"/>
      <c r="AU48" s="163"/>
      <c r="AV48" s="535"/>
    </row>
    <row r="49" spans="1:48" ht="67.2" customHeight="1" thickBot="1" x14ac:dyDescent="0.4">
      <c r="A49" s="264"/>
      <c r="B49" s="1580" t="s">
        <v>1763</v>
      </c>
      <c r="C49" s="1562"/>
      <c r="D49" s="266"/>
      <c r="E49" s="232">
        <v>0.95</v>
      </c>
      <c r="F49" s="216"/>
      <c r="G49" s="163"/>
      <c r="H49" s="163"/>
      <c r="I49" s="163"/>
      <c r="J49" s="169">
        <f>+AVERAGE(J50:J54)</f>
        <v>0.22689134534516447</v>
      </c>
      <c r="K49" s="169">
        <f>+AVERAGE(K50:K54)</f>
        <v>0.2580551210506884</v>
      </c>
      <c r="L49" s="169">
        <f>+AVERAGE(L50:L54)</f>
        <v>0.25763949059982244</v>
      </c>
      <c r="M49" s="169">
        <f>+M50+M51+M52+M53+M54</f>
        <v>0.22571301967260979</v>
      </c>
      <c r="N49" s="169">
        <f>+N50+N51+N52+N53+N54</f>
        <v>0.25864939870428477</v>
      </c>
      <c r="O49" s="169"/>
      <c r="P49" s="168"/>
      <c r="Q49" s="168"/>
      <c r="R49" s="168"/>
      <c r="S49" s="168"/>
      <c r="T49" s="168"/>
      <c r="U49" s="987"/>
      <c r="V49" s="170"/>
      <c r="W49" s="168"/>
      <c r="X49" s="168"/>
      <c r="Y49" s="168"/>
      <c r="Z49" s="168"/>
      <c r="AA49" s="168"/>
      <c r="AB49" s="168"/>
      <c r="AC49" s="192">
        <f>+AVERAGE(AC50:AC54)</f>
        <v>0.99015771316080659</v>
      </c>
      <c r="AD49" s="192">
        <f>+AVERAGE(AD50:AD54)</f>
        <v>0.98227005977938087</v>
      </c>
      <c r="AE49" s="192">
        <f>+AVERAGE(AE50:AE54)</f>
        <v>0.13373056724436294</v>
      </c>
      <c r="AF49" s="192">
        <f>+(AF50+AF51+AF52+AF53+AF54)*E49</f>
        <v>0.93129965500553247</v>
      </c>
      <c r="AG49" s="192">
        <f>+(AG50+AG51+AG52+AG53+AG54)*E49</f>
        <v>0.92095382740134879</v>
      </c>
      <c r="AH49" s="192">
        <f>+(AH50+AH51+AH52+AH53+AH54)*E49</f>
        <v>0.12630196816930964</v>
      </c>
      <c r="AI49" s="169">
        <f>+AVERAGE(AI50:AI54)</f>
        <v>0.25580038172039926</v>
      </c>
      <c r="AJ49" s="169">
        <v>0.55425042249537515</v>
      </c>
      <c r="AK49" s="169">
        <f>+AVERAGE(AK50:AK54)</f>
        <v>0.59465442131353807</v>
      </c>
      <c r="AL49" s="169">
        <f>+(AL50+AL51+AL52+AL53+AL54)*E49</f>
        <v>0.22738216072471779</v>
      </c>
      <c r="AM49" s="169">
        <f>+(AM50+AM51+AM52+AM53+AM54)</f>
        <v>0.51230406442175569</v>
      </c>
      <c r="AN49" s="169">
        <f>+(AN50+AN51+AN52+AN53+AN54)</f>
        <v>0.54721672855288006</v>
      </c>
      <c r="AO49" s="163"/>
      <c r="AP49" s="610"/>
      <c r="AQ49" s="163"/>
      <c r="AR49" s="793"/>
      <c r="AS49" s="609"/>
      <c r="AT49" s="609"/>
      <c r="AU49" s="163"/>
      <c r="AV49" s="535"/>
    </row>
    <row r="50" spans="1:48" ht="67.2" customHeight="1" thickBot="1" x14ac:dyDescent="0.4">
      <c r="A50" s="264"/>
      <c r="B50" s="1480" t="s">
        <v>991</v>
      </c>
      <c r="C50" s="1480" t="s">
        <v>1193</v>
      </c>
      <c r="D50" s="266" t="s">
        <v>683</v>
      </c>
      <c r="E50" s="228">
        <v>0.35</v>
      </c>
      <c r="F50" s="275">
        <v>1727905000000</v>
      </c>
      <c r="G50" s="249">
        <v>393165798563</v>
      </c>
      <c r="H50" s="249">
        <v>458399741720</v>
      </c>
      <c r="I50" s="249">
        <v>445787000000</v>
      </c>
      <c r="J50" s="176">
        <f>+G50/F50</f>
        <v>0.22753901317665035</v>
      </c>
      <c r="K50" s="176">
        <f t="shared" ref="K50:K56" si="88">+H50/F50</f>
        <v>0.26529221324088997</v>
      </c>
      <c r="L50" s="176">
        <f>+I50/F50</f>
        <v>0.25799277159334572</v>
      </c>
      <c r="M50" s="176">
        <f>+(G50/F50)*E50</f>
        <v>7.963865461182762E-2</v>
      </c>
      <c r="N50" s="176">
        <f t="shared" ref="N50:N56" si="89">+(H50/F50)*E50</f>
        <v>9.2852274634311491E-2</v>
      </c>
      <c r="O50" s="176"/>
      <c r="P50" s="249">
        <v>423913849857</v>
      </c>
      <c r="Q50" s="544">
        <v>215410301461</v>
      </c>
      <c r="R50" s="544">
        <v>115150898259</v>
      </c>
      <c r="S50" s="544">
        <v>42205839401</v>
      </c>
      <c r="T50" s="544">
        <v>72764098003</v>
      </c>
      <c r="U50" s="544">
        <f>99664865867-T50</f>
        <v>26900767864</v>
      </c>
      <c r="V50" s="544">
        <f t="shared" si="1"/>
        <v>472431904988</v>
      </c>
      <c r="W50" s="988">
        <f>+V50+P50+AB50</f>
        <v>991700613877</v>
      </c>
      <c r="X50" s="544">
        <v>95354859032</v>
      </c>
      <c r="Y50" s="988"/>
      <c r="Z50" s="988"/>
      <c r="AA50" s="988"/>
      <c r="AB50" s="170">
        <f t="shared" ref="AB50:AB54" si="90">+X50+Y50+Z50+AA50</f>
        <v>95354859032</v>
      </c>
      <c r="AC50" s="194">
        <v>1</v>
      </c>
      <c r="AD50" s="194">
        <v>1</v>
      </c>
      <c r="AE50" s="194">
        <f>+AB50/I50</f>
        <v>0.21390228748707343</v>
      </c>
      <c r="AF50" s="194">
        <f>+AC50*E50</f>
        <v>0.35</v>
      </c>
      <c r="AG50" s="194">
        <f t="shared" ref="AG50:AG54" si="91">+AD50*E50</f>
        <v>0.35</v>
      </c>
      <c r="AH50" s="194">
        <f t="shared" ref="AH50:AH54" si="92">+AE50*E50</f>
        <v>7.4865800620475695E-2</v>
      </c>
      <c r="AI50" s="194">
        <f>+P50/F50</f>
        <v>0.24533400265465982</v>
      </c>
      <c r="AJ50" s="194">
        <v>0.51874712721185479</v>
      </c>
      <c r="AK50" s="194">
        <f t="shared" ref="AK50:AK53" si="93">+W50/F50</f>
        <v>0.57393237121080154</v>
      </c>
      <c r="AL50" s="194">
        <f>+AI50*E50</f>
        <v>8.5866900929130935E-2</v>
      </c>
      <c r="AM50" s="176">
        <f>+AJ50*E50</f>
        <v>0.18156149452414916</v>
      </c>
      <c r="AN50" s="176">
        <f t="shared" ref="AN50:AN54" si="94">+AK50*E50</f>
        <v>0.20087632992378052</v>
      </c>
      <c r="AO50" s="247" t="s">
        <v>1852</v>
      </c>
      <c r="AP50" s="571" t="s">
        <v>1892</v>
      </c>
      <c r="AQ50" s="792" t="s">
        <v>2269</v>
      </c>
      <c r="AR50" s="571" t="s">
        <v>2288</v>
      </c>
      <c r="AS50" s="792" t="s">
        <v>2402</v>
      </c>
      <c r="AT50" s="792" t="s">
        <v>2438</v>
      </c>
      <c r="AU50" s="571" t="s">
        <v>2493</v>
      </c>
      <c r="AV50" s="571" t="s">
        <v>1893</v>
      </c>
    </row>
    <row r="51" spans="1:48" ht="67.2" customHeight="1" thickBot="1" x14ac:dyDescent="0.4">
      <c r="A51" s="264"/>
      <c r="B51" s="1480" t="s">
        <v>992</v>
      </c>
      <c r="C51" s="1480" t="s">
        <v>1194</v>
      </c>
      <c r="D51" s="266" t="s">
        <v>683</v>
      </c>
      <c r="E51" s="228">
        <v>0.4</v>
      </c>
      <c r="F51" s="275">
        <v>2912805184493</v>
      </c>
      <c r="G51" s="249">
        <v>662915926390</v>
      </c>
      <c r="H51" s="249">
        <v>732697266239</v>
      </c>
      <c r="I51" s="249">
        <v>751619000000</v>
      </c>
      <c r="J51" s="176">
        <f>+G51/F51</f>
        <v>0.22758677096538693</v>
      </c>
      <c r="K51" s="176">
        <f t="shared" si="88"/>
        <v>0.25154351898976468</v>
      </c>
      <c r="L51" s="176">
        <f t="shared" ref="L51:L54" si="95">+I51/F51</f>
        <v>0.25803957092682328</v>
      </c>
      <c r="M51" s="176">
        <f>+(G51/F51)*E51</f>
        <v>9.1034708386154781E-2</v>
      </c>
      <c r="N51" s="176">
        <f t="shared" si="89"/>
        <v>0.10061740759590587</v>
      </c>
      <c r="O51" s="176"/>
      <c r="P51" s="249">
        <v>630292882901</v>
      </c>
      <c r="Q51" s="544">
        <v>81349836580</v>
      </c>
      <c r="R51" s="544">
        <v>148570009721</v>
      </c>
      <c r="S51" s="544">
        <v>102139673891</v>
      </c>
      <c r="T51" s="544">
        <v>243572411261</v>
      </c>
      <c r="U51" s="544">
        <f>350001145363-T51</f>
        <v>106428734102</v>
      </c>
      <c r="V51" s="544">
        <f t="shared" si="1"/>
        <v>682060665555</v>
      </c>
      <c r="W51" s="988">
        <f t="shared" ref="W51:W54" si="96">+V51+P51+AB51</f>
        <v>1387051849936</v>
      </c>
      <c r="X51" s="544">
        <v>74698301480</v>
      </c>
      <c r="Y51" s="988"/>
      <c r="Z51" s="988"/>
      <c r="AA51" s="988"/>
      <c r="AB51" s="170">
        <f t="shared" si="90"/>
        <v>74698301480</v>
      </c>
      <c r="AC51" s="194">
        <f>+(P51/G51)</f>
        <v>0.95078856580403304</v>
      </c>
      <c r="AD51" s="194">
        <f t="shared" ref="AD51:AD54" si="97">+V51/H51</f>
        <v>0.93089014656227376</v>
      </c>
      <c r="AE51" s="194">
        <f t="shared" ref="AE51:AE56" si="98">+AB51/I51</f>
        <v>9.9383200105372535E-2</v>
      </c>
      <c r="AF51" s="194">
        <f>+AC51*E51</f>
        <v>0.38031542632161325</v>
      </c>
      <c r="AG51" s="194">
        <f t="shared" si="91"/>
        <v>0.3723560586249095</v>
      </c>
      <c r="AH51" s="194">
        <f t="shared" si="92"/>
        <v>3.9753280042149015E-2</v>
      </c>
      <c r="AI51" s="194">
        <f>+P51/F51</f>
        <v>0.21638689956215118</v>
      </c>
      <c r="AJ51" s="194">
        <v>0.45054628282132331</v>
      </c>
      <c r="AK51" s="194">
        <f t="shared" si="93"/>
        <v>0.47619108113384828</v>
      </c>
      <c r="AL51" s="194">
        <f>+AI51*E51</f>
        <v>8.655475982486048E-2</v>
      </c>
      <c r="AM51" s="176">
        <f>+AJ51*E51</f>
        <v>0.18021851312852932</v>
      </c>
      <c r="AN51" s="176">
        <f t="shared" si="94"/>
        <v>0.19047643245353932</v>
      </c>
      <c r="AO51" s="247" t="s">
        <v>1852</v>
      </c>
      <c r="AP51" s="571" t="s">
        <v>1892</v>
      </c>
      <c r="AQ51" s="571" t="s">
        <v>2269</v>
      </c>
      <c r="AR51" s="571" t="s">
        <v>2288</v>
      </c>
      <c r="AS51" s="792" t="s">
        <v>2402</v>
      </c>
      <c r="AT51" s="792" t="s">
        <v>2438</v>
      </c>
      <c r="AU51" s="571" t="s">
        <v>2493</v>
      </c>
      <c r="AV51" s="571" t="s">
        <v>1893</v>
      </c>
    </row>
    <row r="52" spans="1:48" ht="67.2" customHeight="1" thickBot="1" x14ac:dyDescent="0.4">
      <c r="A52" s="264"/>
      <c r="B52" s="1480" t="s">
        <v>993</v>
      </c>
      <c r="C52" s="1480" t="s">
        <v>1195</v>
      </c>
      <c r="D52" s="266" t="s">
        <v>683</v>
      </c>
      <c r="E52" s="228">
        <v>0.08</v>
      </c>
      <c r="F52" s="275">
        <v>34797802428</v>
      </c>
      <c r="G52" s="249">
        <v>7138513013</v>
      </c>
      <c r="H52" s="249">
        <v>9115167266</v>
      </c>
      <c r="I52" s="249">
        <v>9155000000</v>
      </c>
      <c r="J52" s="176">
        <f>+G52/F52</f>
        <v>0.2051426387562913</v>
      </c>
      <c r="K52" s="176">
        <f t="shared" si="88"/>
        <v>0.26194663541929575</v>
      </c>
      <c r="L52" s="176">
        <f t="shared" si="95"/>
        <v>0.26309132649806194</v>
      </c>
      <c r="M52" s="176">
        <f>+(G52/F52)*E52</f>
        <v>1.6411411100503304E-2</v>
      </c>
      <c r="N52" s="176">
        <f t="shared" si="89"/>
        <v>2.095573083354366E-2</v>
      </c>
      <c r="O52" s="176"/>
      <c r="P52" s="249">
        <v>11515173869</v>
      </c>
      <c r="Q52" s="544">
        <v>8962015901</v>
      </c>
      <c r="R52" s="544">
        <v>1117484230</v>
      </c>
      <c r="S52" s="544">
        <v>1362281185</v>
      </c>
      <c r="T52" s="544">
        <v>3556030402</v>
      </c>
      <c r="U52" s="544">
        <f>6289230002-T52</f>
        <v>2733199600</v>
      </c>
      <c r="V52" s="544">
        <f t="shared" si="1"/>
        <v>17731011318</v>
      </c>
      <c r="W52" s="988">
        <f t="shared" si="96"/>
        <v>29569846189</v>
      </c>
      <c r="X52" s="544">
        <v>323661002</v>
      </c>
      <c r="Y52" s="988"/>
      <c r="Z52" s="988"/>
      <c r="AA52" s="988"/>
      <c r="AB52" s="170">
        <f t="shared" si="90"/>
        <v>323661002</v>
      </c>
      <c r="AC52" s="194">
        <v>1</v>
      </c>
      <c r="AD52" s="194">
        <v>1</v>
      </c>
      <c r="AE52" s="194">
        <f t="shared" si="98"/>
        <v>3.5353468268705626E-2</v>
      </c>
      <c r="AF52" s="194">
        <f>+AC52*E52</f>
        <v>0.08</v>
      </c>
      <c r="AG52" s="194">
        <f t="shared" si="91"/>
        <v>0.08</v>
      </c>
      <c r="AH52" s="194">
        <f t="shared" si="92"/>
        <v>2.8282774614964501E-3</v>
      </c>
      <c r="AI52" s="194">
        <f>+P52/F52</f>
        <v>0.33091669776636046</v>
      </c>
      <c r="AJ52" s="194">
        <v>0.84046069424967773</v>
      </c>
      <c r="AK52" s="194">
        <f t="shared" si="93"/>
        <v>0.8497618851127986</v>
      </c>
      <c r="AL52" s="194">
        <f>+AI52*E52</f>
        <v>2.6473335821308838E-2</v>
      </c>
      <c r="AM52" s="176">
        <f>+AJ52*E52</f>
        <v>6.7236855539974216E-2</v>
      </c>
      <c r="AN52" s="176">
        <f t="shared" si="94"/>
        <v>6.7980950809023888E-2</v>
      </c>
      <c r="AO52" s="247" t="s">
        <v>1852</v>
      </c>
      <c r="AP52" s="571" t="s">
        <v>1892</v>
      </c>
      <c r="AQ52" s="571" t="s">
        <v>2269</v>
      </c>
      <c r="AR52" s="571" t="s">
        <v>2288</v>
      </c>
      <c r="AS52" s="792" t="s">
        <v>2402</v>
      </c>
      <c r="AT52" s="792" t="s">
        <v>2438</v>
      </c>
      <c r="AU52" s="571" t="s">
        <v>2493</v>
      </c>
      <c r="AV52" s="571" t="s">
        <v>1893</v>
      </c>
    </row>
    <row r="53" spans="1:48" ht="67.2" customHeight="1" thickBot="1" x14ac:dyDescent="0.4">
      <c r="A53" s="264"/>
      <c r="B53" s="1480" t="s">
        <v>994</v>
      </c>
      <c r="C53" s="1480" t="s">
        <v>1196</v>
      </c>
      <c r="D53" s="266" t="s">
        <v>683</v>
      </c>
      <c r="E53" s="228">
        <v>0.15</v>
      </c>
      <c r="F53" s="275">
        <v>238874034451</v>
      </c>
      <c r="G53" s="249">
        <v>53552764612</v>
      </c>
      <c r="H53" s="249">
        <v>62463944648</v>
      </c>
      <c r="I53" s="249">
        <v>61886000000</v>
      </c>
      <c r="J53" s="176">
        <f>+G53/F53</f>
        <v>0.22418830382749377</v>
      </c>
      <c r="K53" s="176">
        <f t="shared" si="88"/>
        <v>0.26149323760349169</v>
      </c>
      <c r="L53" s="176">
        <f t="shared" si="95"/>
        <v>0.25907378398088143</v>
      </c>
      <c r="M53" s="176">
        <f>+(G53/F53)*E53</f>
        <v>3.3628245574124062E-2</v>
      </c>
      <c r="N53" s="176">
        <f t="shared" si="89"/>
        <v>3.9223985640523755E-2</v>
      </c>
      <c r="O53" s="176"/>
      <c r="P53" s="249">
        <v>56461296000</v>
      </c>
      <c r="Q53" s="544">
        <v>15037510000</v>
      </c>
      <c r="R53" s="544">
        <v>14645008000</v>
      </c>
      <c r="S53" s="544">
        <v>12936485000</v>
      </c>
      <c r="T53" s="544">
        <v>7995157000</v>
      </c>
      <c r="U53" s="544">
        <f>18624405685-T53</f>
        <v>10629248685</v>
      </c>
      <c r="V53" s="544">
        <f t="shared" si="1"/>
        <v>61243408685</v>
      </c>
      <c r="W53" s="988">
        <f t="shared" si="96"/>
        <v>122037583685</v>
      </c>
      <c r="X53" s="544">
        <v>4332879000</v>
      </c>
      <c r="Y53" s="988"/>
      <c r="Z53" s="988"/>
      <c r="AA53" s="988"/>
      <c r="AB53" s="170">
        <f t="shared" si="90"/>
        <v>4332879000</v>
      </c>
      <c r="AC53" s="194">
        <v>1</v>
      </c>
      <c r="AD53" s="194">
        <f t="shared" si="97"/>
        <v>0.98046015233463035</v>
      </c>
      <c r="AE53" s="194">
        <f t="shared" si="98"/>
        <v>7.0013880360663153E-2</v>
      </c>
      <c r="AF53" s="194">
        <f>+AC53*E53</f>
        <v>0.15</v>
      </c>
      <c r="AG53" s="194">
        <f t="shared" si="91"/>
        <v>0.14706902285019455</v>
      </c>
      <c r="AH53" s="194">
        <f t="shared" si="92"/>
        <v>1.0502082054099473E-2</v>
      </c>
      <c r="AI53" s="194">
        <f>+P53/F53</f>
        <v>0.23636430861882501</v>
      </c>
      <c r="AJ53" s="194">
        <v>0.49274800819402015</v>
      </c>
      <c r="AK53" s="194">
        <f t="shared" si="93"/>
        <v>0.51088676911024189</v>
      </c>
      <c r="AL53" s="194">
        <f>+AI53*E53</f>
        <v>3.5454646292823751E-2</v>
      </c>
      <c r="AM53" s="176">
        <f>+AJ53*E53</f>
        <v>7.3912201229103025E-2</v>
      </c>
      <c r="AN53" s="176">
        <f t="shared" si="94"/>
        <v>7.6633015366536286E-2</v>
      </c>
      <c r="AO53" s="247" t="s">
        <v>1852</v>
      </c>
      <c r="AP53" s="571" t="s">
        <v>1892</v>
      </c>
      <c r="AQ53" s="571" t="s">
        <v>2269</v>
      </c>
      <c r="AR53" s="571" t="s">
        <v>2288</v>
      </c>
      <c r="AS53" s="792" t="s">
        <v>2402</v>
      </c>
      <c r="AT53" s="792" t="s">
        <v>2438</v>
      </c>
      <c r="AU53" s="571" t="s">
        <v>2493</v>
      </c>
      <c r="AV53" s="571" t="s">
        <v>1893</v>
      </c>
    </row>
    <row r="54" spans="1:48" ht="98.4" customHeight="1" thickBot="1" x14ac:dyDescent="0.4">
      <c r="A54" s="264"/>
      <c r="B54" s="1480" t="s">
        <v>995</v>
      </c>
      <c r="C54" s="1480" t="s">
        <v>1556</v>
      </c>
      <c r="D54" s="266" t="s">
        <v>683</v>
      </c>
      <c r="E54" s="228">
        <v>0.02</v>
      </c>
      <c r="F54" s="226">
        <v>16</v>
      </c>
      <c r="G54" s="249">
        <v>4</v>
      </c>
      <c r="H54" s="249">
        <v>4</v>
      </c>
      <c r="I54" s="249">
        <v>4</v>
      </c>
      <c r="J54" s="176">
        <f>+G54/F54</f>
        <v>0.25</v>
      </c>
      <c r="K54" s="176">
        <f t="shared" si="88"/>
        <v>0.25</v>
      </c>
      <c r="L54" s="176">
        <f t="shared" si="95"/>
        <v>0.25</v>
      </c>
      <c r="M54" s="176">
        <f>+(G54/F54)*E54</f>
        <v>5.0000000000000001E-3</v>
      </c>
      <c r="N54" s="176">
        <f t="shared" si="89"/>
        <v>5.0000000000000001E-3</v>
      </c>
      <c r="O54" s="176"/>
      <c r="P54" s="249">
        <v>4</v>
      </c>
      <c r="Q54" s="544">
        <v>1</v>
      </c>
      <c r="R54" s="544">
        <v>0.5</v>
      </c>
      <c r="S54" s="544">
        <v>2</v>
      </c>
      <c r="T54" s="544">
        <v>0</v>
      </c>
      <c r="U54" s="544">
        <v>0.5</v>
      </c>
      <c r="V54" s="249">
        <f t="shared" si="1"/>
        <v>4</v>
      </c>
      <c r="W54" s="988">
        <f t="shared" si="96"/>
        <v>9</v>
      </c>
      <c r="X54" s="544">
        <v>1</v>
      </c>
      <c r="Y54" s="249"/>
      <c r="Z54" s="249"/>
      <c r="AA54" s="249"/>
      <c r="AB54" s="170">
        <f t="shared" si="90"/>
        <v>1</v>
      </c>
      <c r="AC54" s="194">
        <f>+(P54/G54)</f>
        <v>1</v>
      </c>
      <c r="AD54" s="194">
        <f t="shared" si="97"/>
        <v>1</v>
      </c>
      <c r="AE54" s="194">
        <f t="shared" si="98"/>
        <v>0.25</v>
      </c>
      <c r="AF54" s="194">
        <f>+AC54*E54</f>
        <v>0.02</v>
      </c>
      <c r="AG54" s="194">
        <f t="shared" si="91"/>
        <v>0.02</v>
      </c>
      <c r="AH54" s="194">
        <f t="shared" si="92"/>
        <v>5.0000000000000001E-3</v>
      </c>
      <c r="AI54" s="194">
        <f>+P54/F54</f>
        <v>0.25</v>
      </c>
      <c r="AJ54" s="194">
        <v>0.46875</v>
      </c>
      <c r="AK54" s="194">
        <f>+W54/F54</f>
        <v>0.5625</v>
      </c>
      <c r="AL54" s="194">
        <f>+AI54*E54</f>
        <v>5.0000000000000001E-3</v>
      </c>
      <c r="AM54" s="176">
        <f>+AJ54*E54</f>
        <v>9.3749999999999997E-3</v>
      </c>
      <c r="AN54" s="176">
        <f t="shared" si="94"/>
        <v>1.125E-2</v>
      </c>
      <c r="AO54" s="163"/>
      <c r="AP54" s="163"/>
      <c r="AQ54" s="163"/>
      <c r="AR54" s="571" t="s">
        <v>2288</v>
      </c>
      <c r="AS54" s="792" t="s">
        <v>2402</v>
      </c>
      <c r="AT54" s="792" t="s">
        <v>2438</v>
      </c>
      <c r="AU54" s="571" t="s">
        <v>2493</v>
      </c>
      <c r="AV54" s="571" t="s">
        <v>1893</v>
      </c>
    </row>
    <row r="55" spans="1:48" ht="67.2" customHeight="1" thickBot="1" x14ac:dyDescent="0.4">
      <c r="A55" s="264"/>
      <c r="B55" s="1580" t="s">
        <v>1764</v>
      </c>
      <c r="C55" s="1562"/>
      <c r="D55" s="266"/>
      <c r="E55" s="232">
        <v>0.05</v>
      </c>
      <c r="F55" s="216"/>
      <c r="G55" s="163"/>
      <c r="H55" s="249"/>
      <c r="I55" s="249"/>
      <c r="J55" s="169"/>
      <c r="K55" s="169">
        <f>+AVERAGE(K56)</f>
        <v>0.25</v>
      </c>
      <c r="L55" s="169">
        <f>+AVERAGE(L56)</f>
        <v>0.375</v>
      </c>
      <c r="M55" s="169"/>
      <c r="N55" s="169">
        <f>+N56</f>
        <v>0.25</v>
      </c>
      <c r="O55" s="169"/>
      <c r="P55" s="168"/>
      <c r="Q55" s="168"/>
      <c r="R55" s="168"/>
      <c r="S55" s="168"/>
      <c r="T55" s="168"/>
      <c r="U55" s="987"/>
      <c r="V55" s="170"/>
      <c r="W55" s="168"/>
      <c r="X55" s="168"/>
      <c r="Y55" s="168"/>
      <c r="Z55" s="168"/>
      <c r="AA55" s="168"/>
      <c r="AB55" s="168"/>
      <c r="AC55" s="192"/>
      <c r="AD55" s="192">
        <f>+AVERAGE(AD56)</f>
        <v>1</v>
      </c>
      <c r="AE55" s="192">
        <f>+AVERAGE(AE56)</f>
        <v>0.66666666666666663</v>
      </c>
      <c r="AF55" s="192"/>
      <c r="AG55" s="192">
        <f>+(AG56)*E55</f>
        <v>0.05</v>
      </c>
      <c r="AH55" s="192">
        <f>+(AH56)*E55</f>
        <v>3.3333333333333333E-2</v>
      </c>
      <c r="AI55" s="169"/>
      <c r="AJ55" s="169">
        <v>1</v>
      </c>
      <c r="AK55" s="169">
        <f>+AVERAGE(AK56)</f>
        <v>1</v>
      </c>
      <c r="AL55" s="169"/>
      <c r="AM55" s="169">
        <f>+(AM56)</f>
        <v>1</v>
      </c>
      <c r="AN55" s="169">
        <f>+(AN56)</f>
        <v>1</v>
      </c>
      <c r="AO55" s="163"/>
      <c r="AP55" s="163"/>
      <c r="AQ55" s="163"/>
      <c r="AR55" s="163"/>
      <c r="AS55" s="609"/>
      <c r="AT55" s="609"/>
      <c r="AU55" s="163"/>
      <c r="AV55" s="1196"/>
    </row>
    <row r="56" spans="1:48" ht="109.8" customHeight="1" thickBot="1" x14ac:dyDescent="0.4">
      <c r="A56" s="264"/>
      <c r="B56" s="1480" t="s">
        <v>996</v>
      </c>
      <c r="C56" s="1480" t="s">
        <v>1197</v>
      </c>
      <c r="D56" s="276" t="s">
        <v>683</v>
      </c>
      <c r="E56" s="238">
        <v>1</v>
      </c>
      <c r="F56" s="226">
        <v>4</v>
      </c>
      <c r="G56" s="170"/>
      <c r="H56" s="170">
        <v>1</v>
      </c>
      <c r="I56" s="170">
        <v>1.5</v>
      </c>
      <c r="J56" s="176"/>
      <c r="K56" s="176">
        <f t="shared" si="88"/>
        <v>0.25</v>
      </c>
      <c r="L56" s="176">
        <f t="shared" ref="L56" si="99">+I56/F56</f>
        <v>0.375</v>
      </c>
      <c r="M56" s="176"/>
      <c r="N56" s="176">
        <f t="shared" si="89"/>
        <v>0.25</v>
      </c>
      <c r="O56" s="176"/>
      <c r="P56" s="170"/>
      <c r="Q56" s="541">
        <v>0.25</v>
      </c>
      <c r="R56" s="541">
        <v>0.25</v>
      </c>
      <c r="S56" s="544">
        <v>0.5</v>
      </c>
      <c r="T56" s="544">
        <v>0</v>
      </c>
      <c r="U56" s="988">
        <v>0.12</v>
      </c>
      <c r="V56" s="170">
        <f t="shared" si="1"/>
        <v>1.1200000000000001</v>
      </c>
      <c r="W56" s="206">
        <f>+V56+P56+AB56</f>
        <v>2.12</v>
      </c>
      <c r="X56" s="541">
        <v>1</v>
      </c>
      <c r="Y56" s="170"/>
      <c r="Z56" s="170"/>
      <c r="AA56" s="170"/>
      <c r="AB56" s="170">
        <f t="shared" ref="AB56" si="100">+X56+Y56+Z56+AA56</f>
        <v>1</v>
      </c>
      <c r="AC56" s="176"/>
      <c r="AD56" s="176">
        <v>1</v>
      </c>
      <c r="AE56" s="194">
        <f t="shared" si="98"/>
        <v>0.66666666666666663</v>
      </c>
      <c r="AF56" s="176"/>
      <c r="AG56" s="176">
        <f>+AD56*E56</f>
        <v>1</v>
      </c>
      <c r="AH56" s="176">
        <f t="shared" ref="AH56" si="101">+AE56*E56</f>
        <v>0.66666666666666663</v>
      </c>
      <c r="AI56" s="176"/>
      <c r="AJ56" s="194">
        <v>1</v>
      </c>
      <c r="AK56" s="194">
        <v>1</v>
      </c>
      <c r="AL56" s="176"/>
      <c r="AM56" s="176">
        <f>+AJ56*E56</f>
        <v>1</v>
      </c>
      <c r="AN56" s="176">
        <f t="shared" ref="AN56" si="102">+AK56*E56</f>
        <v>1</v>
      </c>
      <c r="AO56" s="277" t="s">
        <v>1584</v>
      </c>
      <c r="AP56" s="571" t="s">
        <v>1892</v>
      </c>
      <c r="AQ56" s="571" t="s">
        <v>2269</v>
      </c>
      <c r="AR56" s="591" t="s">
        <v>2335</v>
      </c>
      <c r="AS56" s="792" t="s">
        <v>2402</v>
      </c>
      <c r="AT56" s="792" t="s">
        <v>2438</v>
      </c>
      <c r="AU56" s="551" t="s">
        <v>2508</v>
      </c>
      <c r="AV56" s="571" t="s">
        <v>1893</v>
      </c>
    </row>
    <row r="57" spans="1:48" ht="67.2" customHeight="1" thickBot="1" x14ac:dyDescent="0.4">
      <c r="A57" s="264"/>
      <c r="B57" s="1576" t="s">
        <v>1827</v>
      </c>
      <c r="C57" s="1562"/>
      <c r="D57" s="266"/>
      <c r="E57" s="234">
        <v>0.1</v>
      </c>
      <c r="F57" s="267">
        <f>E57*AF57</f>
        <v>8.6250000000000007E-2</v>
      </c>
      <c r="G57" s="163"/>
      <c r="H57" s="267">
        <f>+E57*AG57</f>
        <v>0.1</v>
      </c>
      <c r="I57" s="267">
        <f>+E57*AH57</f>
        <v>1.0640017482517484E-2</v>
      </c>
      <c r="J57" s="161">
        <f>+(J58+J61+J66+J68+J74)/5</f>
        <v>0.22780333900383748</v>
      </c>
      <c r="K57" s="161">
        <f>+(K58+K61+K66+K68+K74)/5</f>
        <v>0.28056602016325777</v>
      </c>
      <c r="L57" s="161">
        <f>+(L58+L61+L66+L68+L74)/5</f>
        <v>0.26023108128601757</v>
      </c>
      <c r="M57" s="162">
        <f>+(M58+M61+M66+M68+M74)/5</f>
        <v>0.22258316849309651</v>
      </c>
      <c r="N57" s="162">
        <f>+(N58+N61+N66+N68+N74)/5</f>
        <v>0.27229331342063273</v>
      </c>
      <c r="O57" s="162"/>
      <c r="P57" s="163"/>
      <c r="Q57" s="163"/>
      <c r="R57" s="163"/>
      <c r="S57" s="163"/>
      <c r="T57" s="163"/>
      <c r="U57" s="215"/>
      <c r="V57" s="967"/>
      <c r="W57" s="163"/>
      <c r="X57" s="163"/>
      <c r="Y57" s="163"/>
      <c r="Z57" s="163"/>
      <c r="AA57" s="163"/>
      <c r="AB57" s="163"/>
      <c r="AC57" s="161">
        <f>+(AC58+AC61+AC66+AC68+AC74)/5</f>
        <v>0.93333333333333324</v>
      </c>
      <c r="AD57" s="161">
        <f>+(AD58+AD61+AD66+AD68+AD74)/5</f>
        <v>1</v>
      </c>
      <c r="AE57" s="161">
        <f>+(AE58+AE61+AE66+AE68+AE74)/5</f>
        <v>9.7906759906759913E-2</v>
      </c>
      <c r="AF57" s="162">
        <f>AF58+AF61+AF66+AF68+AF74</f>
        <v>0.86250000000000004</v>
      </c>
      <c r="AG57" s="162">
        <f>AG58+AG61+AG66+AG68+AG74</f>
        <v>1</v>
      </c>
      <c r="AH57" s="162">
        <f>AH58+AH61+AH66+AH68+AH74</f>
        <v>0.10640017482517483</v>
      </c>
      <c r="AI57" s="161">
        <f>(AI58+AI61+AI66+AI68+AI74)/5</f>
        <v>0.25439168183196847</v>
      </c>
      <c r="AJ57" s="161">
        <v>0.52344420487663357</v>
      </c>
      <c r="AK57" s="161">
        <f>(AK58+AK61+AK66+AK68+AK74)/5</f>
        <v>0.54786459841621493</v>
      </c>
      <c r="AL57" s="268">
        <f>(AL58+AL61+AL66+AL68+AL74)</f>
        <v>0.28719335759781622</v>
      </c>
      <c r="AM57" s="268">
        <f>(AM58*E58+AM61*E61+AM66*E66+AM68*E68+AM74*E74)</f>
        <v>0.56904333649826588</v>
      </c>
      <c r="AN57" s="268">
        <f>(AN58*E58+AN61*E61+AN66*E66+AN68*E68+AN74*E74)</f>
        <v>0.59328721616159619</v>
      </c>
      <c r="AO57" s="163"/>
      <c r="AP57" s="163"/>
      <c r="AQ57" s="163"/>
      <c r="AR57" s="163"/>
      <c r="AS57" s="609"/>
      <c r="AT57" s="609"/>
      <c r="AU57" s="163"/>
      <c r="AV57" s="535"/>
    </row>
    <row r="58" spans="1:48" ht="67.2" customHeight="1" thickBot="1" x14ac:dyDescent="0.4">
      <c r="A58" s="264"/>
      <c r="B58" s="1580" t="s">
        <v>1765</v>
      </c>
      <c r="C58" s="1562"/>
      <c r="D58" s="266"/>
      <c r="E58" s="232">
        <v>0.2</v>
      </c>
      <c r="F58" s="216"/>
      <c r="G58" s="163"/>
      <c r="H58" s="163"/>
      <c r="I58" s="163"/>
      <c r="J58" s="169">
        <f>+AVERAGE(J59:J60)</f>
        <v>0.24988626023657873</v>
      </c>
      <c r="K58" s="169">
        <f>+AVERAGE(K59:K60)</f>
        <v>0.24988626023657873</v>
      </c>
      <c r="L58" s="169">
        <f>+AVERAGE(L59:L60)</f>
        <v>0.25011373976342133</v>
      </c>
      <c r="M58" s="169">
        <f>+M59+M60</f>
        <v>0.24981801637852596</v>
      </c>
      <c r="N58" s="169">
        <f>+N59+N60</f>
        <v>0.24981801637852596</v>
      </c>
      <c r="O58" s="169"/>
      <c r="P58" s="168"/>
      <c r="Q58" s="168"/>
      <c r="R58" s="168"/>
      <c r="S58" s="168"/>
      <c r="T58" s="168"/>
      <c r="U58" s="987"/>
      <c r="V58" s="170"/>
      <c r="W58" s="168"/>
      <c r="X58" s="168"/>
      <c r="Y58" s="168"/>
      <c r="Z58" s="168"/>
      <c r="AA58" s="168"/>
      <c r="AB58" s="168"/>
      <c r="AC58" s="192">
        <f>+AVERAGE(AC59:AC60)</f>
        <v>1</v>
      </c>
      <c r="AD58" s="192">
        <f>+AVERAGE(AD59:AD60)</f>
        <v>1</v>
      </c>
      <c r="AE58" s="192">
        <f>+AVERAGE(AE59:AE60)</f>
        <v>4.8636363636363637E-2</v>
      </c>
      <c r="AF58" s="192">
        <f>+(AF59+AF60)*E58</f>
        <v>0.2</v>
      </c>
      <c r="AG58" s="192">
        <f>+(AG59+AG60)*E58</f>
        <v>0.2</v>
      </c>
      <c r="AH58" s="192">
        <f>+(AH59+AH60)*E58</f>
        <v>9.5636363636363644E-3</v>
      </c>
      <c r="AI58" s="169">
        <f>+AVERAGE(AI59:AI60)</f>
        <v>0.38341674249317559</v>
      </c>
      <c r="AJ58" s="169">
        <v>0.6424021838034577</v>
      </c>
      <c r="AK58" s="169">
        <f>+AVERAGE(AK59:AK60)</f>
        <v>0.65456665150136484</v>
      </c>
      <c r="AL58" s="169">
        <f>+(AL59+AL60)*E58</f>
        <v>9.2693357597816203E-2</v>
      </c>
      <c r="AM58" s="169">
        <f>+(AM59+AM60)</f>
        <v>0.72784349408553239</v>
      </c>
      <c r="AN58" s="169">
        <f>+(AN59+AN60)</f>
        <v>0.73980664240218386</v>
      </c>
      <c r="AO58" s="163"/>
      <c r="AP58" s="163"/>
      <c r="AQ58" s="163"/>
      <c r="AR58" s="163"/>
      <c r="AS58" s="609"/>
      <c r="AT58" s="609"/>
      <c r="AU58" s="163"/>
      <c r="AV58" s="535"/>
    </row>
    <row r="59" spans="1:48" ht="89.4" customHeight="1" thickBot="1" x14ac:dyDescent="0.4">
      <c r="A59" s="264"/>
      <c r="B59" s="1504" t="s">
        <v>997</v>
      </c>
      <c r="C59" s="1504" t="s">
        <v>1198</v>
      </c>
      <c r="D59" s="266" t="s">
        <v>998</v>
      </c>
      <c r="E59" s="228">
        <v>0.8</v>
      </c>
      <c r="F59" s="226">
        <v>2198</v>
      </c>
      <c r="G59" s="170">
        <v>549</v>
      </c>
      <c r="H59" s="170">
        <v>549</v>
      </c>
      <c r="I59" s="170">
        <v>550</v>
      </c>
      <c r="J59" s="176">
        <f>+G59/F59</f>
        <v>0.24977252047315743</v>
      </c>
      <c r="K59" s="176">
        <f t="shared" ref="K59:K76" si="103">+H59/F59</f>
        <v>0.24977252047315743</v>
      </c>
      <c r="L59" s="176">
        <f t="shared" ref="L59" si="104">+I59/F59</f>
        <v>0.2502274795268426</v>
      </c>
      <c r="M59" s="176">
        <f>+(G59/F59)*E59</f>
        <v>0.19981801637852595</v>
      </c>
      <c r="N59" s="176">
        <f t="shared" ref="N59:N76" si="105">+(H59/F59)*E59</f>
        <v>0.19981801637852595</v>
      </c>
      <c r="O59" s="176"/>
      <c r="P59" s="170">
        <v>1136</v>
      </c>
      <c r="Q59" s="541">
        <v>0</v>
      </c>
      <c r="R59" s="541">
        <v>190</v>
      </c>
      <c r="S59" s="541">
        <v>274</v>
      </c>
      <c r="T59" s="541">
        <v>0</v>
      </c>
      <c r="U59" s="541">
        <v>125</v>
      </c>
      <c r="V59" s="170">
        <f t="shared" si="1"/>
        <v>589</v>
      </c>
      <c r="W59" s="170">
        <f>+V59+P59+AB59</f>
        <v>1751</v>
      </c>
      <c r="X59" s="541">
        <v>26</v>
      </c>
      <c r="Y59" s="170"/>
      <c r="Z59" s="170"/>
      <c r="AA59" s="170"/>
      <c r="AB59" s="170">
        <f t="shared" ref="AB59:AB60" si="106">+X59+Y59+Z59+AA59</f>
        <v>26</v>
      </c>
      <c r="AC59" s="194">
        <v>1</v>
      </c>
      <c r="AD59" s="194">
        <v>1</v>
      </c>
      <c r="AE59" s="194">
        <f t="shared" ref="AE59:AE60" si="107">+AB59/I59</f>
        <v>4.7272727272727272E-2</v>
      </c>
      <c r="AF59" s="194">
        <f>+AC59*E59</f>
        <v>0.8</v>
      </c>
      <c r="AG59" s="194">
        <f t="shared" ref="AG59:AG60" si="108">+AD59*E59</f>
        <v>0.8</v>
      </c>
      <c r="AH59" s="194">
        <f t="shared" ref="AH59:AH60" si="109">+AE59*E59</f>
        <v>3.781818181818182E-2</v>
      </c>
      <c r="AI59" s="194">
        <f>+P59/F59</f>
        <v>0.51683348498635118</v>
      </c>
      <c r="AJ59" s="194">
        <v>0.78480436760691541</v>
      </c>
      <c r="AK59" s="194">
        <f t="shared" ref="AK59:AK60" si="110">+W59/F59</f>
        <v>0.79663330300272972</v>
      </c>
      <c r="AL59" s="194">
        <f>+AI59*E59</f>
        <v>0.41346678798908099</v>
      </c>
      <c r="AM59" s="194">
        <f>+AJ59*E59</f>
        <v>0.62784349408553242</v>
      </c>
      <c r="AN59" s="194">
        <f t="shared" ref="AN59:AN60" si="111">+AK59*E59</f>
        <v>0.63730664240218382</v>
      </c>
      <c r="AO59" s="247" t="s">
        <v>1852</v>
      </c>
      <c r="AP59" s="571" t="s">
        <v>1892</v>
      </c>
      <c r="AQ59" s="571" t="s">
        <v>2269</v>
      </c>
      <c r="AR59" s="571" t="s">
        <v>2288</v>
      </c>
      <c r="AS59" s="792" t="s">
        <v>2402</v>
      </c>
      <c r="AT59" s="792" t="s">
        <v>2436</v>
      </c>
      <c r="AU59" s="571" t="s">
        <v>2493</v>
      </c>
      <c r="AV59" s="571" t="s">
        <v>1893</v>
      </c>
    </row>
    <row r="60" spans="1:48" ht="118.95" customHeight="1" thickBot="1" x14ac:dyDescent="0.4">
      <c r="A60" s="264"/>
      <c r="B60" s="1504" t="s">
        <v>999</v>
      </c>
      <c r="C60" s="1504" t="s">
        <v>1199</v>
      </c>
      <c r="D60" s="266" t="s">
        <v>998</v>
      </c>
      <c r="E60" s="228">
        <v>0.2</v>
      </c>
      <c r="F60" s="226">
        <v>4</v>
      </c>
      <c r="G60" s="170">
        <v>1</v>
      </c>
      <c r="H60" s="170">
        <v>1</v>
      </c>
      <c r="I60" s="170">
        <v>1</v>
      </c>
      <c r="J60" s="176">
        <f>+G60/F60</f>
        <v>0.25</v>
      </c>
      <c r="K60" s="176">
        <f t="shared" si="103"/>
        <v>0.25</v>
      </c>
      <c r="L60" s="176">
        <f>+I60/F60</f>
        <v>0.25</v>
      </c>
      <c r="M60" s="176">
        <f>+(G60/F60)*E60</f>
        <v>0.05</v>
      </c>
      <c r="N60" s="176">
        <f t="shared" si="105"/>
        <v>0.05</v>
      </c>
      <c r="O60" s="176"/>
      <c r="P60" s="170">
        <v>1</v>
      </c>
      <c r="Q60" s="541">
        <v>0.1</v>
      </c>
      <c r="R60" s="541">
        <v>0.05</v>
      </c>
      <c r="S60" s="541">
        <v>0</v>
      </c>
      <c r="T60" s="541">
        <v>0</v>
      </c>
      <c r="U60" s="541">
        <v>0.85</v>
      </c>
      <c r="V60" s="170">
        <f t="shared" si="1"/>
        <v>1</v>
      </c>
      <c r="W60" s="170">
        <f>+V60+P60+AB60</f>
        <v>2.0499999999999998</v>
      </c>
      <c r="X60" s="541">
        <v>0.05</v>
      </c>
      <c r="Y60" s="170"/>
      <c r="Z60" s="170"/>
      <c r="AA60" s="170"/>
      <c r="AB60" s="170">
        <f t="shared" si="106"/>
        <v>0.05</v>
      </c>
      <c r="AC60" s="194">
        <f>+(P60/G60)</f>
        <v>1</v>
      </c>
      <c r="AD60" s="194">
        <f t="shared" ref="AD60" si="112">+V60/H60</f>
        <v>1</v>
      </c>
      <c r="AE60" s="194">
        <f t="shared" si="107"/>
        <v>0.05</v>
      </c>
      <c r="AF60" s="194">
        <f>+AC60*E60</f>
        <v>0.2</v>
      </c>
      <c r="AG60" s="194">
        <f t="shared" si="108"/>
        <v>0.2</v>
      </c>
      <c r="AH60" s="194">
        <f t="shared" si="109"/>
        <v>1.0000000000000002E-2</v>
      </c>
      <c r="AI60" s="194">
        <f>+P60/F60</f>
        <v>0.25</v>
      </c>
      <c r="AJ60" s="194">
        <v>0.5</v>
      </c>
      <c r="AK60" s="194">
        <f t="shared" si="110"/>
        <v>0.51249999999999996</v>
      </c>
      <c r="AL60" s="194">
        <f>+AI60*E60</f>
        <v>0.05</v>
      </c>
      <c r="AM60" s="194">
        <f>+AJ60*E60</f>
        <v>0.1</v>
      </c>
      <c r="AN60" s="194">
        <f t="shared" si="111"/>
        <v>0.10249999999999999</v>
      </c>
      <c r="AO60" s="247" t="s">
        <v>1852</v>
      </c>
      <c r="AP60" s="571" t="s">
        <v>1892</v>
      </c>
      <c r="AQ60" s="571" t="s">
        <v>2269</v>
      </c>
      <c r="AR60" s="571" t="s">
        <v>2288</v>
      </c>
      <c r="AS60" s="792" t="s">
        <v>2402</v>
      </c>
      <c r="AT60" s="792" t="s">
        <v>2436</v>
      </c>
      <c r="AU60" s="571" t="s">
        <v>2493</v>
      </c>
      <c r="AV60" s="571" t="s">
        <v>1893</v>
      </c>
    </row>
    <row r="61" spans="1:48" ht="67.2" customHeight="1" thickBot="1" x14ac:dyDescent="0.4">
      <c r="A61" s="264"/>
      <c r="B61" s="1580" t="s">
        <v>1828</v>
      </c>
      <c r="C61" s="1562"/>
      <c r="D61" s="266"/>
      <c r="E61" s="232">
        <v>0.3</v>
      </c>
      <c r="F61" s="216"/>
      <c r="G61" s="163"/>
      <c r="H61" s="163"/>
      <c r="I61" s="163"/>
      <c r="J61" s="169">
        <f>+AVERAGE(J62:J65)</f>
        <v>0.15</v>
      </c>
      <c r="K61" s="169">
        <f>+AVERAGE(K62:K65)</f>
        <v>0.29062500000000002</v>
      </c>
      <c r="L61" s="169">
        <f>+AVERAGE(L62:L65)</f>
        <v>0.28437499999999999</v>
      </c>
      <c r="M61" s="169">
        <f>+M62+M63+M64+M65</f>
        <v>0.19624999999999998</v>
      </c>
      <c r="N61" s="169">
        <f>+N62+N63+N64+N65</f>
        <v>0.27124999999999999</v>
      </c>
      <c r="O61" s="169"/>
      <c r="P61" s="168"/>
      <c r="Q61" s="168"/>
      <c r="R61" s="168"/>
      <c r="S61" s="168"/>
      <c r="T61" s="168"/>
      <c r="U61" s="987"/>
      <c r="V61" s="170"/>
      <c r="W61" s="168"/>
      <c r="X61" s="168"/>
      <c r="Y61" s="168"/>
      <c r="Z61" s="168"/>
      <c r="AA61" s="168"/>
      <c r="AB61" s="168"/>
      <c r="AC61" s="192">
        <f>+AVERAGE(AC62:AC65)</f>
        <v>1</v>
      </c>
      <c r="AD61" s="192">
        <f>+AVERAGE(AD62:AD65)</f>
        <v>1</v>
      </c>
      <c r="AE61" s="192">
        <f>+AVERAGE(AE62:AE65)</f>
        <v>9.0897435897435888E-2</v>
      </c>
      <c r="AF61" s="192">
        <f>+(AF62+AF63+AF64+AF65)*E61</f>
        <v>0.3</v>
      </c>
      <c r="AG61" s="192">
        <f>+(AG62+AG63+AG64+AG65)*E61</f>
        <v>0.3</v>
      </c>
      <c r="AH61" s="192">
        <f>+(AH62+AH63+AH64+AH65)*E61</f>
        <v>3.7961538461538463E-2</v>
      </c>
      <c r="AI61" s="169">
        <f>+AVERAGE(AI62:AI65)</f>
        <v>0.22187499999999999</v>
      </c>
      <c r="AJ61" s="169">
        <v>0.51249999999999996</v>
      </c>
      <c r="AK61" s="169">
        <f>+AVERAGE(AK62:AK65)</f>
        <v>0.53493749999999995</v>
      </c>
      <c r="AL61" s="169">
        <f>+(AL62+AL63+AL64+AL65)*E61</f>
        <v>0.103875</v>
      </c>
      <c r="AM61" s="169">
        <f>+(AM62+AM63+AM64+AM65)</f>
        <v>0.61749999999999994</v>
      </c>
      <c r="AN61" s="169">
        <f>+(AN62+AN63+AN64+AN65)</f>
        <v>0.64127499999999993</v>
      </c>
      <c r="AO61" s="163"/>
      <c r="AP61" s="163"/>
      <c r="AQ61" s="163"/>
      <c r="AR61" s="163"/>
      <c r="AS61" s="609"/>
      <c r="AT61" s="609"/>
      <c r="AU61" s="163"/>
      <c r="AV61" s="535"/>
    </row>
    <row r="62" spans="1:48" ht="67.2" customHeight="1" thickBot="1" x14ac:dyDescent="0.4">
      <c r="A62" s="264"/>
      <c r="B62" s="1504" t="s">
        <v>1000</v>
      </c>
      <c r="C62" s="1504" t="s">
        <v>1200</v>
      </c>
      <c r="D62" s="266" t="s">
        <v>998</v>
      </c>
      <c r="E62" s="228">
        <v>0.6</v>
      </c>
      <c r="F62" s="226">
        <v>80</v>
      </c>
      <c r="G62" s="170">
        <v>20</v>
      </c>
      <c r="H62" s="170">
        <v>20</v>
      </c>
      <c r="I62" s="170">
        <v>12</v>
      </c>
      <c r="J62" s="176">
        <f>+G62/F62</f>
        <v>0.25</v>
      </c>
      <c r="K62" s="176">
        <f t="shared" si="103"/>
        <v>0.25</v>
      </c>
      <c r="L62" s="176">
        <f t="shared" ref="L62:L64" si="113">+I62/F62</f>
        <v>0.15</v>
      </c>
      <c r="M62" s="176">
        <f>+(G62/F62)*E62</f>
        <v>0.15</v>
      </c>
      <c r="N62" s="176">
        <f t="shared" si="105"/>
        <v>0.15</v>
      </c>
      <c r="O62" s="176"/>
      <c r="P62" s="170">
        <v>39</v>
      </c>
      <c r="Q62" s="541">
        <v>1</v>
      </c>
      <c r="R62" s="541">
        <v>6</v>
      </c>
      <c r="S62" s="541">
        <v>8</v>
      </c>
      <c r="T62" s="541">
        <v>0</v>
      </c>
      <c r="U62" s="541">
        <v>5</v>
      </c>
      <c r="V62" s="170">
        <f t="shared" si="1"/>
        <v>20</v>
      </c>
      <c r="W62" s="170">
        <f>+V62+P62+AB62</f>
        <v>61</v>
      </c>
      <c r="X62" s="541">
        <v>2</v>
      </c>
      <c r="Y62" s="170"/>
      <c r="Z62" s="170"/>
      <c r="AA62" s="170"/>
      <c r="AB62" s="170">
        <f>+X62+Y62+Z62+AA62</f>
        <v>2</v>
      </c>
      <c r="AC62" s="194">
        <v>1</v>
      </c>
      <c r="AD62" s="194">
        <f t="shared" ref="AD62:AD65" si="114">+V62/H62</f>
        <v>1</v>
      </c>
      <c r="AE62" s="194">
        <f t="shared" ref="AE62:AE65" si="115">+AB62/I62</f>
        <v>0.16666666666666666</v>
      </c>
      <c r="AF62" s="194">
        <f>+AC62*E62</f>
        <v>0.6</v>
      </c>
      <c r="AG62" s="194">
        <f t="shared" ref="AG62:AG76" si="116">+AD62*E62</f>
        <v>0.6</v>
      </c>
      <c r="AH62" s="194">
        <f t="shared" ref="AH62:AH65" si="117">+AE62*E62</f>
        <v>9.9999999999999992E-2</v>
      </c>
      <c r="AI62" s="194">
        <f>+P62/F62</f>
        <v>0.48749999999999999</v>
      </c>
      <c r="AJ62" s="194">
        <v>0.73750000000000004</v>
      </c>
      <c r="AK62" s="194">
        <f t="shared" ref="AK62:AK65" si="118">+W62/F62</f>
        <v>0.76249999999999996</v>
      </c>
      <c r="AL62" s="194">
        <f>+AI62*E62</f>
        <v>0.29249999999999998</v>
      </c>
      <c r="AM62" s="194">
        <f>+AJ62*E62</f>
        <v>0.4425</v>
      </c>
      <c r="AN62" s="194">
        <f t="shared" ref="AN62:AN65" si="119">+AK62*E62</f>
        <v>0.45749999999999996</v>
      </c>
      <c r="AO62" s="247" t="s">
        <v>1852</v>
      </c>
      <c r="AP62" s="571" t="s">
        <v>1892</v>
      </c>
      <c r="AQ62" s="571" t="s">
        <v>2269</v>
      </c>
      <c r="AR62" s="571" t="s">
        <v>2288</v>
      </c>
      <c r="AS62" s="792" t="s">
        <v>2402</v>
      </c>
      <c r="AT62" s="792" t="s">
        <v>2436</v>
      </c>
      <c r="AU62" s="571" t="s">
        <v>2493</v>
      </c>
      <c r="AV62" s="571" t="s">
        <v>1893</v>
      </c>
    </row>
    <row r="63" spans="1:48" ht="67.2" customHeight="1" thickBot="1" x14ac:dyDescent="0.4">
      <c r="A63" s="264"/>
      <c r="B63" s="1504" t="s">
        <v>1001</v>
      </c>
      <c r="C63" s="1504" t="s">
        <v>1201</v>
      </c>
      <c r="D63" s="266" t="s">
        <v>998</v>
      </c>
      <c r="E63" s="228">
        <v>0.15</v>
      </c>
      <c r="F63" s="226">
        <v>20</v>
      </c>
      <c r="G63" s="170">
        <v>2</v>
      </c>
      <c r="H63" s="170">
        <v>6</v>
      </c>
      <c r="I63" s="170">
        <v>7</v>
      </c>
      <c r="J63" s="176">
        <f>+G63/F63</f>
        <v>0.1</v>
      </c>
      <c r="K63" s="176">
        <f t="shared" si="103"/>
        <v>0.3</v>
      </c>
      <c r="L63" s="176">
        <f t="shared" si="113"/>
        <v>0.35</v>
      </c>
      <c r="M63" s="176">
        <f>+(G63/F63)*E63</f>
        <v>1.4999999999999999E-2</v>
      </c>
      <c r="N63" s="176">
        <f t="shared" si="105"/>
        <v>4.4999999999999998E-2</v>
      </c>
      <c r="O63" s="176"/>
      <c r="P63" s="170">
        <v>3</v>
      </c>
      <c r="Q63" s="541">
        <v>0.6</v>
      </c>
      <c r="R63" s="541">
        <v>0.36</v>
      </c>
      <c r="S63" s="541">
        <v>0.04</v>
      </c>
      <c r="T63" s="541">
        <v>0</v>
      </c>
      <c r="U63" s="541">
        <v>5</v>
      </c>
      <c r="V63" s="170">
        <f>+Q63+R63+S63+T63+U63</f>
        <v>6</v>
      </c>
      <c r="W63" s="170">
        <f t="shared" ref="W63:W67" si="120">+V63+P63+AB63</f>
        <v>9.42</v>
      </c>
      <c r="X63" s="541">
        <v>0.42</v>
      </c>
      <c r="Y63" s="170"/>
      <c r="Z63" s="170"/>
      <c r="AA63" s="170"/>
      <c r="AB63" s="170">
        <f t="shared" ref="AB63:AB65" si="121">+X63+Y63+Z63+AA63</f>
        <v>0.42</v>
      </c>
      <c r="AC63" s="194">
        <v>1</v>
      </c>
      <c r="AD63" s="194">
        <v>1</v>
      </c>
      <c r="AE63" s="194">
        <f t="shared" si="115"/>
        <v>0.06</v>
      </c>
      <c r="AF63" s="194">
        <f>+AC63*E63</f>
        <v>0.15</v>
      </c>
      <c r="AG63" s="194">
        <f t="shared" si="116"/>
        <v>0.15</v>
      </c>
      <c r="AH63" s="194">
        <f t="shared" si="117"/>
        <v>8.9999999999999993E-3</v>
      </c>
      <c r="AI63" s="194">
        <f>+P63/F63</f>
        <v>0.15</v>
      </c>
      <c r="AJ63" s="194">
        <v>0.45</v>
      </c>
      <c r="AK63" s="194">
        <f t="shared" si="118"/>
        <v>0.47099999999999997</v>
      </c>
      <c r="AL63" s="194">
        <f>+AI63*E63</f>
        <v>2.2499999999999999E-2</v>
      </c>
      <c r="AM63" s="194">
        <f>+AJ63*E63</f>
        <v>6.7500000000000004E-2</v>
      </c>
      <c r="AN63" s="194">
        <f t="shared" si="119"/>
        <v>7.0649999999999991E-2</v>
      </c>
      <c r="AO63" s="247" t="s">
        <v>1852</v>
      </c>
      <c r="AP63" s="571" t="s">
        <v>1892</v>
      </c>
      <c r="AQ63" s="571" t="s">
        <v>2269</v>
      </c>
      <c r="AR63" s="571" t="s">
        <v>2288</v>
      </c>
      <c r="AS63" s="792" t="s">
        <v>2402</v>
      </c>
      <c r="AT63" s="792" t="s">
        <v>2436</v>
      </c>
      <c r="AU63" s="571" t="s">
        <v>2493</v>
      </c>
      <c r="AV63" s="571" t="s">
        <v>1893</v>
      </c>
    </row>
    <row r="64" spans="1:48" ht="125.4" customHeight="1" thickBot="1" x14ac:dyDescent="0.4">
      <c r="A64" s="264"/>
      <c r="B64" s="1504" t="s">
        <v>1002</v>
      </c>
      <c r="C64" s="1504" t="s">
        <v>1202</v>
      </c>
      <c r="D64" s="266" t="s">
        <v>998</v>
      </c>
      <c r="E64" s="228">
        <v>0.1</v>
      </c>
      <c r="F64" s="226">
        <v>16</v>
      </c>
      <c r="G64" s="170">
        <v>2</v>
      </c>
      <c r="H64" s="170">
        <v>5</v>
      </c>
      <c r="I64" s="170">
        <v>5</v>
      </c>
      <c r="J64" s="176">
        <f>+G64/F64</f>
        <v>0.125</v>
      </c>
      <c r="K64" s="176">
        <f t="shared" si="103"/>
        <v>0.3125</v>
      </c>
      <c r="L64" s="176">
        <f t="shared" si="113"/>
        <v>0.3125</v>
      </c>
      <c r="M64" s="176">
        <f>+(G64/F64)*E64</f>
        <v>1.2500000000000001E-2</v>
      </c>
      <c r="N64" s="176">
        <f t="shared" si="105"/>
        <v>3.125E-2</v>
      </c>
      <c r="O64" s="176"/>
      <c r="P64" s="170">
        <v>2</v>
      </c>
      <c r="Q64" s="541">
        <v>1</v>
      </c>
      <c r="R64" s="541">
        <v>4</v>
      </c>
      <c r="S64" s="541">
        <v>0</v>
      </c>
      <c r="T64" s="541">
        <v>0</v>
      </c>
      <c r="U64" s="541">
        <v>0</v>
      </c>
      <c r="V64" s="170">
        <f t="shared" si="1"/>
        <v>5</v>
      </c>
      <c r="W64" s="170">
        <f t="shared" si="120"/>
        <v>7.3</v>
      </c>
      <c r="X64" s="541">
        <v>0.3</v>
      </c>
      <c r="Y64" s="170"/>
      <c r="Z64" s="170"/>
      <c r="AA64" s="170"/>
      <c r="AB64" s="170">
        <f t="shared" si="121"/>
        <v>0.3</v>
      </c>
      <c r="AC64" s="194">
        <f>+(P64/G64)</f>
        <v>1</v>
      </c>
      <c r="AD64" s="194">
        <f t="shared" si="114"/>
        <v>1</v>
      </c>
      <c r="AE64" s="194">
        <f t="shared" si="115"/>
        <v>0.06</v>
      </c>
      <c r="AF64" s="194">
        <f>+AC64*E64</f>
        <v>0.1</v>
      </c>
      <c r="AG64" s="194">
        <f>+AD64*E64</f>
        <v>0.1</v>
      </c>
      <c r="AH64" s="194">
        <f t="shared" si="117"/>
        <v>6.0000000000000001E-3</v>
      </c>
      <c r="AI64" s="194">
        <f>+P64/F64</f>
        <v>0.125</v>
      </c>
      <c r="AJ64" s="194">
        <v>0.4375</v>
      </c>
      <c r="AK64" s="194">
        <f t="shared" si="118"/>
        <v>0.45624999999999999</v>
      </c>
      <c r="AL64" s="194">
        <f>+AI64*E64</f>
        <v>1.2500000000000001E-2</v>
      </c>
      <c r="AM64" s="194">
        <f>+AJ64*E64</f>
        <v>4.3750000000000004E-2</v>
      </c>
      <c r="AN64" s="194">
        <f t="shared" si="119"/>
        <v>4.5624999999999999E-2</v>
      </c>
      <c r="AO64" s="247" t="s">
        <v>1852</v>
      </c>
      <c r="AP64" s="571" t="s">
        <v>1892</v>
      </c>
      <c r="AQ64" s="571" t="s">
        <v>2269</v>
      </c>
      <c r="AR64" s="571" t="s">
        <v>2288</v>
      </c>
      <c r="AS64" s="792" t="s">
        <v>2402</v>
      </c>
      <c r="AT64" s="792" t="s">
        <v>2436</v>
      </c>
      <c r="AU64" s="571" t="s">
        <v>2493</v>
      </c>
      <c r="AV64" s="571" t="s">
        <v>1893</v>
      </c>
    </row>
    <row r="65" spans="1:48" ht="67.2" customHeight="1" thickBot="1" x14ac:dyDescent="0.4">
      <c r="A65" s="264"/>
      <c r="B65" s="1504" t="s">
        <v>1003</v>
      </c>
      <c r="C65" s="1504" t="s">
        <v>1203</v>
      </c>
      <c r="D65" s="266" t="s">
        <v>998</v>
      </c>
      <c r="E65" s="228">
        <v>0.15</v>
      </c>
      <c r="F65" s="226">
        <v>40</v>
      </c>
      <c r="G65" s="170">
        <v>5</v>
      </c>
      <c r="H65" s="170">
        <v>12</v>
      </c>
      <c r="I65" s="170">
        <v>13</v>
      </c>
      <c r="J65" s="176">
        <f>+G65/F65</f>
        <v>0.125</v>
      </c>
      <c r="K65" s="176">
        <f t="shared" si="103"/>
        <v>0.3</v>
      </c>
      <c r="L65" s="176">
        <f>+I65/F65</f>
        <v>0.32500000000000001</v>
      </c>
      <c r="M65" s="176">
        <f>+(G65/F65)*E65</f>
        <v>1.8749999999999999E-2</v>
      </c>
      <c r="N65" s="176">
        <f t="shared" si="105"/>
        <v>4.4999999999999998E-2</v>
      </c>
      <c r="O65" s="176"/>
      <c r="P65" s="170">
        <v>5</v>
      </c>
      <c r="Q65" s="541">
        <v>1.2</v>
      </c>
      <c r="R65" s="541">
        <v>2.8</v>
      </c>
      <c r="S65" s="541">
        <v>1</v>
      </c>
      <c r="T65" s="541">
        <v>2</v>
      </c>
      <c r="U65" s="541">
        <v>5</v>
      </c>
      <c r="V65" s="170">
        <f t="shared" si="1"/>
        <v>12</v>
      </c>
      <c r="W65" s="170">
        <f t="shared" si="120"/>
        <v>18</v>
      </c>
      <c r="X65" s="541">
        <v>1</v>
      </c>
      <c r="Y65" s="170"/>
      <c r="Z65" s="170"/>
      <c r="AA65" s="170"/>
      <c r="AB65" s="170">
        <f t="shared" si="121"/>
        <v>1</v>
      </c>
      <c r="AC65" s="194">
        <f>+(P65/G65)</f>
        <v>1</v>
      </c>
      <c r="AD65" s="194">
        <f t="shared" si="114"/>
        <v>1</v>
      </c>
      <c r="AE65" s="194">
        <f t="shared" si="115"/>
        <v>7.6923076923076927E-2</v>
      </c>
      <c r="AF65" s="194">
        <f>+AC65*E65</f>
        <v>0.15</v>
      </c>
      <c r="AG65" s="194">
        <f t="shared" si="116"/>
        <v>0.15</v>
      </c>
      <c r="AH65" s="194">
        <f t="shared" si="117"/>
        <v>1.1538461538461539E-2</v>
      </c>
      <c r="AI65" s="194">
        <f>+P65/F65</f>
        <v>0.125</v>
      </c>
      <c r="AJ65" s="194">
        <v>0.42499999999999999</v>
      </c>
      <c r="AK65" s="194">
        <f t="shared" si="118"/>
        <v>0.45</v>
      </c>
      <c r="AL65" s="194">
        <f>+AI65*E65</f>
        <v>1.8749999999999999E-2</v>
      </c>
      <c r="AM65" s="194">
        <f>+AJ65*E65</f>
        <v>6.3750000000000001E-2</v>
      </c>
      <c r="AN65" s="194">
        <f t="shared" si="119"/>
        <v>6.7500000000000004E-2</v>
      </c>
      <c r="AO65" s="247" t="s">
        <v>1852</v>
      </c>
      <c r="AP65" s="571" t="s">
        <v>1892</v>
      </c>
      <c r="AQ65" s="571" t="s">
        <v>2269</v>
      </c>
      <c r="AR65" s="571" t="s">
        <v>2288</v>
      </c>
      <c r="AS65" s="792" t="s">
        <v>2402</v>
      </c>
      <c r="AT65" s="792" t="s">
        <v>2436</v>
      </c>
      <c r="AU65" s="571" t="s">
        <v>2493</v>
      </c>
      <c r="AV65" s="571" t="s">
        <v>1893</v>
      </c>
    </row>
    <row r="66" spans="1:48" ht="67.2" customHeight="1" thickBot="1" x14ac:dyDescent="0.4">
      <c r="A66" s="264"/>
      <c r="B66" s="1580" t="s">
        <v>1829</v>
      </c>
      <c r="C66" s="1562"/>
      <c r="D66" s="266"/>
      <c r="E66" s="232">
        <v>0.15</v>
      </c>
      <c r="F66" s="216"/>
      <c r="G66" s="163"/>
      <c r="H66" s="163"/>
      <c r="I66" s="163"/>
      <c r="J66" s="169">
        <f>+AVERAGE(J67)</f>
        <v>0.25</v>
      </c>
      <c r="K66" s="169">
        <f>+AVERAGE(K67)</f>
        <v>0.25</v>
      </c>
      <c r="L66" s="169">
        <f>+AVERAGE(L67)</f>
        <v>0.25</v>
      </c>
      <c r="M66" s="169">
        <f>+M67</f>
        <v>0.25</v>
      </c>
      <c r="N66" s="169">
        <f>+N67</f>
        <v>0.25</v>
      </c>
      <c r="O66" s="169"/>
      <c r="P66" s="168"/>
      <c r="Q66" s="168"/>
      <c r="R66" s="168"/>
      <c r="S66" s="168"/>
      <c r="T66" s="168"/>
      <c r="U66" s="987"/>
      <c r="V66" s="170"/>
      <c r="W66" s="170"/>
      <c r="X66" s="168"/>
      <c r="Y66" s="168"/>
      <c r="Z66" s="168"/>
      <c r="AA66" s="168"/>
      <c r="AB66" s="168"/>
      <c r="AC66" s="192">
        <f>+AVERAGE(AC67)</f>
        <v>1</v>
      </c>
      <c r="AD66" s="192">
        <f>+AVERAGE(AD67)</f>
        <v>1</v>
      </c>
      <c r="AE66" s="192">
        <f>+AVERAGE(AE67)</f>
        <v>0.19</v>
      </c>
      <c r="AF66" s="192">
        <f>+(AF67)*E66</f>
        <v>0.15</v>
      </c>
      <c r="AG66" s="192">
        <f>+(AG67)*E66</f>
        <v>0.15</v>
      </c>
      <c r="AH66" s="192">
        <f>+(AH67)*E66</f>
        <v>2.8499999999999998E-2</v>
      </c>
      <c r="AI66" s="169">
        <f>+AVERAGE(AI67)</f>
        <v>0.25</v>
      </c>
      <c r="AJ66" s="169">
        <v>0.5</v>
      </c>
      <c r="AK66" s="169">
        <f>+AVERAGE(AK67)</f>
        <v>0.54749999999999999</v>
      </c>
      <c r="AL66" s="169">
        <f>+(AL67)*E66</f>
        <v>3.7499999999999999E-2</v>
      </c>
      <c r="AM66" s="169">
        <f>+(AM67)</f>
        <v>0.5</v>
      </c>
      <c r="AN66" s="169">
        <f>+(AN67)</f>
        <v>0.54749999999999999</v>
      </c>
      <c r="AO66" s="163"/>
      <c r="AP66" s="163"/>
      <c r="AQ66" s="163"/>
      <c r="AR66" s="163"/>
      <c r="AS66" s="609"/>
      <c r="AT66" s="609"/>
      <c r="AU66" s="163"/>
      <c r="AV66" s="535"/>
    </row>
    <row r="67" spans="1:48" ht="114.6" customHeight="1" thickBot="1" x14ac:dyDescent="0.4">
      <c r="A67" s="264"/>
      <c r="B67" s="1504" t="s">
        <v>1004</v>
      </c>
      <c r="C67" s="1504" t="s">
        <v>1204</v>
      </c>
      <c r="D67" s="266" t="s">
        <v>998</v>
      </c>
      <c r="E67" s="228">
        <v>1</v>
      </c>
      <c r="F67" s="226">
        <v>4</v>
      </c>
      <c r="G67" s="170">
        <v>1</v>
      </c>
      <c r="H67" s="170">
        <v>1</v>
      </c>
      <c r="I67" s="170">
        <v>1</v>
      </c>
      <c r="J67" s="176">
        <f>+G67/F67</f>
        <v>0.25</v>
      </c>
      <c r="K67" s="176">
        <f t="shared" si="103"/>
        <v>0.25</v>
      </c>
      <c r="L67" s="176">
        <f t="shared" ref="L67" si="122">+I67/F67</f>
        <v>0.25</v>
      </c>
      <c r="M67" s="176">
        <f>+(G67/F67)*E67</f>
        <v>0.25</v>
      </c>
      <c r="N67" s="176">
        <f t="shared" si="105"/>
        <v>0.25</v>
      </c>
      <c r="O67" s="176"/>
      <c r="P67" s="170">
        <v>1</v>
      </c>
      <c r="Q67" s="541">
        <v>0.1</v>
      </c>
      <c r="R67" s="541">
        <v>0.25</v>
      </c>
      <c r="S67" s="541">
        <v>0.35</v>
      </c>
      <c r="T67" s="541">
        <v>0</v>
      </c>
      <c r="U67" s="541">
        <v>0.3</v>
      </c>
      <c r="V67" s="170">
        <f t="shared" si="1"/>
        <v>1</v>
      </c>
      <c r="W67" s="170">
        <f t="shared" si="120"/>
        <v>2.19</v>
      </c>
      <c r="X67" s="541">
        <v>0.19</v>
      </c>
      <c r="Y67" s="170"/>
      <c r="Z67" s="170"/>
      <c r="AA67" s="170"/>
      <c r="AB67" s="170">
        <f>+X67+Y67+Z67+AA67</f>
        <v>0.19</v>
      </c>
      <c r="AC67" s="194">
        <f>+(P67/G67)</f>
        <v>1</v>
      </c>
      <c r="AD67" s="194">
        <f t="shared" ref="AD67" si="123">+V67/H67</f>
        <v>1</v>
      </c>
      <c r="AE67" s="194">
        <f t="shared" ref="AE67" si="124">+AB67/I67</f>
        <v>0.19</v>
      </c>
      <c r="AF67" s="194">
        <f>+AC67*E67</f>
        <v>1</v>
      </c>
      <c r="AG67" s="194">
        <f t="shared" si="116"/>
        <v>1</v>
      </c>
      <c r="AH67" s="194">
        <f t="shared" ref="AH67" si="125">+AE67*E67</f>
        <v>0.19</v>
      </c>
      <c r="AI67" s="194">
        <f>+P67/F67</f>
        <v>0.25</v>
      </c>
      <c r="AJ67" s="194">
        <v>0.5</v>
      </c>
      <c r="AK67" s="194">
        <f>+W67/F67</f>
        <v>0.54749999999999999</v>
      </c>
      <c r="AL67" s="194">
        <f>+AI67*E67</f>
        <v>0.25</v>
      </c>
      <c r="AM67" s="194">
        <f>+AJ67*E67</f>
        <v>0.5</v>
      </c>
      <c r="AN67" s="194">
        <f t="shared" ref="AN67" si="126">+AK67*E67</f>
        <v>0.54749999999999999</v>
      </c>
      <c r="AO67" s="247" t="s">
        <v>1852</v>
      </c>
      <c r="AP67" s="571" t="s">
        <v>1892</v>
      </c>
      <c r="AQ67" s="571" t="s">
        <v>2269</v>
      </c>
      <c r="AR67" s="571" t="s">
        <v>2288</v>
      </c>
      <c r="AS67" s="792" t="s">
        <v>2402</v>
      </c>
      <c r="AT67" s="792" t="s">
        <v>2436</v>
      </c>
      <c r="AU67" s="571" t="s">
        <v>2493</v>
      </c>
      <c r="AV67" s="571" t="s">
        <v>1893</v>
      </c>
    </row>
    <row r="68" spans="1:48" ht="67.2" customHeight="1" thickBot="1" x14ac:dyDescent="0.4">
      <c r="A68" s="264"/>
      <c r="B68" s="1580" t="s">
        <v>1830</v>
      </c>
      <c r="C68" s="1562"/>
      <c r="D68" s="266"/>
      <c r="E68" s="232">
        <v>0.25</v>
      </c>
      <c r="F68" s="216"/>
      <c r="G68" s="163"/>
      <c r="H68" s="163"/>
      <c r="I68" s="163"/>
      <c r="J68" s="169">
        <f>+AVERAGE(J69:J73)</f>
        <v>0.23913043478260868</v>
      </c>
      <c r="K68" s="169">
        <f>+AVERAGE(K69:K73)</f>
        <v>0.36231884057971014</v>
      </c>
      <c r="L68" s="169">
        <f>+AVERAGE(L69:L73)</f>
        <v>0.26666666666666666</v>
      </c>
      <c r="M68" s="169">
        <f>+M69+M70+M71+M72+M73</f>
        <v>0.16684782608695653</v>
      </c>
      <c r="N68" s="169">
        <f>+N69+N70+N71+N72+N73</f>
        <v>0.34039855072463771</v>
      </c>
      <c r="O68" s="169"/>
      <c r="P68" s="168"/>
      <c r="Q68" s="168"/>
      <c r="R68" s="168"/>
      <c r="S68" s="168"/>
      <c r="T68" s="168"/>
      <c r="U68" s="987"/>
      <c r="V68" s="170"/>
      <c r="W68" s="170"/>
      <c r="X68" s="168"/>
      <c r="Y68" s="168"/>
      <c r="Z68" s="168"/>
      <c r="AA68" s="168"/>
      <c r="AB68" s="168"/>
      <c r="AC68" s="192">
        <f>+AVERAGE(AC69:AC73)</f>
        <v>0.66666666666666663</v>
      </c>
      <c r="AD68" s="192">
        <f>+AVERAGE(AD69:AD73)</f>
        <v>1</v>
      </c>
      <c r="AE68" s="192">
        <f>+AVERAGE(AE69:AE73)</f>
        <v>0.10000000000000002</v>
      </c>
      <c r="AF68" s="192">
        <f>+(AF69+AF70+AF71+AF72+AF73)*E68</f>
        <v>0.1125</v>
      </c>
      <c r="AG68" s="192">
        <f>+(AG69+AG70+AG71+AG72+AG73)*E68</f>
        <v>0.25</v>
      </c>
      <c r="AH68" s="192">
        <f>+(AH69+AH70+AH71+AH72+AH73)*E68</f>
        <v>2.4375000000000001E-2</v>
      </c>
      <c r="AI68" s="169">
        <f>+AVERAGE(AI69:AI73)</f>
        <v>0.16666666666666666</v>
      </c>
      <c r="AJ68" s="169">
        <v>0.46231884057971018</v>
      </c>
      <c r="AK68" s="169">
        <f>+AVERAGE(AK69:AK73)</f>
        <v>0.48731884057971014</v>
      </c>
      <c r="AL68" s="278">
        <f>+(AL69+AL70+AL71+AL72+AL73)*E68</f>
        <v>2.8125000000000001E-2</v>
      </c>
      <c r="AM68" s="278">
        <f>+(AM69+AM70+AM71+AM72+AM73)</f>
        <v>0.45289855072463769</v>
      </c>
      <c r="AN68" s="278">
        <f>+(AN69+AN70+AN71+AN72+AN73)</f>
        <v>0.47727355072463767</v>
      </c>
      <c r="AO68" s="163"/>
      <c r="AP68" s="720" t="s">
        <v>1992</v>
      </c>
      <c r="AQ68" s="163"/>
      <c r="AR68" s="163"/>
      <c r="AS68" s="609"/>
      <c r="AT68" s="609"/>
      <c r="AU68" s="163"/>
      <c r="AV68" s="535"/>
    </row>
    <row r="69" spans="1:48" ht="67.2" customHeight="1" thickBot="1" x14ac:dyDescent="0.4">
      <c r="A69" s="264"/>
      <c r="B69" s="1504" t="s">
        <v>1005</v>
      </c>
      <c r="C69" s="1504" t="s">
        <v>1205</v>
      </c>
      <c r="D69" s="266" t="s">
        <v>998</v>
      </c>
      <c r="E69" s="228">
        <v>0.25</v>
      </c>
      <c r="F69" s="226">
        <v>138</v>
      </c>
      <c r="G69" s="170">
        <v>30</v>
      </c>
      <c r="H69" s="170">
        <v>43</v>
      </c>
      <c r="I69" s="170">
        <v>46</v>
      </c>
      <c r="J69" s="176">
        <f>+G69/F69</f>
        <v>0.21739130434782608</v>
      </c>
      <c r="K69" s="176">
        <f t="shared" si="103"/>
        <v>0.31159420289855072</v>
      </c>
      <c r="L69" s="176">
        <f t="shared" ref="L69:L73" si="127">+I69/F69</f>
        <v>0.33333333333333331</v>
      </c>
      <c r="M69" s="176">
        <f>+(G69/F69)*E69</f>
        <v>5.434782608695652E-2</v>
      </c>
      <c r="N69" s="176">
        <f t="shared" si="105"/>
        <v>7.789855072463768E-2</v>
      </c>
      <c r="O69" s="176"/>
      <c r="P69" s="170">
        <v>0</v>
      </c>
      <c r="Q69" s="541">
        <v>0</v>
      </c>
      <c r="R69" s="541">
        <v>0</v>
      </c>
      <c r="S69" s="541">
        <v>0</v>
      </c>
      <c r="T69" s="541">
        <v>0</v>
      </c>
      <c r="U69" s="541">
        <v>43</v>
      </c>
      <c r="V69" s="170">
        <f t="shared" si="1"/>
        <v>43</v>
      </c>
      <c r="W69" s="170">
        <f>+V69+P69+AB69</f>
        <v>43</v>
      </c>
      <c r="X69" s="541">
        <v>0</v>
      </c>
      <c r="Y69" s="170"/>
      <c r="Z69" s="170"/>
      <c r="AA69" s="170"/>
      <c r="AB69" s="170">
        <f t="shared" ref="AB69:AB72" si="128">+X69+Y69+Z69+AA69</f>
        <v>0</v>
      </c>
      <c r="AC69" s="194">
        <f>+(P69/G69)</f>
        <v>0</v>
      </c>
      <c r="AD69" s="194">
        <f t="shared" ref="AD69:AD73" si="129">+V69/H69</f>
        <v>1</v>
      </c>
      <c r="AE69" s="194">
        <f t="shared" ref="AE69:AE73" si="130">+AB69/I69</f>
        <v>0</v>
      </c>
      <c r="AF69" s="194">
        <f>+AC69*E69</f>
        <v>0</v>
      </c>
      <c r="AG69" s="194">
        <f t="shared" si="116"/>
        <v>0.25</v>
      </c>
      <c r="AH69" s="194">
        <f t="shared" ref="AH69:AH73" si="131">+AE69*E69</f>
        <v>0</v>
      </c>
      <c r="AI69" s="194">
        <f>+P69/F69</f>
        <v>0</v>
      </c>
      <c r="AJ69" s="194">
        <v>0.31159420289855072</v>
      </c>
      <c r="AK69" s="194">
        <f t="shared" ref="AK69:AK73" si="132">+W69/F69</f>
        <v>0.31159420289855072</v>
      </c>
      <c r="AL69" s="194">
        <f>+AI69*E69</f>
        <v>0</v>
      </c>
      <c r="AM69" s="194">
        <f>+AJ69*E69</f>
        <v>7.789855072463768E-2</v>
      </c>
      <c r="AN69" s="194">
        <f t="shared" ref="AN69:AN73" si="133">+AK69*E69</f>
        <v>7.789855072463768E-2</v>
      </c>
      <c r="AO69" s="247" t="s">
        <v>1852</v>
      </c>
      <c r="AP69" s="571" t="s">
        <v>1892</v>
      </c>
      <c r="AQ69" s="571" t="s">
        <v>2269</v>
      </c>
      <c r="AR69" s="571" t="s">
        <v>2288</v>
      </c>
      <c r="AS69" s="792" t="s">
        <v>2402</v>
      </c>
      <c r="AT69" s="792" t="s">
        <v>2436</v>
      </c>
      <c r="AU69" s="571" t="s">
        <v>2493</v>
      </c>
      <c r="AV69" s="571" t="s">
        <v>1893</v>
      </c>
    </row>
    <row r="70" spans="1:48" ht="95.4" customHeight="1" thickBot="1" x14ac:dyDescent="0.4">
      <c r="A70" s="264"/>
      <c r="B70" s="1504" t="s">
        <v>1006</v>
      </c>
      <c r="C70" s="1504" t="s">
        <v>1206</v>
      </c>
      <c r="D70" s="266" t="s">
        <v>998</v>
      </c>
      <c r="E70" s="228">
        <v>0.25</v>
      </c>
      <c r="F70" s="226">
        <v>8</v>
      </c>
      <c r="G70" s="170">
        <v>2</v>
      </c>
      <c r="H70" s="170">
        <v>2</v>
      </c>
      <c r="I70" s="170">
        <v>2</v>
      </c>
      <c r="J70" s="176">
        <f>+G70/F70</f>
        <v>0.25</v>
      </c>
      <c r="K70" s="176">
        <f t="shared" si="103"/>
        <v>0.25</v>
      </c>
      <c r="L70" s="176">
        <f t="shared" si="127"/>
        <v>0.25</v>
      </c>
      <c r="M70" s="176">
        <f>+(G70/F70)*E70</f>
        <v>6.25E-2</v>
      </c>
      <c r="N70" s="176">
        <f t="shared" si="105"/>
        <v>6.25E-2</v>
      </c>
      <c r="O70" s="176"/>
      <c r="P70" s="170">
        <v>2</v>
      </c>
      <c r="Q70" s="541">
        <v>0.2</v>
      </c>
      <c r="R70" s="541">
        <v>0.7</v>
      </c>
      <c r="S70" s="541">
        <v>0.4</v>
      </c>
      <c r="T70" s="541">
        <v>0.2</v>
      </c>
      <c r="U70" s="541">
        <v>0.5</v>
      </c>
      <c r="V70" s="170">
        <f t="shared" si="1"/>
        <v>1.9999999999999998</v>
      </c>
      <c r="W70" s="170">
        <f t="shared" ref="W70:W75" si="134">+V70+P70+AB70</f>
        <v>4.4000000000000004</v>
      </c>
      <c r="X70" s="541">
        <v>0.4</v>
      </c>
      <c r="Y70" s="170"/>
      <c r="Z70" s="170"/>
      <c r="AA70" s="170"/>
      <c r="AB70" s="170">
        <f>+X70+Y70+Z70+AA70</f>
        <v>0.4</v>
      </c>
      <c r="AC70" s="194">
        <f>+(P70/G70)</f>
        <v>1</v>
      </c>
      <c r="AD70" s="194">
        <f>+V70/H70</f>
        <v>0.99999999999999989</v>
      </c>
      <c r="AE70" s="194">
        <f t="shared" si="130"/>
        <v>0.2</v>
      </c>
      <c r="AF70" s="194">
        <f>+AC70*E70</f>
        <v>0.25</v>
      </c>
      <c r="AG70" s="194">
        <f t="shared" si="116"/>
        <v>0.24999999999999997</v>
      </c>
      <c r="AH70" s="194">
        <f t="shared" si="131"/>
        <v>0.05</v>
      </c>
      <c r="AI70" s="194">
        <f>+P70/F70</f>
        <v>0.25</v>
      </c>
      <c r="AJ70" s="194">
        <v>0.5</v>
      </c>
      <c r="AK70" s="194">
        <f t="shared" si="132"/>
        <v>0.55000000000000004</v>
      </c>
      <c r="AL70" s="194">
        <f>+AI70*E70</f>
        <v>6.25E-2</v>
      </c>
      <c r="AM70" s="194">
        <f>+AJ70*E70</f>
        <v>0.125</v>
      </c>
      <c r="AN70" s="194">
        <f t="shared" si="133"/>
        <v>0.13750000000000001</v>
      </c>
      <c r="AO70" s="247" t="s">
        <v>1852</v>
      </c>
      <c r="AP70" s="571" t="s">
        <v>1892</v>
      </c>
      <c r="AQ70" s="571" t="s">
        <v>2269</v>
      </c>
      <c r="AR70" s="571" t="s">
        <v>2288</v>
      </c>
      <c r="AS70" s="792" t="s">
        <v>2402</v>
      </c>
      <c r="AT70" s="792" t="s">
        <v>2436</v>
      </c>
      <c r="AU70" s="571" t="s">
        <v>2493</v>
      </c>
      <c r="AV70" s="571" t="s">
        <v>1893</v>
      </c>
    </row>
    <row r="71" spans="1:48" ht="93" customHeight="1" thickBot="1" x14ac:dyDescent="0.4">
      <c r="A71" s="264"/>
      <c r="B71" s="1504" t="s">
        <v>1007</v>
      </c>
      <c r="C71" s="1504" t="s">
        <v>1207</v>
      </c>
      <c r="D71" s="266" t="s">
        <v>998</v>
      </c>
      <c r="E71" s="228">
        <v>0.15</v>
      </c>
      <c r="F71" s="226">
        <v>4</v>
      </c>
      <c r="G71" s="170">
        <v>0</v>
      </c>
      <c r="H71" s="170">
        <v>2</v>
      </c>
      <c r="I71" s="170">
        <v>1</v>
      </c>
      <c r="J71" s="176"/>
      <c r="K71" s="176">
        <f t="shared" si="103"/>
        <v>0.5</v>
      </c>
      <c r="L71" s="176">
        <f t="shared" si="127"/>
        <v>0.25</v>
      </c>
      <c r="M71" s="176"/>
      <c r="N71" s="176">
        <f t="shared" si="105"/>
        <v>7.4999999999999997E-2</v>
      </c>
      <c r="O71" s="176"/>
      <c r="P71" s="170"/>
      <c r="Q71" s="541">
        <v>0.2</v>
      </c>
      <c r="R71" s="541">
        <v>0.5</v>
      </c>
      <c r="S71" s="541">
        <v>7.0000000000000007E-2</v>
      </c>
      <c r="T71" s="541">
        <v>0</v>
      </c>
      <c r="U71" s="541">
        <v>1.23</v>
      </c>
      <c r="V71" s="170">
        <f t="shared" ref="V71:V82" si="135">+Q71+R71+S71+T71+U71</f>
        <v>2</v>
      </c>
      <c r="W71" s="170">
        <f t="shared" si="134"/>
        <v>2.1</v>
      </c>
      <c r="X71" s="541">
        <v>0.1</v>
      </c>
      <c r="Y71" s="170"/>
      <c r="Z71" s="170"/>
      <c r="AA71" s="170"/>
      <c r="AB71" s="170">
        <f t="shared" si="128"/>
        <v>0.1</v>
      </c>
      <c r="AC71" s="194"/>
      <c r="AD71" s="194">
        <f t="shared" si="129"/>
        <v>1</v>
      </c>
      <c r="AE71" s="194">
        <f t="shared" si="130"/>
        <v>0.1</v>
      </c>
      <c r="AF71" s="194"/>
      <c r="AG71" s="194">
        <f t="shared" si="116"/>
        <v>0.15</v>
      </c>
      <c r="AH71" s="194">
        <f t="shared" si="131"/>
        <v>1.4999999999999999E-2</v>
      </c>
      <c r="AI71" s="194"/>
      <c r="AJ71" s="194">
        <v>0.5</v>
      </c>
      <c r="AK71" s="194">
        <f t="shared" si="132"/>
        <v>0.52500000000000002</v>
      </c>
      <c r="AL71" s="194"/>
      <c r="AM71" s="194">
        <f t="shared" ref="AM71:AM72" si="136">+AJ71*E71</f>
        <v>7.4999999999999997E-2</v>
      </c>
      <c r="AN71" s="194">
        <f t="shared" si="133"/>
        <v>7.8750000000000001E-2</v>
      </c>
      <c r="AO71" s="163"/>
      <c r="AP71" s="571" t="s">
        <v>1892</v>
      </c>
      <c r="AQ71" s="571" t="s">
        <v>2269</v>
      </c>
      <c r="AR71" s="571" t="s">
        <v>2288</v>
      </c>
      <c r="AS71" s="792" t="s">
        <v>2402</v>
      </c>
      <c r="AT71" s="792" t="s">
        <v>2436</v>
      </c>
      <c r="AU71" s="571" t="s">
        <v>2493</v>
      </c>
      <c r="AV71" s="571" t="s">
        <v>1893</v>
      </c>
    </row>
    <row r="72" spans="1:48" ht="85.2" customHeight="1" thickBot="1" x14ac:dyDescent="0.4">
      <c r="A72" s="264"/>
      <c r="B72" s="1504" t="s">
        <v>1008</v>
      </c>
      <c r="C72" s="1504" t="s">
        <v>1208</v>
      </c>
      <c r="D72" s="266" t="s">
        <v>998</v>
      </c>
      <c r="E72" s="228">
        <v>0.15</v>
      </c>
      <c r="F72" s="226">
        <v>4</v>
      </c>
      <c r="G72" s="170">
        <v>0</v>
      </c>
      <c r="H72" s="170">
        <v>2</v>
      </c>
      <c r="I72" s="170">
        <v>1</v>
      </c>
      <c r="J72" s="176"/>
      <c r="K72" s="176">
        <f t="shared" si="103"/>
        <v>0.5</v>
      </c>
      <c r="L72" s="176">
        <f t="shared" si="127"/>
        <v>0.25</v>
      </c>
      <c r="M72" s="176"/>
      <c r="N72" s="176">
        <f t="shared" si="105"/>
        <v>7.4999999999999997E-2</v>
      </c>
      <c r="O72" s="176"/>
      <c r="P72" s="170"/>
      <c r="Q72" s="541">
        <v>0.2</v>
      </c>
      <c r="R72" s="541">
        <v>0.15</v>
      </c>
      <c r="S72" s="541">
        <v>0.09</v>
      </c>
      <c r="T72" s="541">
        <v>0</v>
      </c>
      <c r="U72" s="541">
        <v>1.56</v>
      </c>
      <c r="V72" s="170">
        <f t="shared" si="135"/>
        <v>2</v>
      </c>
      <c r="W72" s="170">
        <f t="shared" si="134"/>
        <v>2.15</v>
      </c>
      <c r="X72" s="541">
        <v>0.15</v>
      </c>
      <c r="Y72" s="170"/>
      <c r="Z72" s="170"/>
      <c r="AA72" s="170"/>
      <c r="AB72" s="170">
        <f t="shared" si="128"/>
        <v>0.15</v>
      </c>
      <c r="AC72" s="194"/>
      <c r="AD72" s="194">
        <f t="shared" si="129"/>
        <v>1</v>
      </c>
      <c r="AE72" s="194">
        <f t="shared" si="130"/>
        <v>0.15</v>
      </c>
      <c r="AF72" s="194"/>
      <c r="AG72" s="194">
        <f t="shared" si="116"/>
        <v>0.15</v>
      </c>
      <c r="AH72" s="194">
        <f t="shared" si="131"/>
        <v>2.2499999999999999E-2</v>
      </c>
      <c r="AI72" s="194"/>
      <c r="AJ72" s="194">
        <v>0.5</v>
      </c>
      <c r="AK72" s="194">
        <f t="shared" si="132"/>
        <v>0.53749999999999998</v>
      </c>
      <c r="AL72" s="194"/>
      <c r="AM72" s="194">
        <f t="shared" si="136"/>
        <v>7.4999999999999997E-2</v>
      </c>
      <c r="AN72" s="194">
        <f t="shared" si="133"/>
        <v>8.0624999999999988E-2</v>
      </c>
      <c r="AO72" s="163"/>
      <c r="AP72" s="571" t="s">
        <v>1892</v>
      </c>
      <c r="AQ72" s="571" t="s">
        <v>2269</v>
      </c>
      <c r="AR72" s="571" t="s">
        <v>2288</v>
      </c>
      <c r="AS72" s="792" t="s">
        <v>2402</v>
      </c>
      <c r="AT72" s="792" t="s">
        <v>2436</v>
      </c>
      <c r="AU72" s="571" t="s">
        <v>2493</v>
      </c>
      <c r="AV72" s="571" t="s">
        <v>1893</v>
      </c>
    </row>
    <row r="73" spans="1:48" ht="67.2" customHeight="1" thickBot="1" x14ac:dyDescent="0.4">
      <c r="A73" s="264"/>
      <c r="B73" s="1504" t="s">
        <v>1545</v>
      </c>
      <c r="C73" s="1504" t="s">
        <v>1544</v>
      </c>
      <c r="D73" s="266" t="s">
        <v>998</v>
      </c>
      <c r="E73" s="228">
        <v>0.2</v>
      </c>
      <c r="F73" s="226">
        <v>4</v>
      </c>
      <c r="G73" s="170">
        <v>1</v>
      </c>
      <c r="H73" s="170">
        <v>1</v>
      </c>
      <c r="I73" s="170">
        <v>1</v>
      </c>
      <c r="J73" s="176">
        <f>+G73/F73</f>
        <v>0.25</v>
      </c>
      <c r="K73" s="176">
        <f t="shared" si="103"/>
        <v>0.25</v>
      </c>
      <c r="L73" s="176">
        <f t="shared" si="127"/>
        <v>0.25</v>
      </c>
      <c r="M73" s="176">
        <f>+(G73/F73)*E73</f>
        <v>0.05</v>
      </c>
      <c r="N73" s="176">
        <f t="shared" si="105"/>
        <v>0.05</v>
      </c>
      <c r="O73" s="176"/>
      <c r="P73" s="170">
        <v>1</v>
      </c>
      <c r="Q73" s="541">
        <v>0.05</v>
      </c>
      <c r="R73" s="541">
        <f>0.13-Q73</f>
        <v>0.08</v>
      </c>
      <c r="S73" s="541">
        <v>0.3</v>
      </c>
      <c r="T73" s="541">
        <v>0</v>
      </c>
      <c r="U73" s="541">
        <v>0.57000000000000006</v>
      </c>
      <c r="V73" s="170">
        <f t="shared" si="135"/>
        <v>1</v>
      </c>
      <c r="W73" s="170">
        <f t="shared" si="134"/>
        <v>2.0499999999999998</v>
      </c>
      <c r="X73" s="541">
        <v>0.05</v>
      </c>
      <c r="Y73" s="170"/>
      <c r="Z73" s="170"/>
      <c r="AA73" s="170"/>
      <c r="AB73" s="170">
        <f>+X73+Y73+Z73+AA73</f>
        <v>0.05</v>
      </c>
      <c r="AC73" s="194">
        <f>+(P73/G73)</f>
        <v>1</v>
      </c>
      <c r="AD73" s="194">
        <f t="shared" si="129"/>
        <v>1</v>
      </c>
      <c r="AE73" s="194">
        <f t="shared" si="130"/>
        <v>0.05</v>
      </c>
      <c r="AF73" s="194">
        <f>+AC73*E73</f>
        <v>0.2</v>
      </c>
      <c r="AG73" s="194">
        <f t="shared" si="116"/>
        <v>0.2</v>
      </c>
      <c r="AH73" s="194">
        <f t="shared" si="131"/>
        <v>1.0000000000000002E-2</v>
      </c>
      <c r="AI73" s="194">
        <f>+P73/F73</f>
        <v>0.25</v>
      </c>
      <c r="AJ73" s="194">
        <v>0.5</v>
      </c>
      <c r="AK73" s="194">
        <f t="shared" si="132"/>
        <v>0.51249999999999996</v>
      </c>
      <c r="AL73" s="194">
        <f>+AI73*E73</f>
        <v>0.05</v>
      </c>
      <c r="AM73" s="194">
        <f>+AJ73*E73</f>
        <v>0.1</v>
      </c>
      <c r="AN73" s="194">
        <f t="shared" si="133"/>
        <v>0.10249999999999999</v>
      </c>
      <c r="AO73" s="247" t="s">
        <v>1852</v>
      </c>
      <c r="AP73" s="571" t="s">
        <v>1892</v>
      </c>
      <c r="AQ73" s="571" t="s">
        <v>2269</v>
      </c>
      <c r="AR73" s="571" t="s">
        <v>2288</v>
      </c>
      <c r="AS73" s="792" t="s">
        <v>2402</v>
      </c>
      <c r="AT73" s="792" t="s">
        <v>2436</v>
      </c>
      <c r="AU73" s="571" t="s">
        <v>2493</v>
      </c>
      <c r="AV73" s="571" t="s">
        <v>1893</v>
      </c>
    </row>
    <row r="74" spans="1:48" ht="67.2" customHeight="1" thickBot="1" x14ac:dyDescent="0.4">
      <c r="A74" s="264"/>
      <c r="B74" s="1580" t="s">
        <v>1831</v>
      </c>
      <c r="C74" s="1562"/>
      <c r="D74" s="266"/>
      <c r="E74" s="232">
        <v>0.1</v>
      </c>
      <c r="F74" s="216"/>
      <c r="G74" s="163"/>
      <c r="H74" s="163"/>
      <c r="I74" s="163"/>
      <c r="J74" s="169">
        <f>+AVERAGE(J75:J76)</f>
        <v>0.25</v>
      </c>
      <c r="K74" s="169">
        <f>+AVERAGE(K75:K76)</f>
        <v>0.25</v>
      </c>
      <c r="L74" s="169">
        <f>+AVERAGE(L75:L76)</f>
        <v>0.25</v>
      </c>
      <c r="M74" s="169">
        <f>+M75+M76</f>
        <v>0.25</v>
      </c>
      <c r="N74" s="169">
        <f>+N75+N76</f>
        <v>0.25</v>
      </c>
      <c r="O74" s="169"/>
      <c r="P74" s="168"/>
      <c r="Q74" s="168"/>
      <c r="R74" s="168"/>
      <c r="S74" s="168"/>
      <c r="T74" s="168"/>
      <c r="U74" s="987"/>
      <c r="V74" s="170"/>
      <c r="W74" s="170"/>
      <c r="X74" s="168"/>
      <c r="Y74" s="168"/>
      <c r="Z74" s="168"/>
      <c r="AA74" s="168"/>
      <c r="AB74" s="168"/>
      <c r="AC74" s="192">
        <f>+AVERAGE(AC75:AC76)</f>
        <v>1</v>
      </c>
      <c r="AD74" s="192">
        <f>+AVERAGE(AD75:AD76)</f>
        <v>1</v>
      </c>
      <c r="AE74" s="192">
        <f>+AVERAGE(AE75:AE76)</f>
        <v>0.06</v>
      </c>
      <c r="AF74" s="192">
        <f>+(AF75+AF76)*E74</f>
        <v>0.1</v>
      </c>
      <c r="AG74" s="192">
        <f>+(AG75+AG76)*E74</f>
        <v>0.1</v>
      </c>
      <c r="AH74" s="192">
        <f>+(AH75+AH76)*E74</f>
        <v>6.0000000000000001E-3</v>
      </c>
      <c r="AI74" s="169">
        <f>+AVERAGE(AI75:AI76)</f>
        <v>0.25</v>
      </c>
      <c r="AJ74" s="169">
        <v>0.5</v>
      </c>
      <c r="AK74" s="169">
        <f>+AVERAGE(AK75:AK76)</f>
        <v>0.51500000000000001</v>
      </c>
      <c r="AL74" s="169">
        <f>+(AL75+AL76)*E74</f>
        <v>2.5000000000000001E-2</v>
      </c>
      <c r="AM74" s="169">
        <f>+(AM75+AM76)</f>
        <v>0.5</v>
      </c>
      <c r="AN74" s="169">
        <f>+(AN75+AN76)</f>
        <v>0.51500000000000001</v>
      </c>
      <c r="AO74" s="163"/>
      <c r="AP74" s="163"/>
      <c r="AQ74" s="163"/>
      <c r="AR74" s="163"/>
      <c r="AS74" s="609"/>
      <c r="AT74" s="609"/>
      <c r="AU74" s="163"/>
      <c r="AV74" s="535"/>
    </row>
    <row r="75" spans="1:48" ht="67.2" customHeight="1" thickBot="1" x14ac:dyDescent="0.4">
      <c r="A75" s="264"/>
      <c r="B75" s="1504" t="s">
        <v>1009</v>
      </c>
      <c r="C75" s="1504" t="s">
        <v>1209</v>
      </c>
      <c r="D75" s="266" t="s">
        <v>998</v>
      </c>
      <c r="E75" s="228">
        <v>0.5</v>
      </c>
      <c r="F75" s="226">
        <v>12</v>
      </c>
      <c r="G75" s="170">
        <v>3</v>
      </c>
      <c r="H75" s="170">
        <v>3</v>
      </c>
      <c r="I75" s="170">
        <v>3</v>
      </c>
      <c r="J75" s="176">
        <f>+G75/F75</f>
        <v>0.25</v>
      </c>
      <c r="K75" s="176">
        <f t="shared" si="103"/>
        <v>0.25</v>
      </c>
      <c r="L75" s="176">
        <f t="shared" ref="L75:L76" si="137">+I75/F75</f>
        <v>0.25</v>
      </c>
      <c r="M75" s="176">
        <f>+(G75/F75)*E75</f>
        <v>0.125</v>
      </c>
      <c r="N75" s="176">
        <f t="shared" si="105"/>
        <v>0.125</v>
      </c>
      <c r="O75" s="176"/>
      <c r="P75" s="170">
        <v>3</v>
      </c>
      <c r="Q75" s="541">
        <v>0.15</v>
      </c>
      <c r="R75" s="541">
        <v>0.45</v>
      </c>
      <c r="S75" s="541">
        <v>0.06</v>
      </c>
      <c r="T75" s="541">
        <v>0.34</v>
      </c>
      <c r="U75" s="236">
        <v>2</v>
      </c>
      <c r="V75" s="170">
        <f t="shared" si="135"/>
        <v>3</v>
      </c>
      <c r="W75" s="170">
        <f t="shared" si="134"/>
        <v>6.18</v>
      </c>
      <c r="X75" s="541">
        <v>0.18</v>
      </c>
      <c r="Y75" s="170"/>
      <c r="Z75" s="170"/>
      <c r="AA75" s="170"/>
      <c r="AB75" s="170">
        <f t="shared" ref="AB75" si="138">+X75+Y75+Z75+AA75</f>
        <v>0.18</v>
      </c>
      <c r="AC75" s="194">
        <f>+(P75/G75)</f>
        <v>1</v>
      </c>
      <c r="AD75" s="194">
        <f t="shared" ref="AD75:AD76" si="139">+V75/H75</f>
        <v>1</v>
      </c>
      <c r="AE75" s="194">
        <f t="shared" ref="AE75" si="140">+AB75/I75</f>
        <v>0.06</v>
      </c>
      <c r="AF75" s="194">
        <f>+AC75*E75</f>
        <v>0.5</v>
      </c>
      <c r="AG75" s="194">
        <f t="shared" si="116"/>
        <v>0.5</v>
      </c>
      <c r="AH75" s="194">
        <f t="shared" ref="AH75:AH76" si="141">+AE75*E75</f>
        <v>0.03</v>
      </c>
      <c r="AI75" s="194">
        <f>+P75/F75</f>
        <v>0.25</v>
      </c>
      <c r="AJ75" s="194">
        <v>0.5</v>
      </c>
      <c r="AK75" s="194">
        <f t="shared" ref="AK75:AK76" si="142">+W75/F75</f>
        <v>0.51500000000000001</v>
      </c>
      <c r="AL75" s="194">
        <f>+AI75*E75</f>
        <v>0.125</v>
      </c>
      <c r="AM75" s="194">
        <f>+AJ75*E75</f>
        <v>0.25</v>
      </c>
      <c r="AN75" s="194">
        <f t="shared" ref="AN75:AN76" si="143">+AK75*E75</f>
        <v>0.25750000000000001</v>
      </c>
      <c r="AO75" s="247" t="s">
        <v>1852</v>
      </c>
      <c r="AP75" s="571" t="s">
        <v>1892</v>
      </c>
      <c r="AQ75" s="571" t="s">
        <v>2269</v>
      </c>
      <c r="AR75" s="571" t="s">
        <v>2288</v>
      </c>
      <c r="AS75" s="792" t="s">
        <v>2402</v>
      </c>
      <c r="AT75" s="792" t="s">
        <v>2436</v>
      </c>
      <c r="AU75" s="571" t="s">
        <v>2493</v>
      </c>
      <c r="AV75" s="571" t="s">
        <v>1893</v>
      </c>
    </row>
    <row r="76" spans="1:48" ht="67.2" customHeight="1" thickBot="1" x14ac:dyDescent="0.4">
      <c r="A76" s="264"/>
      <c r="B76" s="1504" t="s">
        <v>1010</v>
      </c>
      <c r="C76" s="1504" t="s">
        <v>1210</v>
      </c>
      <c r="D76" s="266" t="s">
        <v>998</v>
      </c>
      <c r="E76" s="228">
        <v>0.5</v>
      </c>
      <c r="F76" s="226">
        <v>4</v>
      </c>
      <c r="G76" s="170">
        <v>1</v>
      </c>
      <c r="H76" s="170">
        <v>1</v>
      </c>
      <c r="I76" s="170">
        <v>1</v>
      </c>
      <c r="J76" s="176">
        <f>+G76/F76</f>
        <v>0.25</v>
      </c>
      <c r="K76" s="176">
        <f t="shared" si="103"/>
        <v>0.25</v>
      </c>
      <c r="L76" s="176">
        <f t="shared" si="137"/>
        <v>0.25</v>
      </c>
      <c r="M76" s="176">
        <f>+(G76/F76)*E76</f>
        <v>0.125</v>
      </c>
      <c r="N76" s="176">
        <f t="shared" si="105"/>
        <v>0.125</v>
      </c>
      <c r="O76" s="176"/>
      <c r="P76" s="170">
        <v>1</v>
      </c>
      <c r="Q76" s="541">
        <v>0.1</v>
      </c>
      <c r="R76" s="541">
        <v>0.15</v>
      </c>
      <c r="S76" s="541">
        <v>0.02</v>
      </c>
      <c r="T76" s="541">
        <v>0</v>
      </c>
      <c r="U76" s="236">
        <v>0.73</v>
      </c>
      <c r="V76" s="170">
        <f t="shared" si="135"/>
        <v>1</v>
      </c>
      <c r="W76" s="170">
        <f>+V76+P76+AB76</f>
        <v>2.06</v>
      </c>
      <c r="X76" s="541">
        <v>0.06</v>
      </c>
      <c r="Y76" s="170"/>
      <c r="Z76" s="170"/>
      <c r="AA76" s="170"/>
      <c r="AB76" s="170">
        <f>+X76+Y76+Z76+AA76</f>
        <v>0.06</v>
      </c>
      <c r="AC76" s="194">
        <f>+(P76/G76)</f>
        <v>1</v>
      </c>
      <c r="AD76" s="194">
        <f t="shared" si="139"/>
        <v>1</v>
      </c>
      <c r="AE76" s="194">
        <f>+AB76/I76</f>
        <v>0.06</v>
      </c>
      <c r="AF76" s="194">
        <f>+AC76*E76</f>
        <v>0.5</v>
      </c>
      <c r="AG76" s="194">
        <f t="shared" si="116"/>
        <v>0.5</v>
      </c>
      <c r="AH76" s="194">
        <f t="shared" si="141"/>
        <v>0.03</v>
      </c>
      <c r="AI76" s="194">
        <f>+P76/F76</f>
        <v>0.25</v>
      </c>
      <c r="AJ76" s="194">
        <v>0.5</v>
      </c>
      <c r="AK76" s="194">
        <f t="shared" si="142"/>
        <v>0.51500000000000001</v>
      </c>
      <c r="AL76" s="194">
        <f>+AI76*E76</f>
        <v>0.125</v>
      </c>
      <c r="AM76" s="194">
        <f>+AJ76*E76</f>
        <v>0.25</v>
      </c>
      <c r="AN76" s="194">
        <f t="shared" si="143"/>
        <v>0.25750000000000001</v>
      </c>
      <c r="AO76" s="247" t="s">
        <v>1852</v>
      </c>
      <c r="AP76" s="571" t="s">
        <v>1892</v>
      </c>
      <c r="AQ76" s="571" t="s">
        <v>2269</v>
      </c>
      <c r="AR76" s="571" t="s">
        <v>2288</v>
      </c>
      <c r="AS76" s="792" t="s">
        <v>2402</v>
      </c>
      <c r="AT76" s="792" t="s">
        <v>2436</v>
      </c>
      <c r="AU76" s="571" t="s">
        <v>2493</v>
      </c>
      <c r="AV76" s="571" t="s">
        <v>1893</v>
      </c>
    </row>
    <row r="77" spans="1:48" ht="67.2" customHeight="1" thickBot="1" x14ac:dyDescent="0.4">
      <c r="A77" s="264"/>
      <c r="B77" s="1576" t="s">
        <v>1832</v>
      </c>
      <c r="C77" s="1562"/>
      <c r="D77" s="266"/>
      <c r="E77" s="234">
        <v>0.15</v>
      </c>
      <c r="F77" s="267">
        <f>E77*AF77</f>
        <v>8.2600999999999994E-2</v>
      </c>
      <c r="G77" s="163"/>
      <c r="H77" s="267">
        <f>+E77*AG77</f>
        <v>0.11696746363636362</v>
      </c>
      <c r="I77" s="267">
        <f>+E77*AH77</f>
        <v>2.3797367924528301E-2</v>
      </c>
      <c r="J77" s="161">
        <f>+(J78+J85+J92+J94+J99+J105)/5</f>
        <v>0.25436567555113532</v>
      </c>
      <c r="K77" s="161">
        <f>+(K78+K85+K92+K94+K99+K105)/6</f>
        <v>0.31832393913396156</v>
      </c>
      <c r="L77" s="161">
        <f>+(L78+L85+L92+L94+L99+L105)/6</f>
        <v>0.21609381266603023</v>
      </c>
      <c r="M77" s="162">
        <f>+(M78+M85+M92+M94+M99+M105)/5</f>
        <v>0.23789244132935511</v>
      </c>
      <c r="N77" s="162">
        <f>+(N78+N85+N92+N94+N99+N105)/6</f>
        <v>0.30079710077612098</v>
      </c>
      <c r="O77" s="162"/>
      <c r="P77" s="163"/>
      <c r="Q77" s="163"/>
      <c r="R77" s="163"/>
      <c r="S77" s="163"/>
      <c r="T77" s="163"/>
      <c r="U77" s="215"/>
      <c r="V77" s="967"/>
      <c r="W77" s="163"/>
      <c r="X77" s="163"/>
      <c r="Y77" s="163"/>
      <c r="Z77" s="163"/>
      <c r="AA77" s="163"/>
      <c r="AB77" s="163"/>
      <c r="AC77" s="161">
        <f>+(AC78+AC85+AC92+AC94+AC99+AC105)/5</f>
        <v>0.85431111111111113</v>
      </c>
      <c r="AD77" s="161">
        <f>+(AD78+AD85+AD92+AD94+AD99+AD105)/6</f>
        <v>0.75171893939393941</v>
      </c>
      <c r="AE77" s="161">
        <f>+(AE78+AE85+AE92+AE94+AE99+AE105)/6</f>
        <v>0.1985061146051712</v>
      </c>
      <c r="AF77" s="162">
        <f>+AF78+AF85+AF92+AF94+AF99+AF105</f>
        <v>0.55067333333333335</v>
      </c>
      <c r="AG77" s="162">
        <f>+AG78+AG85+AG92+AG94+AG99+AG105</f>
        <v>0.77978309090909081</v>
      </c>
      <c r="AH77" s="162">
        <f>+AH78+AH85+AH92+AH94+AH99+AH105</f>
        <v>0.15864911949685534</v>
      </c>
      <c r="AI77" s="161">
        <f>+(AI78+AI85+AI92+AI94+AI99+AI105)/6</f>
        <v>0.17211584073705719</v>
      </c>
      <c r="AJ77" s="161">
        <v>0.4683245805089773</v>
      </c>
      <c r="AK77" s="161">
        <f>+(AK78+AK85+AK92+AK94+AK99+AK105)/6</f>
        <v>0.50034498493047785</v>
      </c>
      <c r="AL77" s="268">
        <f>+(AL78+AL85+AL92+AL94+AL99+AL105)</f>
        <v>0.15231066433034965</v>
      </c>
      <c r="AM77" s="268">
        <f>+(AM78*E78+AM85*E85+AM92*E92+AM94*E94+AM99*E99+AM105*E105)</f>
        <v>0.49669634354560488</v>
      </c>
      <c r="AN77" s="268">
        <f>+(AN78*E78+AN85*E85+AN92*E92+AN94*E94+AN99*E99+AN105*E105)</f>
        <v>0.5322047461270204</v>
      </c>
      <c r="AO77" s="163"/>
      <c r="AP77" s="551" t="s">
        <v>1888</v>
      </c>
      <c r="AQ77" s="163"/>
      <c r="AR77" s="163"/>
      <c r="AS77" s="609"/>
      <c r="AT77" s="609"/>
      <c r="AU77" s="163"/>
      <c r="AV77" s="535"/>
    </row>
    <row r="78" spans="1:48" ht="67.2" customHeight="1" thickBot="1" x14ac:dyDescent="0.4">
      <c r="A78" s="264"/>
      <c r="B78" s="1580" t="s">
        <v>1770</v>
      </c>
      <c r="C78" s="1562"/>
      <c r="D78" s="266"/>
      <c r="E78" s="232">
        <v>0.15</v>
      </c>
      <c r="F78" s="216"/>
      <c r="G78" s="163"/>
      <c r="H78" s="163"/>
      <c r="I78" s="163"/>
      <c r="J78" s="169">
        <f>+AVERAGE(J79:J84)</f>
        <v>0.35243948886678761</v>
      </c>
      <c r="K78" s="169">
        <f>+AVERAGE(K79:K84)</f>
        <v>0.4932769681371027</v>
      </c>
      <c r="L78" s="169">
        <f>+AVERAGE(L79:L84)</f>
        <v>0.12295176488507015</v>
      </c>
      <c r="M78" s="169">
        <f>+M79+M80+M81+M82+M83+M84</f>
        <v>0.34219553998010876</v>
      </c>
      <c r="N78" s="169">
        <f>+N79+N80+N81+N82+N83+N84</f>
        <v>0.53394927132339243</v>
      </c>
      <c r="O78" s="169"/>
      <c r="P78" s="168"/>
      <c r="Q78" s="168"/>
      <c r="R78" s="168"/>
      <c r="S78" s="168"/>
      <c r="T78" s="168"/>
      <c r="U78" s="987"/>
      <c r="V78" s="170"/>
      <c r="W78" s="168"/>
      <c r="X78" s="168"/>
      <c r="Y78" s="168"/>
      <c r="Z78" s="168"/>
      <c r="AA78" s="168"/>
      <c r="AB78" s="168"/>
      <c r="AC78" s="192">
        <f>+AVERAGE(AC79:AC84)</f>
        <v>0.9</v>
      </c>
      <c r="AD78" s="192">
        <f>+AVERAGE(AD79:AD84)</f>
        <v>0.96969696969696972</v>
      </c>
      <c r="AE78" s="192">
        <f>+AVERAGE(AE79:AE84)</f>
        <v>0.31531446540880498</v>
      </c>
      <c r="AF78" s="192">
        <f>+(AF79+AF80+AF81+AF82+AF83+AF84)*E78</f>
        <v>0.1275</v>
      </c>
      <c r="AG78" s="192">
        <f>+(AG79+AG80+AG81+AG82+AG83+AG84)*E78</f>
        <v>0.1459090909090909</v>
      </c>
      <c r="AH78" s="192">
        <f>+(AH79+AH80+AH81+AH82+AH83+AH84)*E78</f>
        <v>4.8567452830188672E-2</v>
      </c>
      <c r="AI78" s="169">
        <f>+AVERAGE(AI79:AI84)</f>
        <v>0.32743948886678759</v>
      </c>
      <c r="AJ78" s="169">
        <v>0.77629859416497471</v>
      </c>
      <c r="AK78" s="169">
        <f>+AVERAGE(AK79:AK84)</f>
        <v>0.8144960206939782</v>
      </c>
      <c r="AL78" s="169">
        <f>+(AL79+AL80+AL81+AL82+AL83+AL84)*E78</f>
        <v>4.5704330997016318E-2</v>
      </c>
      <c r="AM78" s="169">
        <f>+(AM79+AM80+AM81+AM82+AM83+AM84)</f>
        <v>0.78866873474847721</v>
      </c>
      <c r="AN78" s="169">
        <f>+(AN79+AN80+AN81+AN82+AN83+AN84)</f>
        <v>0.8250464186245805</v>
      </c>
      <c r="AO78" s="163"/>
      <c r="AP78" s="163"/>
      <c r="AQ78" s="163"/>
      <c r="AR78" s="163"/>
      <c r="AS78" s="609"/>
      <c r="AT78" s="609"/>
      <c r="AU78" s="163"/>
      <c r="AV78" s="535"/>
    </row>
    <row r="79" spans="1:48" ht="107.4" customHeight="1" thickBot="1" x14ac:dyDescent="0.4">
      <c r="A79" s="264"/>
      <c r="B79" s="1504" t="s">
        <v>1011</v>
      </c>
      <c r="C79" s="1504" t="s">
        <v>1211</v>
      </c>
      <c r="D79" s="266" t="s">
        <v>1012</v>
      </c>
      <c r="E79" s="228">
        <v>0.15</v>
      </c>
      <c r="F79" s="226">
        <v>209</v>
      </c>
      <c r="G79" s="170">
        <v>53</v>
      </c>
      <c r="H79" s="170">
        <v>53</v>
      </c>
      <c r="I79" s="170">
        <v>53</v>
      </c>
      <c r="J79" s="176">
        <f t="shared" ref="J79:J84" si="144">+G79/F79</f>
        <v>0.25358851674641147</v>
      </c>
      <c r="K79" s="176">
        <f t="shared" ref="K79:K84" si="145">+H79/F79</f>
        <v>0.25358851674641147</v>
      </c>
      <c r="L79" s="176">
        <f t="shared" ref="L79:L84" si="146">+I79/F79</f>
        <v>0.25358851674641147</v>
      </c>
      <c r="M79" s="176">
        <f t="shared" ref="M79:M84" si="147">+(G79/F79)*E79</f>
        <v>3.8038277511961718E-2</v>
      </c>
      <c r="N79" s="176">
        <f t="shared" ref="N79:N84" si="148">+(H79/F79)*E79</f>
        <v>3.8038277511961718E-2</v>
      </c>
      <c r="O79" s="176"/>
      <c r="P79" s="279">
        <v>53</v>
      </c>
      <c r="Q79" s="560">
        <v>0</v>
      </c>
      <c r="R79" s="560">
        <v>48</v>
      </c>
      <c r="S79" s="560">
        <v>12</v>
      </c>
      <c r="T79" s="560">
        <v>0</v>
      </c>
      <c r="U79" s="560">
        <v>0</v>
      </c>
      <c r="V79" s="279">
        <f t="shared" si="135"/>
        <v>60</v>
      </c>
      <c r="W79" s="279">
        <f>+V79+P79+AB79</f>
        <v>129</v>
      </c>
      <c r="X79" s="279">
        <v>16</v>
      </c>
      <c r="Y79" s="279"/>
      <c r="Z79" s="279"/>
      <c r="AA79" s="279"/>
      <c r="AB79" s="279">
        <f t="shared" ref="AB79:AB84" si="149">+X79+Y79+Z79+AA79</f>
        <v>16</v>
      </c>
      <c r="AC79" s="194">
        <f>+(P79/G79)</f>
        <v>1</v>
      </c>
      <c r="AD79" s="194">
        <v>1</v>
      </c>
      <c r="AE79" s="194">
        <f t="shared" ref="AE79:AE84" si="150">+AB79/I79</f>
        <v>0.30188679245283018</v>
      </c>
      <c r="AF79" s="194">
        <f t="shared" ref="AF79:AF84" si="151">+AC79*E79</f>
        <v>0.15</v>
      </c>
      <c r="AG79" s="194">
        <f t="shared" ref="AG79:AG84" si="152">+AD79*E79</f>
        <v>0.15</v>
      </c>
      <c r="AH79" s="194">
        <f t="shared" ref="AH79:AH84" si="153">+AE79*E79</f>
        <v>4.5283018867924525E-2</v>
      </c>
      <c r="AI79" s="194">
        <f t="shared" ref="AI79:AI84" si="154">+P79/F79</f>
        <v>0.25358851674641147</v>
      </c>
      <c r="AJ79" s="194">
        <v>0.54066985645933019</v>
      </c>
      <c r="AK79" s="194">
        <f>+W79/F79</f>
        <v>0.61722488038277512</v>
      </c>
      <c r="AL79" s="178">
        <f t="shared" ref="AL79:AL84" si="155">+AI79*E79</f>
        <v>3.8038277511961718E-2</v>
      </c>
      <c r="AM79" s="178">
        <f t="shared" ref="AM79:AM84" si="156">+AJ79*E79</f>
        <v>8.110047846889952E-2</v>
      </c>
      <c r="AN79" s="178">
        <f t="shared" ref="AN79:AN84" si="157">+AK79*E79</f>
        <v>9.2583732057416268E-2</v>
      </c>
      <c r="AO79" s="247" t="s">
        <v>1852</v>
      </c>
      <c r="AP79" s="571" t="s">
        <v>1891</v>
      </c>
      <c r="AQ79" s="571" t="s">
        <v>2269</v>
      </c>
      <c r="AR79" s="571" t="s">
        <v>2288</v>
      </c>
      <c r="AS79" s="792" t="s">
        <v>2402</v>
      </c>
      <c r="AT79" s="792" t="s">
        <v>2438</v>
      </c>
      <c r="AU79" s="571" t="s">
        <v>2493</v>
      </c>
      <c r="AV79" s="571" t="s">
        <v>1893</v>
      </c>
    </row>
    <row r="80" spans="1:48" ht="117" customHeight="1" thickBot="1" x14ac:dyDescent="0.4">
      <c r="A80" s="264"/>
      <c r="B80" s="1504" t="s">
        <v>1013</v>
      </c>
      <c r="C80" s="1504" t="s">
        <v>1212</v>
      </c>
      <c r="D80" s="266" t="s">
        <v>1012</v>
      </c>
      <c r="E80" s="228">
        <v>0.15</v>
      </c>
      <c r="F80" s="226">
        <v>328</v>
      </c>
      <c r="G80" s="170">
        <v>150</v>
      </c>
      <c r="H80" s="170">
        <v>150</v>
      </c>
      <c r="I80" s="170">
        <v>28</v>
      </c>
      <c r="J80" s="176">
        <f t="shared" si="144"/>
        <v>0.45731707317073172</v>
      </c>
      <c r="K80" s="176">
        <f t="shared" si="145"/>
        <v>0.45731707317073172</v>
      </c>
      <c r="L80" s="176">
        <f t="shared" si="146"/>
        <v>8.5365853658536592E-2</v>
      </c>
      <c r="M80" s="176">
        <f t="shared" si="147"/>
        <v>6.8597560975609762E-2</v>
      </c>
      <c r="N80" s="176">
        <f t="shared" si="148"/>
        <v>6.8597560975609762E-2</v>
      </c>
      <c r="O80" s="176"/>
      <c r="P80" s="279">
        <v>150</v>
      </c>
      <c r="Q80" s="560">
        <v>150</v>
      </c>
      <c r="R80" s="560">
        <v>0</v>
      </c>
      <c r="S80" s="560">
        <v>0</v>
      </c>
      <c r="T80" s="560">
        <v>0</v>
      </c>
      <c r="U80" s="560">
        <v>0</v>
      </c>
      <c r="V80" s="279">
        <f t="shared" si="135"/>
        <v>150</v>
      </c>
      <c r="W80" s="279">
        <f t="shared" ref="W80:W84" si="158">+V80+P80+AB80</f>
        <v>328</v>
      </c>
      <c r="X80" s="279">
        <v>28</v>
      </c>
      <c r="Y80" s="279"/>
      <c r="Z80" s="279"/>
      <c r="AA80" s="279"/>
      <c r="AB80" s="279">
        <f t="shared" si="149"/>
        <v>28</v>
      </c>
      <c r="AC80" s="194">
        <v>1</v>
      </c>
      <c r="AD80" s="194">
        <f t="shared" ref="AD80:AD81" si="159">+V80/H80</f>
        <v>1</v>
      </c>
      <c r="AE80" s="194">
        <f t="shared" si="150"/>
        <v>1</v>
      </c>
      <c r="AF80" s="194">
        <f t="shared" si="151"/>
        <v>0.15</v>
      </c>
      <c r="AG80" s="194">
        <f t="shared" si="152"/>
        <v>0.15</v>
      </c>
      <c r="AH80" s="194">
        <f t="shared" si="153"/>
        <v>0.15</v>
      </c>
      <c r="AI80" s="194">
        <f t="shared" si="154"/>
        <v>0.45731707317073172</v>
      </c>
      <c r="AJ80" s="194">
        <v>0.91463414634146345</v>
      </c>
      <c r="AK80" s="194">
        <f t="shared" ref="AK80:AK84" si="160">+W80/F80</f>
        <v>1</v>
      </c>
      <c r="AL80" s="178">
        <f t="shared" si="155"/>
        <v>6.8597560975609762E-2</v>
      </c>
      <c r="AM80" s="178">
        <f t="shared" si="156"/>
        <v>0.13719512195121952</v>
      </c>
      <c r="AN80" s="178">
        <f t="shared" si="157"/>
        <v>0.15</v>
      </c>
      <c r="AO80" s="247" t="s">
        <v>1852</v>
      </c>
      <c r="AP80" s="571" t="s">
        <v>1891</v>
      </c>
      <c r="AQ80" s="571" t="s">
        <v>2269</v>
      </c>
      <c r="AR80" s="571" t="s">
        <v>2288</v>
      </c>
      <c r="AS80" s="792" t="s">
        <v>2402</v>
      </c>
      <c r="AT80" s="792" t="s">
        <v>2438</v>
      </c>
      <c r="AU80" s="571" t="s">
        <v>2493</v>
      </c>
      <c r="AV80" s="571" t="s">
        <v>1893</v>
      </c>
    </row>
    <row r="81" spans="1:48" ht="93.6" customHeight="1" thickBot="1" x14ac:dyDescent="0.4">
      <c r="A81" s="264"/>
      <c r="B81" s="1504" t="s">
        <v>1014</v>
      </c>
      <c r="C81" s="1504" t="s">
        <v>1213</v>
      </c>
      <c r="D81" s="266" t="s">
        <v>1012</v>
      </c>
      <c r="E81" s="228">
        <v>0.15</v>
      </c>
      <c r="F81" s="226">
        <v>402</v>
      </c>
      <c r="G81" s="170">
        <v>102</v>
      </c>
      <c r="H81" s="170">
        <v>100</v>
      </c>
      <c r="I81" s="170">
        <v>100</v>
      </c>
      <c r="J81" s="176">
        <f t="shared" si="144"/>
        <v>0.2537313432835821</v>
      </c>
      <c r="K81" s="176">
        <f t="shared" si="145"/>
        <v>0.24875621890547264</v>
      </c>
      <c r="L81" s="176">
        <f t="shared" si="146"/>
        <v>0.24875621890547264</v>
      </c>
      <c r="M81" s="176">
        <f t="shared" si="147"/>
        <v>3.8059701492537311E-2</v>
      </c>
      <c r="N81" s="176">
        <f t="shared" si="148"/>
        <v>3.7313432835820892E-2</v>
      </c>
      <c r="O81" s="176"/>
      <c r="P81" s="279">
        <v>102</v>
      </c>
      <c r="Q81" s="560">
        <v>26</v>
      </c>
      <c r="R81" s="560">
        <v>21</v>
      </c>
      <c r="S81" s="560">
        <v>24</v>
      </c>
      <c r="T81" s="560">
        <v>29</v>
      </c>
      <c r="U81" s="560">
        <v>0</v>
      </c>
      <c r="V81" s="279">
        <f t="shared" si="135"/>
        <v>100</v>
      </c>
      <c r="W81" s="279">
        <f t="shared" si="158"/>
        <v>221</v>
      </c>
      <c r="X81" s="279">
        <v>19</v>
      </c>
      <c r="Y81" s="279"/>
      <c r="Z81" s="279"/>
      <c r="AA81" s="279"/>
      <c r="AB81" s="279">
        <f t="shared" si="149"/>
        <v>19</v>
      </c>
      <c r="AC81" s="194">
        <f>+(P81/G81)</f>
        <v>1</v>
      </c>
      <c r="AD81" s="194">
        <f t="shared" si="159"/>
        <v>1</v>
      </c>
      <c r="AE81" s="194">
        <f t="shared" si="150"/>
        <v>0.19</v>
      </c>
      <c r="AF81" s="194">
        <f t="shared" si="151"/>
        <v>0.15</v>
      </c>
      <c r="AG81" s="194">
        <f t="shared" si="152"/>
        <v>0.15</v>
      </c>
      <c r="AH81" s="194">
        <f t="shared" si="153"/>
        <v>2.8499999999999998E-2</v>
      </c>
      <c r="AI81" s="194">
        <f t="shared" si="154"/>
        <v>0.2537313432835821</v>
      </c>
      <c r="AJ81" s="194">
        <v>0.50248756218905477</v>
      </c>
      <c r="AK81" s="194">
        <f t="shared" si="160"/>
        <v>0.54975124378109452</v>
      </c>
      <c r="AL81" s="178">
        <f t="shared" si="155"/>
        <v>3.8059701492537311E-2</v>
      </c>
      <c r="AM81" s="178">
        <f t="shared" si="156"/>
        <v>7.537313432835821E-2</v>
      </c>
      <c r="AN81" s="178">
        <f t="shared" si="157"/>
        <v>8.246268656716417E-2</v>
      </c>
      <c r="AO81" s="247" t="s">
        <v>1852</v>
      </c>
      <c r="AP81" s="571" t="s">
        <v>1891</v>
      </c>
      <c r="AQ81" s="571" t="s">
        <v>2269</v>
      </c>
      <c r="AR81" s="571" t="s">
        <v>2288</v>
      </c>
      <c r="AS81" s="792" t="s">
        <v>2402</v>
      </c>
      <c r="AT81" s="792" t="s">
        <v>2438</v>
      </c>
      <c r="AU81" s="571" t="s">
        <v>2493</v>
      </c>
      <c r="AV81" s="571" t="s">
        <v>1893</v>
      </c>
    </row>
    <row r="82" spans="1:48" ht="97.2" customHeight="1" thickBot="1" x14ac:dyDescent="0.4">
      <c r="A82" s="264"/>
      <c r="B82" s="1504" t="s">
        <v>1015</v>
      </c>
      <c r="C82" s="1504" t="s">
        <v>1214</v>
      </c>
      <c r="D82" s="266" t="s">
        <v>1012</v>
      </c>
      <c r="E82" s="228">
        <v>0.15</v>
      </c>
      <c r="F82" s="226">
        <v>1</v>
      </c>
      <c r="G82" s="236">
        <v>0.45</v>
      </c>
      <c r="H82" s="236">
        <v>0.55000000000000004</v>
      </c>
      <c r="I82" s="236">
        <v>0.05</v>
      </c>
      <c r="J82" s="176">
        <f t="shared" si="144"/>
        <v>0.45</v>
      </c>
      <c r="K82" s="176">
        <f t="shared" si="145"/>
        <v>0.55000000000000004</v>
      </c>
      <c r="L82" s="176">
        <f t="shared" si="146"/>
        <v>0.05</v>
      </c>
      <c r="M82" s="176">
        <f t="shared" si="147"/>
        <v>6.7500000000000004E-2</v>
      </c>
      <c r="N82" s="176">
        <f t="shared" si="148"/>
        <v>8.2500000000000004E-2</v>
      </c>
      <c r="O82" s="176"/>
      <c r="P82" s="280">
        <v>0.45</v>
      </c>
      <c r="Q82" s="561">
        <v>0</v>
      </c>
      <c r="R82" s="561">
        <v>0.05</v>
      </c>
      <c r="S82" s="561">
        <v>0</v>
      </c>
      <c r="T82" s="561">
        <v>0.27</v>
      </c>
      <c r="U82" s="561">
        <v>0.13</v>
      </c>
      <c r="V82" s="280">
        <f t="shared" si="135"/>
        <v>0.45</v>
      </c>
      <c r="W82" s="279">
        <f t="shared" si="158"/>
        <v>0.9</v>
      </c>
      <c r="X82" s="280">
        <v>0</v>
      </c>
      <c r="Y82" s="280"/>
      <c r="Z82" s="280"/>
      <c r="AA82" s="280"/>
      <c r="AB82" s="280">
        <f t="shared" si="149"/>
        <v>0</v>
      </c>
      <c r="AC82" s="194">
        <v>1</v>
      </c>
      <c r="AD82" s="194">
        <f>+V82/0.45</f>
        <v>1</v>
      </c>
      <c r="AE82" s="194">
        <f t="shared" si="150"/>
        <v>0</v>
      </c>
      <c r="AF82" s="194">
        <f t="shared" si="151"/>
        <v>0.15</v>
      </c>
      <c r="AG82" s="194">
        <f t="shared" si="152"/>
        <v>0.15</v>
      </c>
      <c r="AH82" s="194">
        <f t="shared" si="153"/>
        <v>0</v>
      </c>
      <c r="AI82" s="194">
        <f t="shared" si="154"/>
        <v>0.45</v>
      </c>
      <c r="AJ82" s="194">
        <v>0.9</v>
      </c>
      <c r="AK82" s="194">
        <f t="shared" si="160"/>
        <v>0.9</v>
      </c>
      <c r="AL82" s="178">
        <f t="shared" si="155"/>
        <v>6.7500000000000004E-2</v>
      </c>
      <c r="AM82" s="178">
        <f t="shared" si="156"/>
        <v>0.13500000000000001</v>
      </c>
      <c r="AN82" s="178">
        <f t="shared" si="157"/>
        <v>0.13500000000000001</v>
      </c>
      <c r="AO82" s="247" t="s">
        <v>1860</v>
      </c>
      <c r="AP82" s="571" t="s">
        <v>1891</v>
      </c>
      <c r="AQ82" s="571" t="s">
        <v>2269</v>
      </c>
      <c r="AR82" s="571" t="s">
        <v>2288</v>
      </c>
      <c r="AS82" s="792" t="s">
        <v>2402</v>
      </c>
      <c r="AT82" s="792" t="s">
        <v>2438</v>
      </c>
      <c r="AU82" s="571" t="s">
        <v>2493</v>
      </c>
      <c r="AV82" s="571" t="s">
        <v>1893</v>
      </c>
    </row>
    <row r="83" spans="1:48" ht="137.4" customHeight="1" thickBot="1" x14ac:dyDescent="0.4">
      <c r="A83" s="264"/>
      <c r="B83" s="1504" t="s">
        <v>1016</v>
      </c>
      <c r="C83" s="1504" t="s">
        <v>1215</v>
      </c>
      <c r="D83" s="266" t="s">
        <v>1012</v>
      </c>
      <c r="E83" s="228">
        <v>0.15</v>
      </c>
      <c r="F83" s="226">
        <v>1</v>
      </c>
      <c r="G83" s="170">
        <v>0.45</v>
      </c>
      <c r="H83" s="170">
        <v>0.55000000000000004</v>
      </c>
      <c r="I83" s="170">
        <v>0.05</v>
      </c>
      <c r="J83" s="176">
        <f t="shared" si="144"/>
        <v>0.45</v>
      </c>
      <c r="K83" s="176">
        <f t="shared" si="145"/>
        <v>0.55000000000000004</v>
      </c>
      <c r="L83" s="176">
        <f t="shared" si="146"/>
        <v>0.05</v>
      </c>
      <c r="M83" s="176">
        <f t="shared" si="147"/>
        <v>6.7500000000000004E-2</v>
      </c>
      <c r="N83" s="176">
        <f t="shared" si="148"/>
        <v>8.2500000000000004E-2</v>
      </c>
      <c r="O83" s="176"/>
      <c r="P83" s="280">
        <v>0.45</v>
      </c>
      <c r="Q83" s="561">
        <v>0</v>
      </c>
      <c r="R83" s="561">
        <v>0.25</v>
      </c>
      <c r="S83" s="561">
        <v>0</v>
      </c>
      <c r="T83" s="561">
        <v>0.06</v>
      </c>
      <c r="U83" s="561">
        <v>0.14000000000000001</v>
      </c>
      <c r="V83" s="280">
        <f>+Q83+R83+S83+T83+U83</f>
        <v>0.45</v>
      </c>
      <c r="W83" s="279">
        <f t="shared" si="158"/>
        <v>0.9</v>
      </c>
      <c r="X83" s="280">
        <v>0</v>
      </c>
      <c r="Y83" s="280"/>
      <c r="Z83" s="280"/>
      <c r="AA83" s="280"/>
      <c r="AB83" s="280">
        <f t="shared" si="149"/>
        <v>0</v>
      </c>
      <c r="AC83" s="194">
        <f>+(P83/G83)</f>
        <v>1</v>
      </c>
      <c r="AD83" s="194">
        <f>+V83/H83</f>
        <v>0.81818181818181812</v>
      </c>
      <c r="AE83" s="194">
        <f t="shared" si="150"/>
        <v>0</v>
      </c>
      <c r="AF83" s="194">
        <f t="shared" si="151"/>
        <v>0.15</v>
      </c>
      <c r="AG83" s="194">
        <f t="shared" si="152"/>
        <v>0.12272727272727271</v>
      </c>
      <c r="AH83" s="194">
        <f t="shared" si="153"/>
        <v>0</v>
      </c>
      <c r="AI83" s="194">
        <f t="shared" si="154"/>
        <v>0.45</v>
      </c>
      <c r="AJ83" s="194">
        <v>0.9</v>
      </c>
      <c r="AK83" s="194">
        <f t="shared" si="160"/>
        <v>0.9</v>
      </c>
      <c r="AL83" s="178">
        <f t="shared" si="155"/>
        <v>6.7500000000000004E-2</v>
      </c>
      <c r="AM83" s="178">
        <f t="shared" si="156"/>
        <v>0.13500000000000001</v>
      </c>
      <c r="AN83" s="178">
        <f t="shared" si="157"/>
        <v>0.13500000000000001</v>
      </c>
      <c r="AO83" s="247" t="s">
        <v>1861</v>
      </c>
      <c r="AP83" s="571" t="s">
        <v>1891</v>
      </c>
      <c r="AQ83" s="571" t="s">
        <v>2269</v>
      </c>
      <c r="AR83" s="571" t="s">
        <v>2288</v>
      </c>
      <c r="AS83" s="792" t="s">
        <v>2402</v>
      </c>
      <c r="AT83" s="792" t="s">
        <v>2438</v>
      </c>
      <c r="AU83" s="571" t="s">
        <v>2493</v>
      </c>
      <c r="AV83" s="571" t="s">
        <v>1893</v>
      </c>
    </row>
    <row r="84" spans="1:48" ht="133.19999999999999" customHeight="1" thickBot="1" x14ac:dyDescent="0.4">
      <c r="A84" s="264"/>
      <c r="B84" s="1504" t="s">
        <v>1017</v>
      </c>
      <c r="C84" s="1504" t="s">
        <v>1216</v>
      </c>
      <c r="D84" s="266" t="s">
        <v>1012</v>
      </c>
      <c r="E84" s="228">
        <v>0.25</v>
      </c>
      <c r="F84" s="226">
        <v>1</v>
      </c>
      <c r="G84" s="170">
        <v>0.25</v>
      </c>
      <c r="H84" s="170">
        <v>0.9</v>
      </c>
      <c r="I84" s="170">
        <v>0.05</v>
      </c>
      <c r="J84" s="176">
        <f t="shared" si="144"/>
        <v>0.25</v>
      </c>
      <c r="K84" s="176">
        <f t="shared" si="145"/>
        <v>0.9</v>
      </c>
      <c r="L84" s="176">
        <f t="shared" si="146"/>
        <v>0.05</v>
      </c>
      <c r="M84" s="176">
        <f t="shared" si="147"/>
        <v>6.25E-2</v>
      </c>
      <c r="N84" s="176">
        <f t="shared" si="148"/>
        <v>0.22500000000000001</v>
      </c>
      <c r="O84" s="176"/>
      <c r="P84" s="280">
        <v>0.1</v>
      </c>
      <c r="Q84" s="561">
        <v>0</v>
      </c>
      <c r="R84" s="561">
        <v>0.5</v>
      </c>
      <c r="S84" s="561">
        <v>0</v>
      </c>
      <c r="T84" s="561">
        <v>0.22</v>
      </c>
      <c r="U84" s="561">
        <v>0.08</v>
      </c>
      <c r="V84" s="280">
        <f>+Q84+R84+S84+T84+U84</f>
        <v>0.79999999999999993</v>
      </c>
      <c r="W84" s="279">
        <f t="shared" si="158"/>
        <v>0.91999999999999993</v>
      </c>
      <c r="X84" s="280">
        <v>0.02</v>
      </c>
      <c r="Y84" s="280"/>
      <c r="Z84" s="280"/>
      <c r="AA84" s="280"/>
      <c r="AB84" s="280">
        <f t="shared" si="149"/>
        <v>0.02</v>
      </c>
      <c r="AC84" s="194">
        <f>+(P84/G84)</f>
        <v>0.4</v>
      </c>
      <c r="AD84" s="194">
        <f>+V84/0.8</f>
        <v>0.99999999999999989</v>
      </c>
      <c r="AE84" s="194">
        <f t="shared" si="150"/>
        <v>0.39999999999999997</v>
      </c>
      <c r="AF84" s="194">
        <f t="shared" si="151"/>
        <v>0.1</v>
      </c>
      <c r="AG84" s="194">
        <f t="shared" si="152"/>
        <v>0.24999999999999997</v>
      </c>
      <c r="AH84" s="194">
        <f t="shared" si="153"/>
        <v>9.9999999999999992E-2</v>
      </c>
      <c r="AI84" s="194">
        <f t="shared" si="154"/>
        <v>0.1</v>
      </c>
      <c r="AJ84" s="194">
        <v>0.89999999999999991</v>
      </c>
      <c r="AK84" s="194">
        <f t="shared" si="160"/>
        <v>0.91999999999999993</v>
      </c>
      <c r="AL84" s="178">
        <f t="shared" si="155"/>
        <v>2.5000000000000001E-2</v>
      </c>
      <c r="AM84" s="178">
        <f t="shared" si="156"/>
        <v>0.22499999999999998</v>
      </c>
      <c r="AN84" s="178">
        <f t="shared" si="157"/>
        <v>0.22999999999999998</v>
      </c>
      <c r="AO84" s="247" t="s">
        <v>1852</v>
      </c>
      <c r="AP84" s="571" t="s">
        <v>1891</v>
      </c>
      <c r="AQ84" s="571" t="s">
        <v>2269</v>
      </c>
      <c r="AR84" s="571" t="s">
        <v>2288</v>
      </c>
      <c r="AS84" s="792" t="s">
        <v>2402</v>
      </c>
      <c r="AT84" s="792" t="s">
        <v>2438</v>
      </c>
      <c r="AU84" s="571" t="s">
        <v>2493</v>
      </c>
      <c r="AV84" s="571" t="s">
        <v>1893</v>
      </c>
    </row>
    <row r="85" spans="1:48" ht="67.2" customHeight="1" thickBot="1" x14ac:dyDescent="0.4">
      <c r="A85" s="264"/>
      <c r="B85" s="1580" t="s">
        <v>1771</v>
      </c>
      <c r="C85" s="1562"/>
      <c r="D85" s="266"/>
      <c r="E85" s="232">
        <v>0.3</v>
      </c>
      <c r="F85" s="216"/>
      <c r="G85" s="163"/>
      <c r="H85" s="163"/>
      <c r="I85" s="163"/>
      <c r="J85" s="169">
        <f>+AVERAGE(J86:J91)*((1/6)*2)</f>
        <v>0.17916666666666664</v>
      </c>
      <c r="K85" s="169">
        <f>+AVERAGE(K86:K91)</f>
        <v>0.23749999999999999</v>
      </c>
      <c r="L85" s="169">
        <f>+AVERAGE(L86:L91)</f>
        <v>0.37777777777777777</v>
      </c>
      <c r="M85" s="169">
        <f>+M86+M87+M88+M89+M90+M91</f>
        <v>0.14250000000000002</v>
      </c>
      <c r="N85" s="169">
        <f>+N86+N87+N88+N89+N90+N91</f>
        <v>0.16</v>
      </c>
      <c r="O85" s="169"/>
      <c r="P85" s="168"/>
      <c r="Q85" s="168"/>
      <c r="R85" s="168"/>
      <c r="S85" s="168"/>
      <c r="T85" s="168"/>
      <c r="U85" s="987"/>
      <c r="V85" s="168"/>
      <c r="W85" s="168"/>
      <c r="X85" s="168"/>
      <c r="Y85" s="168"/>
      <c r="Z85" s="168"/>
      <c r="AA85" s="168"/>
      <c r="AB85" s="168"/>
      <c r="AC85" s="192">
        <f>+AVERAGE(AC86:AC91)</f>
        <v>0.88888888888888884</v>
      </c>
      <c r="AD85" s="192">
        <f>+AVERAGE(AD86:AD91)</f>
        <v>0.55000000000000004</v>
      </c>
      <c r="AE85" s="192">
        <f>+AVERAGE(AE86:AE91)</f>
        <v>8.8888888888888892E-2</v>
      </c>
      <c r="AF85" s="192">
        <f>+(AF86+AF87+AF88+AF89+AF90+AF91)*E85</f>
        <v>0.11333333333333333</v>
      </c>
      <c r="AG85" s="192">
        <f>+(AG86+AG87+AG88+AG89+AG90+AG91)*E85</f>
        <v>0.13500000000000001</v>
      </c>
      <c r="AH85" s="192">
        <f>+(AH86+AH87+AH88+AH89+AH90+AH91)*E85</f>
        <v>2.4E-2</v>
      </c>
      <c r="AI85" s="169">
        <f>+AVERAGE(AI86:AI91)*((1/6)*2)</f>
        <v>0.14999999999999997</v>
      </c>
      <c r="AJ85" s="169">
        <v>0.2558333333333333</v>
      </c>
      <c r="AK85" s="169">
        <f>+AVERAGE(AK86:AK91)</f>
        <v>0.26916666666666672</v>
      </c>
      <c r="AL85" s="169">
        <f>+(AL86+AL87+AL88+AL89+AL90+AL91)*E85</f>
        <v>3.9E-2</v>
      </c>
      <c r="AM85" s="169">
        <f>+(AM86+AM87+AM88+AM89+AM90+AM91)</f>
        <v>0.254</v>
      </c>
      <c r="AN85" s="169">
        <f>+(AN86+AN87+AN88+AN89+AN90+AN91)</f>
        <v>0.27799999999999997</v>
      </c>
      <c r="AO85" s="247" t="s">
        <v>1862</v>
      </c>
      <c r="AP85" s="163"/>
      <c r="AQ85" s="163"/>
      <c r="AR85" s="163"/>
      <c r="AS85" s="609"/>
      <c r="AT85" s="609"/>
      <c r="AU85" s="163"/>
      <c r="AV85" s="535"/>
    </row>
    <row r="86" spans="1:48" ht="83.4" customHeight="1" thickBot="1" x14ac:dyDescent="0.4">
      <c r="A86" s="264"/>
      <c r="B86" s="1504" t="s">
        <v>1018</v>
      </c>
      <c r="C86" s="1504" t="s">
        <v>1217</v>
      </c>
      <c r="D86" s="266" t="s">
        <v>1012</v>
      </c>
      <c r="E86" s="228">
        <v>0.4</v>
      </c>
      <c r="F86" s="226">
        <v>300</v>
      </c>
      <c r="G86" s="170">
        <v>0</v>
      </c>
      <c r="H86" s="170">
        <v>5</v>
      </c>
      <c r="I86" s="170">
        <v>150</v>
      </c>
      <c r="J86" s="176"/>
      <c r="K86" s="176">
        <f t="shared" ref="K86:K90" si="161">+H86/F86</f>
        <v>1.6666666666666666E-2</v>
      </c>
      <c r="L86" s="176">
        <f t="shared" ref="L86:L90" si="162">+I86/F86</f>
        <v>0.5</v>
      </c>
      <c r="M86" s="176"/>
      <c r="N86" s="176">
        <f t="shared" ref="N86:N90" si="163">+(H86/F86)*E86</f>
        <v>6.6666666666666671E-3</v>
      </c>
      <c r="O86" s="176"/>
      <c r="P86" s="170"/>
      <c r="Q86" s="541">
        <v>0</v>
      </c>
      <c r="R86" s="541">
        <v>0</v>
      </c>
      <c r="S86" s="541">
        <v>0</v>
      </c>
      <c r="T86" s="541">
        <v>0</v>
      </c>
      <c r="U86" s="541">
        <v>0.5</v>
      </c>
      <c r="V86" s="170">
        <f>+Q86+R86+S86+T86+U86</f>
        <v>0.5</v>
      </c>
      <c r="W86" s="170">
        <f>+V86+P86+AB86</f>
        <v>0.5</v>
      </c>
      <c r="X86" s="170">
        <v>0</v>
      </c>
      <c r="Y86" s="170"/>
      <c r="Z86" s="170"/>
      <c r="AA86" s="170"/>
      <c r="AB86" s="170">
        <f t="shared" ref="AB86:AB91" si="164">+X86+Y86+Z86+AA86</f>
        <v>0</v>
      </c>
      <c r="AC86" s="194"/>
      <c r="AD86" s="194">
        <f t="shared" ref="AD86:AD90" si="165">+V86/H86</f>
        <v>0.1</v>
      </c>
      <c r="AE86" s="194">
        <f t="shared" ref="AE86:AE90" si="166">+AB86/I86</f>
        <v>0</v>
      </c>
      <c r="AF86" s="194"/>
      <c r="AG86" s="194">
        <f>+AD86*E86</f>
        <v>4.0000000000000008E-2</v>
      </c>
      <c r="AH86" s="194">
        <f t="shared" ref="AH86:AH91" si="167">+AE86*E86</f>
        <v>0</v>
      </c>
      <c r="AI86" s="194"/>
      <c r="AJ86" s="194">
        <v>1.6666666666666668E-3</v>
      </c>
      <c r="AK86" s="194">
        <f t="shared" ref="AK86:AK91" si="168">+W86/F86</f>
        <v>1.6666666666666668E-3</v>
      </c>
      <c r="AL86" s="176"/>
      <c r="AM86" s="176">
        <f t="shared" ref="AM86:AM91" si="169">+AJ86*E86</f>
        <v>6.6666666666666675E-4</v>
      </c>
      <c r="AN86" s="176">
        <f t="shared" ref="AN86:AN91" si="170">+AK86*E86</f>
        <v>6.6666666666666675E-4</v>
      </c>
      <c r="AO86" s="247" t="s">
        <v>1852</v>
      </c>
      <c r="AP86" s="644" t="s">
        <v>1938</v>
      </c>
      <c r="AQ86" s="571" t="s">
        <v>2269</v>
      </c>
      <c r="AR86" s="571" t="s">
        <v>2288</v>
      </c>
      <c r="AS86" s="792" t="s">
        <v>2402</v>
      </c>
      <c r="AT86" s="792" t="s">
        <v>2438</v>
      </c>
      <c r="AU86" s="571" t="s">
        <v>2493</v>
      </c>
      <c r="AV86" s="571" t="s">
        <v>1893</v>
      </c>
    </row>
    <row r="87" spans="1:48" ht="67.2" customHeight="1" thickBot="1" x14ac:dyDescent="0.4">
      <c r="A87" s="264"/>
      <c r="B87" s="1504" t="s">
        <v>1019</v>
      </c>
      <c r="C87" s="1504" t="s">
        <v>1218</v>
      </c>
      <c r="D87" s="266" t="s">
        <v>1012</v>
      </c>
      <c r="E87" s="228">
        <v>0.1</v>
      </c>
      <c r="F87" s="226">
        <v>100</v>
      </c>
      <c r="G87" s="170">
        <v>90</v>
      </c>
      <c r="H87" s="170">
        <v>30</v>
      </c>
      <c r="I87" s="170">
        <v>0</v>
      </c>
      <c r="J87" s="176">
        <f t="shared" ref="J87" si="171">+G87/F87</f>
        <v>0.9</v>
      </c>
      <c r="K87" s="176">
        <f t="shared" si="161"/>
        <v>0.3</v>
      </c>
      <c r="L87" s="176"/>
      <c r="M87" s="176">
        <f t="shared" ref="M87" si="172">+(G87/F87)*E87</f>
        <v>9.0000000000000011E-2</v>
      </c>
      <c r="N87" s="176">
        <f t="shared" si="163"/>
        <v>0.03</v>
      </c>
      <c r="O87" s="176"/>
      <c r="P87" s="170">
        <v>70</v>
      </c>
      <c r="Q87" s="541">
        <v>0</v>
      </c>
      <c r="R87" s="541">
        <v>0</v>
      </c>
      <c r="S87" s="541">
        <v>0</v>
      </c>
      <c r="T87" s="541">
        <v>30</v>
      </c>
      <c r="U87" s="541">
        <v>0</v>
      </c>
      <c r="V87" s="170">
        <f t="shared" ref="V87:V141" si="173">+Q87+R87+S87+T87+U87</f>
        <v>30</v>
      </c>
      <c r="W87" s="170">
        <f t="shared" ref="W87:W91" si="174">+V87+P87+AB87</f>
        <v>100</v>
      </c>
      <c r="X87" s="170"/>
      <c r="Y87" s="170"/>
      <c r="Z87" s="170"/>
      <c r="AA87" s="170"/>
      <c r="AB87" s="170">
        <f t="shared" si="164"/>
        <v>0</v>
      </c>
      <c r="AC87" s="194">
        <f>+(P87/G87)</f>
        <v>0.77777777777777779</v>
      </c>
      <c r="AD87" s="194">
        <f t="shared" si="165"/>
        <v>1</v>
      </c>
      <c r="AE87" s="194"/>
      <c r="AF87" s="194">
        <f>+AC87*E87</f>
        <v>7.7777777777777779E-2</v>
      </c>
      <c r="AG87" s="194">
        <f t="shared" ref="AG87:AG90" si="175">+AD87*E87</f>
        <v>0.1</v>
      </c>
      <c r="AH87" s="194">
        <f t="shared" si="167"/>
        <v>0</v>
      </c>
      <c r="AI87" s="194">
        <f>+P87/F87</f>
        <v>0.7</v>
      </c>
      <c r="AJ87" s="194">
        <v>1</v>
      </c>
      <c r="AK87" s="194">
        <f t="shared" si="168"/>
        <v>1</v>
      </c>
      <c r="AL87" s="176">
        <f>+AI87*E87</f>
        <v>6.9999999999999993E-2</v>
      </c>
      <c r="AM87" s="176">
        <f t="shared" si="169"/>
        <v>0.1</v>
      </c>
      <c r="AN87" s="176">
        <f t="shared" si="170"/>
        <v>0.1</v>
      </c>
      <c r="AO87" s="247" t="s">
        <v>1852</v>
      </c>
      <c r="AP87" s="571" t="s">
        <v>1891</v>
      </c>
      <c r="AQ87" s="571" t="s">
        <v>2269</v>
      </c>
      <c r="AR87" s="571" t="s">
        <v>2288</v>
      </c>
      <c r="AS87" s="792" t="s">
        <v>2402</v>
      </c>
      <c r="AT87" s="792" t="s">
        <v>2453</v>
      </c>
      <c r="AU87" s="571" t="s">
        <v>2493</v>
      </c>
      <c r="AV87" s="571" t="s">
        <v>1893</v>
      </c>
    </row>
    <row r="88" spans="1:48" ht="91.2" customHeight="1" thickBot="1" x14ac:dyDescent="0.4">
      <c r="A88" s="264"/>
      <c r="B88" s="1504" t="s">
        <v>1020</v>
      </c>
      <c r="C88" s="1504" t="s">
        <v>1219</v>
      </c>
      <c r="D88" s="266" t="s">
        <v>1012</v>
      </c>
      <c r="E88" s="228">
        <v>0.1</v>
      </c>
      <c r="F88" s="226">
        <v>3</v>
      </c>
      <c r="G88" s="170">
        <v>0</v>
      </c>
      <c r="H88" s="170">
        <v>1</v>
      </c>
      <c r="I88" s="170">
        <v>1</v>
      </c>
      <c r="J88" s="176"/>
      <c r="K88" s="176">
        <f t="shared" si="161"/>
        <v>0.33333333333333331</v>
      </c>
      <c r="L88" s="176">
        <f t="shared" si="162"/>
        <v>0.33333333333333331</v>
      </c>
      <c r="M88" s="176"/>
      <c r="N88" s="176">
        <f t="shared" si="163"/>
        <v>3.3333333333333333E-2</v>
      </c>
      <c r="O88" s="176"/>
      <c r="P88" s="170"/>
      <c r="Q88" s="541">
        <v>0</v>
      </c>
      <c r="R88" s="541">
        <v>0</v>
      </c>
      <c r="S88" s="541">
        <v>0</v>
      </c>
      <c r="T88" s="541">
        <v>0</v>
      </c>
      <c r="U88" s="541">
        <v>0.1</v>
      </c>
      <c r="V88" s="170">
        <f t="shared" si="173"/>
        <v>0.1</v>
      </c>
      <c r="W88" s="170">
        <f t="shared" si="174"/>
        <v>0.1</v>
      </c>
      <c r="X88" s="170">
        <v>0</v>
      </c>
      <c r="Y88" s="170"/>
      <c r="Z88" s="170"/>
      <c r="AA88" s="170"/>
      <c r="AB88" s="170">
        <f t="shared" si="164"/>
        <v>0</v>
      </c>
      <c r="AC88" s="194"/>
      <c r="AD88" s="194">
        <f t="shared" si="165"/>
        <v>0.1</v>
      </c>
      <c r="AE88" s="194">
        <f t="shared" si="166"/>
        <v>0</v>
      </c>
      <c r="AF88" s="194"/>
      <c r="AG88" s="194">
        <f t="shared" si="175"/>
        <v>1.0000000000000002E-2</v>
      </c>
      <c r="AH88" s="194">
        <f t="shared" si="167"/>
        <v>0</v>
      </c>
      <c r="AI88" s="194"/>
      <c r="AJ88" s="194">
        <v>3.3333333333333333E-2</v>
      </c>
      <c r="AK88" s="194">
        <f t="shared" si="168"/>
        <v>3.3333333333333333E-2</v>
      </c>
      <c r="AL88" s="176"/>
      <c r="AM88" s="176">
        <f t="shared" si="169"/>
        <v>3.3333333333333335E-3</v>
      </c>
      <c r="AN88" s="176">
        <f t="shared" si="170"/>
        <v>3.3333333333333335E-3</v>
      </c>
      <c r="AO88" s="163" t="s">
        <v>1567</v>
      </c>
      <c r="AP88" s="644" t="s">
        <v>1938</v>
      </c>
      <c r="AQ88" s="571" t="s">
        <v>2269</v>
      </c>
      <c r="AR88" s="571" t="s">
        <v>2288</v>
      </c>
      <c r="AS88" s="792" t="s">
        <v>2402</v>
      </c>
      <c r="AT88" s="792" t="s">
        <v>2438</v>
      </c>
      <c r="AU88" s="571" t="s">
        <v>2493</v>
      </c>
      <c r="AV88" s="571" t="s">
        <v>1893</v>
      </c>
    </row>
    <row r="89" spans="1:48" ht="67.2" customHeight="1" thickBot="1" x14ac:dyDescent="0.4">
      <c r="A89" s="264"/>
      <c r="B89" s="1504" t="s">
        <v>1021</v>
      </c>
      <c r="C89" s="1504" t="s">
        <v>1220</v>
      </c>
      <c r="D89" s="266" t="s">
        <v>1012</v>
      </c>
      <c r="E89" s="228">
        <v>0.05</v>
      </c>
      <c r="F89" s="226">
        <v>1</v>
      </c>
      <c r="G89" s="170">
        <v>0</v>
      </c>
      <c r="H89" s="170">
        <v>0</v>
      </c>
      <c r="I89" s="170">
        <v>0</v>
      </c>
      <c r="J89" s="176"/>
      <c r="K89" s="176"/>
      <c r="L89" s="176"/>
      <c r="M89" s="176"/>
      <c r="N89" s="176"/>
      <c r="O89" s="176"/>
      <c r="P89" s="170"/>
      <c r="Q89" s="541"/>
      <c r="R89" s="541"/>
      <c r="S89" s="541"/>
      <c r="T89" s="541"/>
      <c r="U89" s="541"/>
      <c r="V89" s="170">
        <f t="shared" si="173"/>
        <v>0</v>
      </c>
      <c r="W89" s="170">
        <f t="shared" si="174"/>
        <v>0</v>
      </c>
      <c r="X89" s="170"/>
      <c r="Y89" s="170"/>
      <c r="Z89" s="170"/>
      <c r="AA89" s="170"/>
      <c r="AB89" s="170">
        <f t="shared" si="164"/>
        <v>0</v>
      </c>
      <c r="AC89" s="194"/>
      <c r="AD89" s="194"/>
      <c r="AE89" s="194"/>
      <c r="AF89" s="194"/>
      <c r="AG89" s="194"/>
      <c r="AH89" s="194">
        <f t="shared" si="167"/>
        <v>0</v>
      </c>
      <c r="AI89" s="194"/>
      <c r="AJ89" s="194">
        <v>0</v>
      </c>
      <c r="AK89" s="194">
        <f t="shared" si="168"/>
        <v>0</v>
      </c>
      <c r="AL89" s="176"/>
      <c r="AM89" s="176">
        <f t="shared" si="169"/>
        <v>0</v>
      </c>
      <c r="AN89" s="176">
        <f t="shared" si="170"/>
        <v>0</v>
      </c>
      <c r="AO89" s="163" t="s">
        <v>1568</v>
      </c>
      <c r="AP89" s="571" t="s">
        <v>1891</v>
      </c>
      <c r="AQ89" s="571" t="s">
        <v>2269</v>
      </c>
      <c r="AR89" s="571" t="s">
        <v>2288</v>
      </c>
      <c r="AS89" s="792" t="s">
        <v>2402</v>
      </c>
      <c r="AT89" s="792" t="s">
        <v>2438</v>
      </c>
      <c r="AU89" s="571" t="s">
        <v>2493</v>
      </c>
      <c r="AV89" s="571" t="s">
        <v>1893</v>
      </c>
    </row>
    <row r="90" spans="1:48" ht="112.95" customHeight="1" thickBot="1" x14ac:dyDescent="0.4">
      <c r="A90" s="264"/>
      <c r="B90" s="1504" t="s">
        <v>1022</v>
      </c>
      <c r="C90" s="1504" t="s">
        <v>1221</v>
      </c>
      <c r="D90" s="266" t="s">
        <v>1012</v>
      </c>
      <c r="E90" s="228">
        <v>0.3</v>
      </c>
      <c r="F90" s="226">
        <v>200</v>
      </c>
      <c r="G90" s="170">
        <v>35</v>
      </c>
      <c r="H90" s="170">
        <v>60</v>
      </c>
      <c r="I90" s="170">
        <v>60</v>
      </c>
      <c r="J90" s="176">
        <f>+G90/F90</f>
        <v>0.17499999999999999</v>
      </c>
      <c r="K90" s="176">
        <f t="shared" si="161"/>
        <v>0.3</v>
      </c>
      <c r="L90" s="176">
        <f t="shared" si="162"/>
        <v>0.3</v>
      </c>
      <c r="M90" s="176">
        <f>+(G90/F90)*E90</f>
        <v>5.2499999999999998E-2</v>
      </c>
      <c r="N90" s="176">
        <f t="shared" si="163"/>
        <v>0.09</v>
      </c>
      <c r="O90" s="176"/>
      <c r="P90" s="170">
        <v>40</v>
      </c>
      <c r="Q90" s="541">
        <v>12</v>
      </c>
      <c r="R90" s="541">
        <v>22</v>
      </c>
      <c r="S90" s="541">
        <v>9</v>
      </c>
      <c r="T90" s="541">
        <v>9</v>
      </c>
      <c r="U90" s="541">
        <v>8</v>
      </c>
      <c r="V90" s="170">
        <f t="shared" si="173"/>
        <v>60</v>
      </c>
      <c r="W90" s="170">
        <f t="shared" si="174"/>
        <v>116</v>
      </c>
      <c r="X90" s="170">
        <v>16</v>
      </c>
      <c r="Y90" s="170"/>
      <c r="Z90" s="170"/>
      <c r="AA90" s="170"/>
      <c r="AB90" s="170">
        <f t="shared" si="164"/>
        <v>16</v>
      </c>
      <c r="AC90" s="194">
        <v>1</v>
      </c>
      <c r="AD90" s="194">
        <f t="shared" si="165"/>
        <v>1</v>
      </c>
      <c r="AE90" s="194">
        <f t="shared" si="166"/>
        <v>0.26666666666666666</v>
      </c>
      <c r="AF90" s="194">
        <f>+AC90*E90</f>
        <v>0.3</v>
      </c>
      <c r="AG90" s="194">
        <f t="shared" si="175"/>
        <v>0.3</v>
      </c>
      <c r="AH90" s="194">
        <f t="shared" si="167"/>
        <v>0.08</v>
      </c>
      <c r="AI90" s="194">
        <f>+P90/F90</f>
        <v>0.2</v>
      </c>
      <c r="AJ90" s="194">
        <v>0.5</v>
      </c>
      <c r="AK90" s="194">
        <f t="shared" si="168"/>
        <v>0.57999999999999996</v>
      </c>
      <c r="AL90" s="176">
        <f>+AI90*E90</f>
        <v>0.06</v>
      </c>
      <c r="AM90" s="176">
        <f t="shared" si="169"/>
        <v>0.15</v>
      </c>
      <c r="AN90" s="176">
        <f t="shared" si="170"/>
        <v>0.17399999999999999</v>
      </c>
      <c r="AO90" s="247" t="s">
        <v>1852</v>
      </c>
      <c r="AP90" s="571" t="s">
        <v>1891</v>
      </c>
      <c r="AQ90" s="571" t="s">
        <v>2269</v>
      </c>
      <c r="AR90" s="571" t="s">
        <v>2288</v>
      </c>
      <c r="AS90" s="792" t="s">
        <v>2402</v>
      </c>
      <c r="AT90" s="792" t="s">
        <v>2438</v>
      </c>
      <c r="AU90" s="571" t="s">
        <v>2493</v>
      </c>
      <c r="AV90" s="571" t="s">
        <v>1893</v>
      </c>
    </row>
    <row r="91" spans="1:48" ht="120.6" customHeight="1" thickBot="1" x14ac:dyDescent="0.4">
      <c r="A91" s="264"/>
      <c r="B91" s="1504" t="s">
        <v>1023</v>
      </c>
      <c r="C91" s="1504" t="s">
        <v>1222</v>
      </c>
      <c r="D91" s="266" t="s">
        <v>1012</v>
      </c>
      <c r="E91" s="228">
        <v>0.05</v>
      </c>
      <c r="F91" s="226">
        <v>1</v>
      </c>
      <c r="G91" s="170">
        <v>0</v>
      </c>
      <c r="H91" s="170">
        <v>0</v>
      </c>
      <c r="I91" s="170">
        <v>0</v>
      </c>
      <c r="J91" s="176"/>
      <c r="K91" s="176"/>
      <c r="L91" s="176"/>
      <c r="M91" s="176"/>
      <c r="N91" s="176"/>
      <c r="O91" s="176"/>
      <c r="P91" s="170"/>
      <c r="Q91" s="541"/>
      <c r="R91" s="541"/>
      <c r="S91" s="541"/>
      <c r="T91" s="541"/>
      <c r="U91" s="541"/>
      <c r="V91" s="170">
        <f t="shared" si="173"/>
        <v>0</v>
      </c>
      <c r="W91" s="170">
        <f t="shared" si="174"/>
        <v>0</v>
      </c>
      <c r="X91" s="170"/>
      <c r="Y91" s="170"/>
      <c r="Z91" s="170"/>
      <c r="AA91" s="170"/>
      <c r="AB91" s="170">
        <f t="shared" si="164"/>
        <v>0</v>
      </c>
      <c r="AC91" s="194"/>
      <c r="AD91" s="194"/>
      <c r="AE91" s="194"/>
      <c r="AF91" s="194"/>
      <c r="AG91" s="194"/>
      <c r="AH91" s="194">
        <f t="shared" si="167"/>
        <v>0</v>
      </c>
      <c r="AI91" s="194"/>
      <c r="AJ91" s="194">
        <v>0</v>
      </c>
      <c r="AK91" s="194">
        <f t="shared" si="168"/>
        <v>0</v>
      </c>
      <c r="AL91" s="176"/>
      <c r="AM91" s="176">
        <f t="shared" si="169"/>
        <v>0</v>
      </c>
      <c r="AN91" s="176">
        <f t="shared" si="170"/>
        <v>0</v>
      </c>
      <c r="AO91" s="247" t="s">
        <v>1852</v>
      </c>
      <c r="AP91" s="571" t="s">
        <v>1891</v>
      </c>
      <c r="AQ91" s="571" t="s">
        <v>2269</v>
      </c>
      <c r="AR91" s="571" t="s">
        <v>2288</v>
      </c>
      <c r="AS91" s="792" t="s">
        <v>2402</v>
      </c>
      <c r="AT91" s="792" t="s">
        <v>2438</v>
      </c>
      <c r="AU91" s="571" t="s">
        <v>2493</v>
      </c>
      <c r="AV91" s="571" t="s">
        <v>1893</v>
      </c>
    </row>
    <row r="92" spans="1:48" ht="67.2" customHeight="1" thickBot="1" x14ac:dyDescent="0.4">
      <c r="A92" s="264"/>
      <c r="B92" s="1580" t="s">
        <v>1833</v>
      </c>
      <c r="C92" s="1562"/>
      <c r="D92" s="266"/>
      <c r="E92" s="232">
        <v>0.05</v>
      </c>
      <c r="F92" s="216"/>
      <c r="G92" s="163"/>
      <c r="H92" s="163"/>
      <c r="I92" s="163"/>
      <c r="J92" s="169"/>
      <c r="K92" s="169">
        <f>+AVERAGE(K93)</f>
        <v>0</v>
      </c>
      <c r="L92" s="169">
        <f>+AVERAGE(L93)</f>
        <v>0</v>
      </c>
      <c r="M92" s="169"/>
      <c r="N92" s="169">
        <f>+N93</f>
        <v>0</v>
      </c>
      <c r="O92" s="169"/>
      <c r="P92" s="168"/>
      <c r="Q92" s="168"/>
      <c r="R92" s="168"/>
      <c r="S92" s="168"/>
      <c r="T92" s="168"/>
      <c r="U92" s="987"/>
      <c r="V92" s="170"/>
      <c r="W92" s="168"/>
      <c r="X92" s="168"/>
      <c r="Y92" s="168"/>
      <c r="Z92" s="168"/>
      <c r="AA92" s="168"/>
      <c r="AB92" s="168"/>
      <c r="AC92" s="192"/>
      <c r="AD92" s="192"/>
      <c r="AE92" s="192">
        <v>0</v>
      </c>
      <c r="AF92" s="192"/>
      <c r="AG92" s="192">
        <f>+(AG93)*E92</f>
        <v>0</v>
      </c>
      <c r="AH92" s="192">
        <f>+(AH93)*E92</f>
        <v>0</v>
      </c>
      <c r="AI92" s="169"/>
      <c r="AJ92" s="169">
        <v>0</v>
      </c>
      <c r="AK92" s="169">
        <f>+AVERAGE(AK93)</f>
        <v>0</v>
      </c>
      <c r="AL92" s="169"/>
      <c r="AM92" s="169">
        <f>+(AM93)</f>
        <v>0</v>
      </c>
      <c r="AN92" s="169">
        <f>+(AN93)</f>
        <v>0</v>
      </c>
      <c r="AO92" s="163"/>
      <c r="AP92" s="548"/>
      <c r="AQ92" s="163"/>
      <c r="AR92" s="163"/>
      <c r="AS92" s="609"/>
      <c r="AT92" s="609"/>
      <c r="AU92" s="163"/>
      <c r="AV92" s="535"/>
    </row>
    <row r="93" spans="1:48" ht="81.599999999999994" customHeight="1" thickBot="1" x14ac:dyDescent="0.4">
      <c r="A93" s="264"/>
      <c r="B93" s="774" t="s">
        <v>1024</v>
      </c>
      <c r="C93" s="774" t="s">
        <v>1223</v>
      </c>
      <c r="D93" s="266" t="s">
        <v>1025</v>
      </c>
      <c r="E93" s="228">
        <v>1</v>
      </c>
      <c r="F93" s="226">
        <v>6000000000</v>
      </c>
      <c r="G93" s="170"/>
      <c r="H93" s="170">
        <v>0</v>
      </c>
      <c r="I93" s="170"/>
      <c r="J93" s="176"/>
      <c r="K93" s="176">
        <f t="shared" ref="K93" si="176">+H93/F93</f>
        <v>0</v>
      </c>
      <c r="L93" s="176">
        <f t="shared" ref="L93" si="177">+I93/F93</f>
        <v>0</v>
      </c>
      <c r="M93" s="176"/>
      <c r="N93" s="176">
        <f t="shared" ref="N93" si="178">+(H93/F93)*E93</f>
        <v>0</v>
      </c>
      <c r="O93" s="176"/>
      <c r="P93" s="170"/>
      <c r="Q93" s="541"/>
      <c r="R93" s="170"/>
      <c r="S93" s="170"/>
      <c r="T93" s="170"/>
      <c r="U93" s="236"/>
      <c r="V93" s="170">
        <f t="shared" si="173"/>
        <v>0</v>
      </c>
      <c r="W93" s="170">
        <f>+V93+P93+AB93</f>
        <v>0</v>
      </c>
      <c r="X93" s="170"/>
      <c r="Y93" s="170"/>
      <c r="Z93" s="170"/>
      <c r="AA93" s="170"/>
      <c r="AB93" s="170">
        <f>+X93+Y93+Z93+AA93</f>
        <v>0</v>
      </c>
      <c r="AC93" s="176"/>
      <c r="AD93" s="176"/>
      <c r="AE93" s="176"/>
      <c r="AF93" s="176"/>
      <c r="AG93" s="176">
        <f t="shared" ref="AG93" si="179">+AD93*E93</f>
        <v>0</v>
      </c>
      <c r="AH93" s="176">
        <f t="shared" ref="AH93" si="180">+AE93*E93</f>
        <v>0</v>
      </c>
      <c r="AI93" s="176"/>
      <c r="AJ93" s="176">
        <v>0</v>
      </c>
      <c r="AK93" s="176">
        <f t="shared" ref="AK93" si="181">+W93/F93</f>
        <v>0</v>
      </c>
      <c r="AL93" s="176"/>
      <c r="AM93" s="176">
        <f>+AJ93*E93</f>
        <v>0</v>
      </c>
      <c r="AN93" s="176">
        <f t="shared" ref="AN93" si="182">+AK93*E93</f>
        <v>0</v>
      </c>
      <c r="AO93" s="274" t="s">
        <v>1566</v>
      </c>
      <c r="AP93" s="644" t="s">
        <v>1939</v>
      </c>
      <c r="AQ93" s="163"/>
      <c r="AR93" s="163"/>
      <c r="AS93" s="609"/>
      <c r="AT93" s="609"/>
      <c r="AU93" s="163"/>
      <c r="AV93" s="1191" t="s">
        <v>1865</v>
      </c>
    </row>
    <row r="94" spans="1:48" ht="67.2" customHeight="1" thickBot="1" x14ac:dyDescent="0.4">
      <c r="A94" s="264"/>
      <c r="B94" s="1580" t="s">
        <v>1834</v>
      </c>
      <c r="C94" s="1562"/>
      <c r="D94" s="266"/>
      <c r="E94" s="232">
        <v>0.2</v>
      </c>
      <c r="F94" s="216"/>
      <c r="G94" s="163"/>
      <c r="H94" s="163"/>
      <c r="I94" s="163"/>
      <c r="J94" s="169">
        <f>+AVERAGE(J95:J98)</f>
        <v>0.18466666666666667</v>
      </c>
      <c r="K94" s="169">
        <f>+AVERAGE(K95:K98)</f>
        <v>0.29583333333333334</v>
      </c>
      <c r="L94" s="169">
        <f>+AVERAGE(L95:L98)</f>
        <v>0.29583333333333334</v>
      </c>
      <c r="M94" s="169">
        <f>+M95+M96+M97+M98</f>
        <v>0.17810000000000001</v>
      </c>
      <c r="N94" s="169">
        <f>+N95+N96+N97+N98</f>
        <v>0.29083333333333333</v>
      </c>
      <c r="O94" s="169"/>
      <c r="P94" s="168"/>
      <c r="Q94" s="168"/>
      <c r="R94" s="168"/>
      <c r="S94" s="168"/>
      <c r="T94" s="168"/>
      <c r="U94" s="987"/>
      <c r="V94" s="170"/>
      <c r="W94" s="168"/>
      <c r="X94" s="168"/>
      <c r="Y94" s="168"/>
      <c r="Z94" s="168"/>
      <c r="AA94" s="168"/>
      <c r="AB94" s="168"/>
      <c r="AC94" s="192">
        <f>+AVERAGE(AC95:AC98)</f>
        <v>1</v>
      </c>
      <c r="AD94" s="192">
        <f>+AVERAGE(AD95:AD98)</f>
        <v>0.9906166666666667</v>
      </c>
      <c r="AE94" s="192">
        <f>+AVERAGE(AE95:AE98)</f>
        <v>0.12466666666666668</v>
      </c>
      <c r="AF94" s="192">
        <f>+(AF95+AF96+AF97+AF98)*E94</f>
        <v>0.18000000000000002</v>
      </c>
      <c r="AG94" s="192">
        <f>+(AG95+AG96+AG97+AG98)*E94</f>
        <v>0.198874</v>
      </c>
      <c r="AH94" s="192">
        <f>+(AH95+AH96+AH97+AH98)*E94</f>
        <v>2.6626666666666667E-2</v>
      </c>
      <c r="AI94" s="169">
        <f>+AVERAGE(AI95:AI98)</f>
        <v>0.18536666666666668</v>
      </c>
      <c r="AJ94" s="169">
        <v>0.43321000000000004</v>
      </c>
      <c r="AK94" s="169">
        <f>+AVERAGE(AK95:AK98)</f>
        <v>0.47061000000000003</v>
      </c>
      <c r="AL94" s="169">
        <f>+(AL95+AL96+AL97+AL98)*E94</f>
        <v>3.5682999999999999E-2</v>
      </c>
      <c r="AM94" s="169">
        <f>+(AM95+AM96+AM97+AM98)</f>
        <v>0.468026</v>
      </c>
      <c r="AN94" s="169">
        <f>+(AN95+AN96+AN97+AN98)</f>
        <v>0.50796600000000003</v>
      </c>
      <c r="AO94" s="163"/>
      <c r="AP94" s="163"/>
      <c r="AQ94" s="163"/>
      <c r="AR94" s="163"/>
      <c r="AS94" s="609"/>
      <c r="AT94" s="609"/>
      <c r="AU94" s="163"/>
      <c r="AV94" s="535"/>
    </row>
    <row r="95" spans="1:48" ht="94.95" customHeight="1" thickBot="1" x14ac:dyDescent="0.4">
      <c r="A95" s="264"/>
      <c r="B95" s="1504" t="s">
        <v>1026</v>
      </c>
      <c r="C95" s="1504" t="s">
        <v>1224</v>
      </c>
      <c r="D95" s="266" t="s">
        <v>1012</v>
      </c>
      <c r="E95" s="228">
        <v>0.15</v>
      </c>
      <c r="F95" s="226">
        <v>50000</v>
      </c>
      <c r="G95" s="279">
        <v>5200</v>
      </c>
      <c r="H95" s="279">
        <v>15000</v>
      </c>
      <c r="I95" s="279">
        <v>15000</v>
      </c>
      <c r="J95" s="176">
        <f>+G95/F95</f>
        <v>0.104</v>
      </c>
      <c r="K95" s="176">
        <f t="shared" ref="K95:K98" si="183">+H95/F95</f>
        <v>0.3</v>
      </c>
      <c r="L95" s="176">
        <f t="shared" ref="L95:L98" si="184">+I95/F95</f>
        <v>0.3</v>
      </c>
      <c r="M95" s="176">
        <f>+(G95/F95)*E95</f>
        <v>1.5599999999999999E-2</v>
      </c>
      <c r="N95" s="176">
        <f t="shared" ref="N95:N98" si="185">+(H95/F95)*E95</f>
        <v>4.4999999999999998E-2</v>
      </c>
      <c r="O95" s="176"/>
      <c r="P95" s="170">
        <v>5305</v>
      </c>
      <c r="Q95" s="541">
        <v>1745</v>
      </c>
      <c r="R95" s="541">
        <v>4389</v>
      </c>
      <c r="S95" s="541">
        <v>3466</v>
      </c>
      <c r="T95" s="541">
        <v>2446</v>
      </c>
      <c r="U95" s="541">
        <v>2391</v>
      </c>
      <c r="V95" s="170">
        <f t="shared" si="173"/>
        <v>14437</v>
      </c>
      <c r="W95" s="170">
        <f>+V95+P95+AB95</f>
        <v>24722</v>
      </c>
      <c r="X95" s="170">
        <v>4980</v>
      </c>
      <c r="Y95" s="170"/>
      <c r="Z95" s="170"/>
      <c r="AA95" s="170"/>
      <c r="AB95" s="170">
        <f t="shared" ref="AB95:AB98" si="186">+X95+Y95+Z95+AA95</f>
        <v>4980</v>
      </c>
      <c r="AC95" s="194">
        <v>1</v>
      </c>
      <c r="AD95" s="194">
        <f t="shared" ref="AD95:AD97" si="187">+V95/H95</f>
        <v>0.96246666666666669</v>
      </c>
      <c r="AE95" s="194">
        <f t="shared" ref="AE95:AE97" si="188">+AB95/I95</f>
        <v>0.33200000000000002</v>
      </c>
      <c r="AF95" s="194">
        <f>+AC95*E95</f>
        <v>0.15</v>
      </c>
      <c r="AG95" s="194">
        <f t="shared" ref="AG95:AG98" si="189">+AD95*E95</f>
        <v>0.14437</v>
      </c>
      <c r="AH95" s="194">
        <f t="shared" ref="AH95:AH98" si="190">+AE95*E95</f>
        <v>4.9800000000000004E-2</v>
      </c>
      <c r="AI95" s="194">
        <f>+P95/F95</f>
        <v>0.1061</v>
      </c>
      <c r="AJ95" s="194">
        <v>0.39484000000000002</v>
      </c>
      <c r="AK95" s="194">
        <f t="shared" ref="AK95:AK98" si="191">+W95/F95</f>
        <v>0.49443999999999999</v>
      </c>
      <c r="AL95" s="176">
        <f>+AI95*E95</f>
        <v>1.5914999999999999E-2</v>
      </c>
      <c r="AM95" s="176">
        <f>+AJ95*E95</f>
        <v>5.9226000000000001E-2</v>
      </c>
      <c r="AN95" s="176">
        <f t="shared" ref="AN95:AN98" si="192">+AK95*E95</f>
        <v>7.4165999999999996E-2</v>
      </c>
      <c r="AO95" s="247" t="s">
        <v>1852</v>
      </c>
      <c r="AP95" s="571" t="s">
        <v>1891</v>
      </c>
      <c r="AQ95" s="571" t="s">
        <v>2269</v>
      </c>
      <c r="AR95" s="571" t="s">
        <v>2288</v>
      </c>
      <c r="AS95" s="792" t="s">
        <v>2402</v>
      </c>
      <c r="AT95" s="792" t="s">
        <v>2438</v>
      </c>
      <c r="AU95" s="571" t="s">
        <v>2493</v>
      </c>
      <c r="AV95" s="571" t="s">
        <v>1893</v>
      </c>
    </row>
    <row r="96" spans="1:48" ht="84.6" customHeight="1" thickBot="1" x14ac:dyDescent="0.4">
      <c r="A96" s="264"/>
      <c r="B96" s="1504" t="s">
        <v>1027</v>
      </c>
      <c r="C96" s="1504" t="s">
        <v>1225</v>
      </c>
      <c r="D96" s="266" t="s">
        <v>1012</v>
      </c>
      <c r="E96" s="270">
        <v>0.25</v>
      </c>
      <c r="F96" s="226">
        <v>4</v>
      </c>
      <c r="G96" s="279">
        <v>1</v>
      </c>
      <c r="H96" s="279">
        <v>1</v>
      </c>
      <c r="I96" s="279">
        <v>1</v>
      </c>
      <c r="J96" s="176">
        <f>+G96/F96</f>
        <v>0.25</v>
      </c>
      <c r="K96" s="176">
        <f t="shared" si="183"/>
        <v>0.25</v>
      </c>
      <c r="L96" s="176">
        <f t="shared" si="184"/>
        <v>0.25</v>
      </c>
      <c r="M96" s="176">
        <f>+(G96/F96)*E96</f>
        <v>6.25E-2</v>
      </c>
      <c r="N96" s="176">
        <f t="shared" si="185"/>
        <v>6.25E-2</v>
      </c>
      <c r="O96" s="176"/>
      <c r="P96" s="170">
        <v>1</v>
      </c>
      <c r="Q96" s="541">
        <v>0</v>
      </c>
      <c r="R96" s="541">
        <v>0</v>
      </c>
      <c r="S96" s="541">
        <v>0.25</v>
      </c>
      <c r="T96" s="541">
        <v>0.75</v>
      </c>
      <c r="U96" s="541"/>
      <c r="V96" s="170">
        <f t="shared" si="173"/>
        <v>1</v>
      </c>
      <c r="W96" s="170">
        <f t="shared" ref="W96:W98" si="193">+V96+P96+AB96</f>
        <v>2</v>
      </c>
      <c r="X96" s="170">
        <v>0</v>
      </c>
      <c r="Y96" s="170"/>
      <c r="Z96" s="170"/>
      <c r="AA96" s="170"/>
      <c r="AB96" s="170">
        <f t="shared" si="186"/>
        <v>0</v>
      </c>
      <c r="AC96" s="194">
        <f>+(P96/G96)</f>
        <v>1</v>
      </c>
      <c r="AD96" s="194">
        <v>1</v>
      </c>
      <c r="AE96" s="194">
        <f t="shared" si="188"/>
        <v>0</v>
      </c>
      <c r="AF96" s="194">
        <f>+AC96*E96</f>
        <v>0.25</v>
      </c>
      <c r="AG96" s="194">
        <f t="shared" si="189"/>
        <v>0.25</v>
      </c>
      <c r="AH96" s="194">
        <f t="shared" si="190"/>
        <v>0</v>
      </c>
      <c r="AI96" s="194">
        <f>+P96/F96</f>
        <v>0.25</v>
      </c>
      <c r="AJ96" s="194">
        <v>0.5</v>
      </c>
      <c r="AK96" s="194">
        <f t="shared" si="191"/>
        <v>0.5</v>
      </c>
      <c r="AL96" s="176">
        <f>+AI96*E96</f>
        <v>6.25E-2</v>
      </c>
      <c r="AM96" s="176">
        <f>+AJ96*E96</f>
        <v>0.125</v>
      </c>
      <c r="AN96" s="176">
        <f t="shared" si="192"/>
        <v>0.125</v>
      </c>
      <c r="AO96" s="163"/>
      <c r="AP96" s="571" t="s">
        <v>1891</v>
      </c>
      <c r="AQ96" s="571" t="s">
        <v>2269</v>
      </c>
      <c r="AR96" s="571" t="s">
        <v>2288</v>
      </c>
      <c r="AS96" s="792" t="s">
        <v>2402</v>
      </c>
      <c r="AT96" s="792" t="s">
        <v>2438</v>
      </c>
      <c r="AU96" s="571" t="s">
        <v>2493</v>
      </c>
      <c r="AV96" s="571" t="s">
        <v>1893</v>
      </c>
    </row>
    <row r="97" spans="1:48" ht="103.95" customHeight="1" thickBot="1" x14ac:dyDescent="0.4">
      <c r="A97" s="264"/>
      <c r="B97" s="1504" t="s">
        <v>1028</v>
      </c>
      <c r="C97" s="1504" t="s">
        <v>1226</v>
      </c>
      <c r="D97" s="266" t="s">
        <v>1012</v>
      </c>
      <c r="E97" s="281">
        <v>0.5</v>
      </c>
      <c r="F97" s="226">
        <v>20</v>
      </c>
      <c r="G97" s="279">
        <v>4</v>
      </c>
      <c r="H97" s="279">
        <v>6</v>
      </c>
      <c r="I97" s="279">
        <v>6</v>
      </c>
      <c r="J97" s="176">
        <f>+G97/F97</f>
        <v>0.2</v>
      </c>
      <c r="K97" s="176">
        <f t="shared" si="183"/>
        <v>0.3</v>
      </c>
      <c r="L97" s="176">
        <f t="shared" si="184"/>
        <v>0.3</v>
      </c>
      <c r="M97" s="176">
        <f>+(G97/F97)*E97</f>
        <v>0.1</v>
      </c>
      <c r="N97" s="176">
        <f t="shared" si="185"/>
        <v>0.15</v>
      </c>
      <c r="O97" s="176"/>
      <c r="P97" s="170">
        <v>4</v>
      </c>
      <c r="Q97" s="541">
        <v>1</v>
      </c>
      <c r="R97" s="541">
        <v>0</v>
      </c>
      <c r="S97" s="541">
        <v>3</v>
      </c>
      <c r="T97" s="541">
        <v>1</v>
      </c>
      <c r="U97" s="541">
        <v>1</v>
      </c>
      <c r="V97" s="170">
        <f t="shared" si="173"/>
        <v>6</v>
      </c>
      <c r="W97" s="170">
        <f t="shared" si="193"/>
        <v>11</v>
      </c>
      <c r="X97" s="170">
        <v>1</v>
      </c>
      <c r="Y97" s="170"/>
      <c r="Z97" s="170"/>
      <c r="AA97" s="170"/>
      <c r="AB97" s="170">
        <f t="shared" si="186"/>
        <v>1</v>
      </c>
      <c r="AC97" s="194">
        <f>+(P97/G97)</f>
        <v>1</v>
      </c>
      <c r="AD97" s="194">
        <f t="shared" si="187"/>
        <v>1</v>
      </c>
      <c r="AE97" s="194">
        <f t="shared" si="188"/>
        <v>0.16666666666666666</v>
      </c>
      <c r="AF97" s="194">
        <f>+AC97*E97</f>
        <v>0.5</v>
      </c>
      <c r="AG97" s="194">
        <f t="shared" si="189"/>
        <v>0.5</v>
      </c>
      <c r="AH97" s="194">
        <f t="shared" si="190"/>
        <v>8.3333333333333329E-2</v>
      </c>
      <c r="AI97" s="194">
        <f>+P97/F97</f>
        <v>0.2</v>
      </c>
      <c r="AJ97" s="194">
        <v>0.5</v>
      </c>
      <c r="AK97" s="194">
        <f t="shared" si="191"/>
        <v>0.55000000000000004</v>
      </c>
      <c r="AL97" s="176">
        <f>+AI97*E97</f>
        <v>0.1</v>
      </c>
      <c r="AM97" s="176">
        <f>+AJ97*E97</f>
        <v>0.25</v>
      </c>
      <c r="AN97" s="176">
        <f t="shared" si="192"/>
        <v>0.27500000000000002</v>
      </c>
      <c r="AO97" s="247" t="s">
        <v>1852</v>
      </c>
      <c r="AP97" s="571" t="s">
        <v>1891</v>
      </c>
      <c r="AQ97" s="571" t="s">
        <v>2269</v>
      </c>
      <c r="AR97" s="571" t="s">
        <v>2288</v>
      </c>
      <c r="AS97" s="792" t="s">
        <v>2402</v>
      </c>
      <c r="AT97" s="792" t="s">
        <v>2438</v>
      </c>
      <c r="AU97" s="571" t="s">
        <v>2493</v>
      </c>
      <c r="AV97" s="571" t="s">
        <v>1893</v>
      </c>
    </row>
    <row r="98" spans="1:48" ht="113.4" customHeight="1" thickBot="1" x14ac:dyDescent="0.4">
      <c r="A98" s="264"/>
      <c r="B98" s="1504" t="s">
        <v>1029</v>
      </c>
      <c r="C98" s="1504" t="s">
        <v>1227</v>
      </c>
      <c r="D98" s="266" t="s">
        <v>1012</v>
      </c>
      <c r="E98" s="225">
        <v>0.1</v>
      </c>
      <c r="F98" s="226">
        <v>1500</v>
      </c>
      <c r="G98" s="282">
        <v>0</v>
      </c>
      <c r="H98" s="282">
        <v>500</v>
      </c>
      <c r="I98" s="282">
        <v>500</v>
      </c>
      <c r="J98" s="176"/>
      <c r="K98" s="176">
        <f t="shared" si="183"/>
        <v>0.33333333333333331</v>
      </c>
      <c r="L98" s="176">
        <f t="shared" si="184"/>
        <v>0.33333333333333331</v>
      </c>
      <c r="M98" s="176"/>
      <c r="N98" s="176">
        <f t="shared" si="185"/>
        <v>3.3333333333333333E-2</v>
      </c>
      <c r="O98" s="176"/>
      <c r="P98" s="170"/>
      <c r="Q98" s="541">
        <v>0</v>
      </c>
      <c r="R98" s="541">
        <v>0</v>
      </c>
      <c r="S98" s="541">
        <v>0</v>
      </c>
      <c r="T98" s="541">
        <v>400</v>
      </c>
      <c r="U98" s="541">
        <v>107</v>
      </c>
      <c r="V98" s="170">
        <f t="shared" si="173"/>
        <v>507</v>
      </c>
      <c r="W98" s="170">
        <f t="shared" si="193"/>
        <v>507</v>
      </c>
      <c r="X98" s="170">
        <v>0</v>
      </c>
      <c r="Y98" s="170"/>
      <c r="Z98" s="170"/>
      <c r="AA98" s="170"/>
      <c r="AB98" s="170">
        <f t="shared" si="186"/>
        <v>0</v>
      </c>
      <c r="AC98" s="194"/>
      <c r="AD98" s="194">
        <v>1</v>
      </c>
      <c r="AE98" s="194">
        <f>+AB98/I98</f>
        <v>0</v>
      </c>
      <c r="AF98" s="194"/>
      <c r="AG98" s="194">
        <f t="shared" si="189"/>
        <v>0.1</v>
      </c>
      <c r="AH98" s="194">
        <f t="shared" si="190"/>
        <v>0</v>
      </c>
      <c r="AI98" s="194"/>
      <c r="AJ98" s="194">
        <v>0.33800000000000002</v>
      </c>
      <c r="AK98" s="194">
        <f t="shared" si="191"/>
        <v>0.33800000000000002</v>
      </c>
      <c r="AL98" s="176"/>
      <c r="AM98" s="176">
        <f>+AJ98*E98</f>
        <v>3.3800000000000004E-2</v>
      </c>
      <c r="AN98" s="176">
        <f t="shared" si="192"/>
        <v>3.3800000000000004E-2</v>
      </c>
      <c r="AO98" s="247" t="s">
        <v>1852</v>
      </c>
      <c r="AP98" s="588" t="s">
        <v>1919</v>
      </c>
      <c r="AQ98" s="571" t="s">
        <v>2269</v>
      </c>
      <c r="AR98" s="571" t="s">
        <v>2288</v>
      </c>
      <c r="AS98" s="792" t="s">
        <v>2402</v>
      </c>
      <c r="AT98" s="792" t="s">
        <v>2438</v>
      </c>
      <c r="AU98" s="571" t="s">
        <v>2493</v>
      </c>
      <c r="AV98" s="571" t="s">
        <v>1893</v>
      </c>
    </row>
    <row r="99" spans="1:48" ht="67.2" customHeight="1" thickBot="1" x14ac:dyDescent="0.4">
      <c r="A99" s="264"/>
      <c r="B99" s="1580" t="s">
        <v>1774</v>
      </c>
      <c r="C99" s="1562"/>
      <c r="D99" s="266"/>
      <c r="E99" s="232">
        <v>0.1</v>
      </c>
      <c r="F99" s="216"/>
      <c r="G99" s="170"/>
      <c r="H99" s="170"/>
      <c r="I99" s="170"/>
      <c r="J99" s="169">
        <f>+AVERAGE(J100:J104)</f>
        <v>0.25</v>
      </c>
      <c r="K99" s="169">
        <f>+AVERAGE(K100:K104)</f>
        <v>0.55000000000000004</v>
      </c>
      <c r="L99" s="169">
        <f>+AVERAGE(L100:L104)</f>
        <v>0.25</v>
      </c>
      <c r="M99" s="169">
        <f>+M100+M101+M102+M103+M104</f>
        <v>0.185</v>
      </c>
      <c r="N99" s="169">
        <f>+N100+N101+N102+N103+N104</f>
        <v>0.44500000000000001</v>
      </c>
      <c r="O99" s="169"/>
      <c r="P99" s="168"/>
      <c r="Q99" s="168"/>
      <c r="R99" s="168"/>
      <c r="S99" s="168"/>
      <c r="T99" s="168"/>
      <c r="U99" s="987"/>
      <c r="V99" s="170"/>
      <c r="W99" s="168"/>
      <c r="X99" s="168"/>
      <c r="Y99" s="168"/>
      <c r="Z99" s="168"/>
      <c r="AA99" s="168"/>
      <c r="AB99" s="168"/>
      <c r="AC99" s="192">
        <f>+AVERAGE(AC100:AC104)</f>
        <v>1</v>
      </c>
      <c r="AD99" s="192">
        <f>+AVERAGE(AD100:AD104)</f>
        <v>1</v>
      </c>
      <c r="AE99" s="192">
        <f>+AVERAGE(AE100:AE104)</f>
        <v>0.43016666666666664</v>
      </c>
      <c r="AF99" s="192">
        <f>+(AF100+AF101+AF102+AF103+AF104)*E99</f>
        <v>7.3999999999999996E-2</v>
      </c>
      <c r="AG99" s="192">
        <f>+(AG100+AG101+AG102+AG103+AG104)*E99</f>
        <v>0.1</v>
      </c>
      <c r="AH99" s="192">
        <f>+(AH100+AH101+AH102+AH103+AH104)*E99</f>
        <v>2.2334999999999997E-2</v>
      </c>
      <c r="AI99" s="169">
        <f>+AVERAGE(AI100:AI104)</f>
        <v>0.26166666666666666</v>
      </c>
      <c r="AJ99" s="169">
        <v>0.70804999999999996</v>
      </c>
      <c r="AK99" s="169">
        <f>+AVERAGE(AK100:AK104)</f>
        <v>0.77257500000000001</v>
      </c>
      <c r="AL99" s="169">
        <f>+(AL100+AL101+AL102+AL103+AL104)*E99</f>
        <v>2.095E-2</v>
      </c>
      <c r="AM99" s="169">
        <f>+(AM100+AM101+AM102+AM103+AM104)</f>
        <v>0.65817499999999995</v>
      </c>
      <c r="AN99" s="169">
        <f>+(AN100+AN101+AN102+AN103+AN104)</f>
        <v>0.71401250000000005</v>
      </c>
      <c r="AO99" s="163"/>
      <c r="AP99" s="163"/>
      <c r="AQ99" s="163"/>
      <c r="AR99" s="163"/>
      <c r="AS99" s="609"/>
      <c r="AT99" s="609"/>
      <c r="AU99" s="163"/>
      <c r="AV99" s="535"/>
    </row>
    <row r="100" spans="1:48" ht="101.4" customHeight="1" thickBot="1" x14ac:dyDescent="0.4">
      <c r="A100" s="264"/>
      <c r="B100" s="1504" t="s">
        <v>1030</v>
      </c>
      <c r="C100" s="1504" t="s">
        <v>1228</v>
      </c>
      <c r="D100" s="266" t="s">
        <v>58</v>
      </c>
      <c r="E100" s="228">
        <v>0.06</v>
      </c>
      <c r="F100" s="226">
        <v>1</v>
      </c>
      <c r="G100" s="170">
        <v>0</v>
      </c>
      <c r="H100" s="170">
        <v>1</v>
      </c>
      <c r="I100" s="170">
        <v>0</v>
      </c>
      <c r="J100" s="176"/>
      <c r="K100" s="176">
        <f t="shared" ref="K100:K104" si="194">+H100/F100</f>
        <v>1</v>
      </c>
      <c r="L100" s="176"/>
      <c r="M100" s="176"/>
      <c r="N100" s="176">
        <f t="shared" ref="N100:N104" si="195">+(H100/F100)*E100</f>
        <v>0.06</v>
      </c>
      <c r="O100" s="176"/>
      <c r="P100" s="170"/>
      <c r="Q100" s="541">
        <v>0</v>
      </c>
      <c r="R100" s="541">
        <v>0.25</v>
      </c>
      <c r="S100" s="541">
        <v>0</v>
      </c>
      <c r="T100" s="541">
        <v>0.25</v>
      </c>
      <c r="U100" s="541">
        <v>0.5</v>
      </c>
      <c r="V100" s="170">
        <f t="shared" si="173"/>
        <v>1</v>
      </c>
      <c r="W100" s="170">
        <f>+V100+P100+AB100</f>
        <v>1</v>
      </c>
      <c r="X100" s="541">
        <v>0</v>
      </c>
      <c r="Y100" s="170"/>
      <c r="Z100" s="170"/>
      <c r="AA100" s="170"/>
      <c r="AB100" s="170">
        <f t="shared" ref="AB100:AB104" si="196">+X100+Y100+Z100+AA100</f>
        <v>0</v>
      </c>
      <c r="AC100" s="176"/>
      <c r="AD100" s="194">
        <f t="shared" ref="AD100:AD104" si="197">+V100/H100</f>
        <v>1</v>
      </c>
      <c r="AE100" s="194"/>
      <c r="AF100" s="194"/>
      <c r="AG100" s="194">
        <f t="shared" ref="AG100:AG104" si="198">+AD100*E100</f>
        <v>0.06</v>
      </c>
      <c r="AH100" s="194">
        <f t="shared" ref="AH100:AH108" si="199">+AE100*E100</f>
        <v>0</v>
      </c>
      <c r="AI100" s="194"/>
      <c r="AJ100" s="194">
        <v>1</v>
      </c>
      <c r="AK100" s="194">
        <f t="shared" ref="AK100:AK104" si="200">+W100/F100</f>
        <v>1</v>
      </c>
      <c r="AL100" s="176"/>
      <c r="AM100" s="176">
        <f>+AJ100*E100</f>
        <v>0.06</v>
      </c>
      <c r="AN100" s="176">
        <f t="shared" ref="AN100:AN104" si="201">+AK100*E100</f>
        <v>0.06</v>
      </c>
      <c r="AO100" s="247" t="s">
        <v>1852</v>
      </c>
      <c r="AP100" s="588" t="s">
        <v>1919</v>
      </c>
      <c r="AQ100" s="571" t="s">
        <v>2269</v>
      </c>
      <c r="AR100" s="571" t="s">
        <v>2288</v>
      </c>
      <c r="AS100" s="792" t="s">
        <v>2402</v>
      </c>
      <c r="AT100" s="792" t="s">
        <v>2438</v>
      </c>
      <c r="AU100" s="571" t="s">
        <v>2495</v>
      </c>
      <c r="AV100" s="571" t="s">
        <v>1893</v>
      </c>
    </row>
    <row r="101" spans="1:48" ht="89.4" customHeight="1" thickBot="1" x14ac:dyDescent="0.4">
      <c r="A101" s="264"/>
      <c r="B101" s="1504" t="s">
        <v>1031</v>
      </c>
      <c r="C101" s="1504" t="s">
        <v>1229</v>
      </c>
      <c r="D101" s="266" t="s">
        <v>58</v>
      </c>
      <c r="E101" s="228">
        <v>0.2</v>
      </c>
      <c r="F101" s="226">
        <v>1</v>
      </c>
      <c r="G101" s="170">
        <v>0</v>
      </c>
      <c r="H101" s="170">
        <v>1</v>
      </c>
      <c r="I101" s="170">
        <v>0</v>
      </c>
      <c r="J101" s="176"/>
      <c r="K101" s="176">
        <f t="shared" si="194"/>
        <v>1</v>
      </c>
      <c r="L101" s="176"/>
      <c r="M101" s="176"/>
      <c r="N101" s="176">
        <f t="shared" si="195"/>
        <v>0.2</v>
      </c>
      <c r="O101" s="176"/>
      <c r="P101" s="170"/>
      <c r="Q101" s="541">
        <v>0</v>
      </c>
      <c r="R101" s="541">
        <v>0.5</v>
      </c>
      <c r="S101" s="541">
        <v>0.5</v>
      </c>
      <c r="T101" s="541">
        <v>0</v>
      </c>
      <c r="U101" s="541">
        <v>0</v>
      </c>
      <c r="V101" s="170">
        <f t="shared" si="173"/>
        <v>1</v>
      </c>
      <c r="W101" s="170">
        <f t="shared" ref="W101:W104" si="202">+V101+P101+AB101</f>
        <v>2</v>
      </c>
      <c r="X101" s="541">
        <v>1</v>
      </c>
      <c r="Y101" s="170"/>
      <c r="Z101" s="170"/>
      <c r="AA101" s="170"/>
      <c r="AB101" s="170">
        <f t="shared" si="196"/>
        <v>1</v>
      </c>
      <c r="AC101" s="176"/>
      <c r="AD101" s="194">
        <f t="shared" si="197"/>
        <v>1</v>
      </c>
      <c r="AE101" s="194"/>
      <c r="AF101" s="194"/>
      <c r="AG101" s="194">
        <f t="shared" si="198"/>
        <v>0.2</v>
      </c>
      <c r="AH101" s="194">
        <f t="shared" si="199"/>
        <v>0</v>
      </c>
      <c r="AI101" s="194"/>
      <c r="AJ101" s="194">
        <v>1</v>
      </c>
      <c r="AK101" s="194">
        <v>1</v>
      </c>
      <c r="AL101" s="176"/>
      <c r="AM101" s="176">
        <f t="shared" ref="AM101:AM104" si="203">+AJ101*E101</f>
        <v>0.2</v>
      </c>
      <c r="AN101" s="176">
        <f t="shared" si="201"/>
        <v>0.2</v>
      </c>
      <c r="AO101" s="247" t="s">
        <v>1852</v>
      </c>
      <c r="AP101" s="588" t="s">
        <v>1919</v>
      </c>
      <c r="AQ101" s="571" t="s">
        <v>2269</v>
      </c>
      <c r="AR101" s="571" t="s">
        <v>2288</v>
      </c>
      <c r="AS101" s="792" t="s">
        <v>2402</v>
      </c>
      <c r="AT101" s="792" t="s">
        <v>2438</v>
      </c>
      <c r="AU101" s="571" t="s">
        <v>2493</v>
      </c>
      <c r="AV101" s="571" t="s">
        <v>1893</v>
      </c>
    </row>
    <row r="102" spans="1:48" ht="83.4" customHeight="1" thickBot="1" x14ac:dyDescent="0.4">
      <c r="A102" s="264"/>
      <c r="B102" s="1504" t="s">
        <v>1032</v>
      </c>
      <c r="C102" s="1504" t="s">
        <v>1230</v>
      </c>
      <c r="D102" s="266" t="s">
        <v>58</v>
      </c>
      <c r="E102" s="228">
        <v>0.7</v>
      </c>
      <c r="F102" s="226">
        <v>8000</v>
      </c>
      <c r="G102" s="170">
        <v>2000</v>
      </c>
      <c r="H102" s="170">
        <v>2000</v>
      </c>
      <c r="I102" s="170">
        <v>2000</v>
      </c>
      <c r="J102" s="176">
        <f>+G102/F102</f>
        <v>0.25</v>
      </c>
      <c r="K102" s="176">
        <f t="shared" si="194"/>
        <v>0.25</v>
      </c>
      <c r="L102" s="176">
        <f t="shared" ref="L102:L107" si="204">+I102/F102</f>
        <v>0.25</v>
      </c>
      <c r="M102" s="176">
        <f>+(G102/F102)*E102</f>
        <v>0.17499999999999999</v>
      </c>
      <c r="N102" s="176">
        <f t="shared" si="195"/>
        <v>0.17499999999999999</v>
      </c>
      <c r="O102" s="176"/>
      <c r="P102" s="170">
        <v>2280</v>
      </c>
      <c r="Q102" s="541">
        <v>309</v>
      </c>
      <c r="R102" s="541">
        <v>926</v>
      </c>
      <c r="S102" s="541">
        <v>604</v>
      </c>
      <c r="T102" s="541">
        <v>168</v>
      </c>
      <c r="U102" s="541">
        <v>35</v>
      </c>
      <c r="V102" s="170">
        <f t="shared" si="173"/>
        <v>2042</v>
      </c>
      <c r="W102" s="170">
        <f t="shared" si="202"/>
        <v>4903</v>
      </c>
      <c r="X102" s="541">
        <v>581</v>
      </c>
      <c r="Y102" s="170"/>
      <c r="Z102" s="170"/>
      <c r="AA102" s="170"/>
      <c r="AB102" s="170">
        <f t="shared" si="196"/>
        <v>581</v>
      </c>
      <c r="AC102" s="176">
        <v>1</v>
      </c>
      <c r="AD102" s="194">
        <v>1</v>
      </c>
      <c r="AE102" s="194">
        <f t="shared" ref="AE102:AE107" si="205">+AB102/I102</f>
        <v>0.29049999999999998</v>
      </c>
      <c r="AF102" s="194">
        <f>+AC102*E102</f>
        <v>0.7</v>
      </c>
      <c r="AG102" s="194">
        <f t="shared" si="198"/>
        <v>0.7</v>
      </c>
      <c r="AH102" s="194">
        <f t="shared" si="199"/>
        <v>0.20334999999999998</v>
      </c>
      <c r="AI102" s="194">
        <f>+P102/F102</f>
        <v>0.28499999999999998</v>
      </c>
      <c r="AJ102" s="194">
        <v>0.54025000000000001</v>
      </c>
      <c r="AK102" s="194">
        <f t="shared" si="200"/>
        <v>0.61287499999999995</v>
      </c>
      <c r="AL102" s="176">
        <f>+AI102*E102</f>
        <v>0.19949999999999998</v>
      </c>
      <c r="AM102" s="176">
        <f t="shared" si="203"/>
        <v>0.37817499999999998</v>
      </c>
      <c r="AN102" s="176">
        <f t="shared" si="201"/>
        <v>0.42901249999999996</v>
      </c>
      <c r="AO102" s="247" t="s">
        <v>1852</v>
      </c>
      <c r="AP102" s="571" t="s">
        <v>1892</v>
      </c>
      <c r="AQ102" s="571" t="s">
        <v>2269</v>
      </c>
      <c r="AR102" s="571" t="s">
        <v>2288</v>
      </c>
      <c r="AS102" s="792" t="s">
        <v>2402</v>
      </c>
      <c r="AT102" s="792" t="s">
        <v>2438</v>
      </c>
      <c r="AU102" s="571" t="s">
        <v>2493</v>
      </c>
      <c r="AV102" s="571" t="s">
        <v>1893</v>
      </c>
    </row>
    <row r="103" spans="1:48" ht="99" customHeight="1" thickBot="1" x14ac:dyDescent="0.4">
      <c r="A103" s="264"/>
      <c r="B103" s="1504" t="s">
        <v>1033</v>
      </c>
      <c r="C103" s="1504" t="s">
        <v>1231</v>
      </c>
      <c r="D103" s="266" t="s">
        <v>58</v>
      </c>
      <c r="E103" s="228">
        <v>0.02</v>
      </c>
      <c r="F103" s="226">
        <v>4</v>
      </c>
      <c r="G103" s="170">
        <v>1</v>
      </c>
      <c r="H103" s="170">
        <v>1</v>
      </c>
      <c r="I103" s="170">
        <v>1</v>
      </c>
      <c r="J103" s="176">
        <f>+G103/F103</f>
        <v>0.25</v>
      </c>
      <c r="K103" s="176">
        <f t="shared" si="194"/>
        <v>0.25</v>
      </c>
      <c r="L103" s="176">
        <f>+I103/F103</f>
        <v>0.25</v>
      </c>
      <c r="M103" s="176">
        <f>+(G103/F103)*E103</f>
        <v>5.0000000000000001E-3</v>
      </c>
      <c r="N103" s="176">
        <f t="shared" si="195"/>
        <v>5.0000000000000001E-3</v>
      </c>
      <c r="O103" s="176"/>
      <c r="P103" s="170">
        <v>1</v>
      </c>
      <c r="Q103" s="541">
        <v>0</v>
      </c>
      <c r="R103" s="541">
        <v>0</v>
      </c>
      <c r="S103" s="541">
        <v>1</v>
      </c>
      <c r="T103" s="541">
        <v>0</v>
      </c>
      <c r="U103" s="541">
        <v>0</v>
      </c>
      <c r="V103" s="170">
        <f t="shared" si="173"/>
        <v>1</v>
      </c>
      <c r="W103" s="170">
        <f t="shared" si="202"/>
        <v>2</v>
      </c>
      <c r="X103" s="541">
        <v>0</v>
      </c>
      <c r="Y103" s="170"/>
      <c r="Z103" s="170"/>
      <c r="AA103" s="170"/>
      <c r="AB103" s="170">
        <f t="shared" si="196"/>
        <v>0</v>
      </c>
      <c r="AC103" s="176">
        <f>+(P103/G103)</f>
        <v>1</v>
      </c>
      <c r="AD103" s="194">
        <f t="shared" si="197"/>
        <v>1</v>
      </c>
      <c r="AE103" s="194">
        <f>+AB103/I103</f>
        <v>0</v>
      </c>
      <c r="AF103" s="194">
        <f>+AC103*E103</f>
        <v>0.02</v>
      </c>
      <c r="AG103" s="194">
        <f t="shared" si="198"/>
        <v>0.02</v>
      </c>
      <c r="AH103" s="194">
        <f t="shared" si="199"/>
        <v>0</v>
      </c>
      <c r="AI103" s="194">
        <f>+P103/F103</f>
        <v>0.25</v>
      </c>
      <c r="AJ103" s="194">
        <v>0.5</v>
      </c>
      <c r="AK103" s="194">
        <f t="shared" si="200"/>
        <v>0.5</v>
      </c>
      <c r="AL103" s="176">
        <f>+AI103*E103</f>
        <v>5.0000000000000001E-3</v>
      </c>
      <c r="AM103" s="176">
        <f t="shared" si="203"/>
        <v>0.01</v>
      </c>
      <c r="AN103" s="176">
        <f t="shared" si="201"/>
        <v>0.01</v>
      </c>
      <c r="AO103" s="247" t="s">
        <v>1852</v>
      </c>
      <c r="AP103" s="571" t="s">
        <v>1892</v>
      </c>
      <c r="AQ103" s="571" t="s">
        <v>2269</v>
      </c>
      <c r="AR103" s="571" t="s">
        <v>2288</v>
      </c>
      <c r="AS103" s="792" t="s">
        <v>2402</v>
      </c>
      <c r="AT103" s="792" t="s">
        <v>2438</v>
      </c>
      <c r="AU103" s="571" t="s">
        <v>2493</v>
      </c>
      <c r="AV103" s="571" t="s">
        <v>1893</v>
      </c>
    </row>
    <row r="104" spans="1:48" ht="99" customHeight="1" thickBot="1" x14ac:dyDescent="0.4">
      <c r="A104" s="264"/>
      <c r="B104" s="1504" t="s">
        <v>1034</v>
      </c>
      <c r="C104" s="1504" t="s">
        <v>1232</v>
      </c>
      <c r="D104" s="266" t="s">
        <v>58</v>
      </c>
      <c r="E104" s="270">
        <v>0.02</v>
      </c>
      <c r="F104" s="226">
        <v>4</v>
      </c>
      <c r="G104" s="170">
        <v>1</v>
      </c>
      <c r="H104" s="170">
        <v>1</v>
      </c>
      <c r="I104" s="170">
        <v>1</v>
      </c>
      <c r="J104" s="176">
        <f>+G104/F104</f>
        <v>0.25</v>
      </c>
      <c r="K104" s="176">
        <f t="shared" si="194"/>
        <v>0.25</v>
      </c>
      <c r="L104" s="176">
        <f t="shared" si="204"/>
        <v>0.25</v>
      </c>
      <c r="M104" s="176">
        <f>+(G104/F104)*E104</f>
        <v>5.0000000000000001E-3</v>
      </c>
      <c r="N104" s="176">
        <f t="shared" si="195"/>
        <v>5.0000000000000001E-3</v>
      </c>
      <c r="O104" s="176"/>
      <c r="P104" s="170">
        <v>1</v>
      </c>
      <c r="Q104" s="541">
        <v>0.25</v>
      </c>
      <c r="R104" s="541">
        <v>0.25</v>
      </c>
      <c r="S104" s="541">
        <v>0.25</v>
      </c>
      <c r="T104" s="541">
        <v>0.25</v>
      </c>
      <c r="U104" s="541">
        <v>0</v>
      </c>
      <c r="V104" s="170">
        <f t="shared" si="173"/>
        <v>1</v>
      </c>
      <c r="W104" s="170">
        <f t="shared" si="202"/>
        <v>3</v>
      </c>
      <c r="X104" s="541">
        <v>1</v>
      </c>
      <c r="Y104" s="170"/>
      <c r="Z104" s="170"/>
      <c r="AA104" s="170"/>
      <c r="AB104" s="170">
        <f t="shared" si="196"/>
        <v>1</v>
      </c>
      <c r="AC104" s="176">
        <f>+(P104/G104)</f>
        <v>1</v>
      </c>
      <c r="AD104" s="194">
        <f t="shared" si="197"/>
        <v>1</v>
      </c>
      <c r="AE104" s="194">
        <f t="shared" si="205"/>
        <v>1</v>
      </c>
      <c r="AF104" s="194">
        <f>+AC104*E104</f>
        <v>0.02</v>
      </c>
      <c r="AG104" s="194">
        <f t="shared" si="198"/>
        <v>0.02</v>
      </c>
      <c r="AH104" s="194">
        <f t="shared" si="199"/>
        <v>0.02</v>
      </c>
      <c r="AI104" s="194">
        <f>+P104/F104</f>
        <v>0.25</v>
      </c>
      <c r="AJ104" s="194">
        <v>0.5</v>
      </c>
      <c r="AK104" s="194">
        <f t="shared" si="200"/>
        <v>0.75</v>
      </c>
      <c r="AL104" s="176">
        <f>+AI104*E104</f>
        <v>5.0000000000000001E-3</v>
      </c>
      <c r="AM104" s="176">
        <f t="shared" si="203"/>
        <v>0.01</v>
      </c>
      <c r="AN104" s="176">
        <f t="shared" si="201"/>
        <v>1.4999999999999999E-2</v>
      </c>
      <c r="AO104" s="247" t="s">
        <v>1852</v>
      </c>
      <c r="AP104" s="571" t="s">
        <v>1892</v>
      </c>
      <c r="AQ104" s="571" t="s">
        <v>2269</v>
      </c>
      <c r="AR104" s="571" t="s">
        <v>2288</v>
      </c>
      <c r="AS104" s="792" t="s">
        <v>2402</v>
      </c>
      <c r="AT104" s="792" t="s">
        <v>2438</v>
      </c>
      <c r="AU104" s="571" t="s">
        <v>2493</v>
      </c>
      <c r="AV104" s="571" t="s">
        <v>1893</v>
      </c>
    </row>
    <row r="105" spans="1:48" ht="67.2" customHeight="1" thickBot="1" x14ac:dyDescent="0.4">
      <c r="A105" s="264"/>
      <c r="B105" s="1580" t="s">
        <v>1775</v>
      </c>
      <c r="C105" s="1562"/>
      <c r="D105" s="266"/>
      <c r="E105" s="272">
        <v>0.2</v>
      </c>
      <c r="F105" s="226"/>
      <c r="G105" s="163"/>
      <c r="H105" s="163"/>
      <c r="I105" s="163"/>
      <c r="J105" s="169">
        <f>+AVERAGE(J106:J108)</f>
        <v>0.30555555555555552</v>
      </c>
      <c r="K105" s="169">
        <f>+AVERAGE(K106:K108)</f>
        <v>0.33333333333333331</v>
      </c>
      <c r="L105" s="169">
        <f>+AVERAGE(L106:L108)</f>
        <v>0.25</v>
      </c>
      <c r="M105" s="169">
        <f>+M106+M107+M108</f>
        <v>0.34166666666666667</v>
      </c>
      <c r="N105" s="169">
        <f>+N106+N107+N108</f>
        <v>0.375</v>
      </c>
      <c r="O105" s="169"/>
      <c r="P105" s="168"/>
      <c r="Q105" s="168"/>
      <c r="R105" s="168"/>
      <c r="S105" s="168"/>
      <c r="T105" s="168"/>
      <c r="U105" s="987"/>
      <c r="V105" s="170"/>
      <c r="W105" s="168"/>
      <c r="X105" s="1163"/>
      <c r="Y105" s="168"/>
      <c r="Z105" s="168"/>
      <c r="AA105" s="168"/>
      <c r="AB105" s="168"/>
      <c r="AC105" s="192">
        <f>+AVERAGE(AC106:AC108)</f>
        <v>0.48266666666666663</v>
      </c>
      <c r="AD105" s="192">
        <f>+AVERAGE(AD106:AD108)</f>
        <v>1</v>
      </c>
      <c r="AE105" s="192">
        <f>+AVERAGE(AE106:AE108)</f>
        <v>0.23200000000000001</v>
      </c>
      <c r="AF105" s="192">
        <f>+(AF106+AF107+AF108)*E105</f>
        <v>5.5840000000000001E-2</v>
      </c>
      <c r="AG105" s="192">
        <f>+(AG106+AG107+AG108)*E105</f>
        <v>0.2</v>
      </c>
      <c r="AH105" s="192">
        <f>+(AH106+AH107+AH108)*E105</f>
        <v>3.7120000000000007E-2</v>
      </c>
      <c r="AI105" s="169">
        <f>+AVERAGE(AI106:AI108)</f>
        <v>0.10822222222222222</v>
      </c>
      <c r="AJ105" s="169">
        <v>0.63655555555555554</v>
      </c>
      <c r="AK105" s="169">
        <f>+AVERAGE(AK106:AK108)</f>
        <v>0.67522222222222217</v>
      </c>
      <c r="AL105" s="169">
        <f>+(AL106+AL107+AL108)*E105</f>
        <v>1.0973333333333335E-2</v>
      </c>
      <c r="AM105" s="169">
        <f>+(AM106+AM107+AM108)</f>
        <v>0.71386666666666665</v>
      </c>
      <c r="AN105" s="169">
        <f>+(AN106+AN107+AN108)</f>
        <v>0.76026666666666665</v>
      </c>
      <c r="AO105" s="163"/>
      <c r="AP105" s="163"/>
      <c r="AQ105" s="163"/>
      <c r="AR105" s="163"/>
      <c r="AS105" s="609"/>
      <c r="AT105" s="609"/>
      <c r="AU105" s="163"/>
      <c r="AV105" s="535"/>
    </row>
    <row r="106" spans="1:48" ht="90" customHeight="1" thickBot="1" x14ac:dyDescent="0.4">
      <c r="A106" s="264"/>
      <c r="B106" s="1504" t="s">
        <v>1035</v>
      </c>
      <c r="C106" s="1504" t="s">
        <v>1233</v>
      </c>
      <c r="D106" s="266" t="s">
        <v>58</v>
      </c>
      <c r="E106" s="228">
        <v>0.1</v>
      </c>
      <c r="F106" s="226">
        <v>1</v>
      </c>
      <c r="G106" s="170">
        <v>0.25</v>
      </c>
      <c r="H106" s="170">
        <v>0.25</v>
      </c>
      <c r="I106" s="170">
        <v>0.25</v>
      </c>
      <c r="J106" s="176">
        <f>+G106/F106</f>
        <v>0.25</v>
      </c>
      <c r="K106" s="176">
        <f t="shared" ref="K106:K108" si="206">+H106/F106</f>
        <v>0.25</v>
      </c>
      <c r="L106" s="176">
        <f t="shared" si="204"/>
        <v>0.25</v>
      </c>
      <c r="M106" s="176">
        <f>+(G106/F106)*E106</f>
        <v>2.5000000000000001E-2</v>
      </c>
      <c r="N106" s="176">
        <f t="shared" ref="N106:N108" si="207">+(H106/F106)*E106</f>
        <v>2.5000000000000001E-2</v>
      </c>
      <c r="O106" s="176"/>
      <c r="P106" s="170">
        <v>0.25</v>
      </c>
      <c r="Q106" s="541">
        <v>0</v>
      </c>
      <c r="R106" s="541">
        <v>0.125</v>
      </c>
      <c r="S106" s="541">
        <v>0</v>
      </c>
      <c r="T106" s="541">
        <v>0</v>
      </c>
      <c r="U106" s="541">
        <v>0.125</v>
      </c>
      <c r="V106" s="170">
        <f t="shared" si="173"/>
        <v>0.25</v>
      </c>
      <c r="W106" s="170">
        <f>+V106+P106+AB106</f>
        <v>0.5</v>
      </c>
      <c r="X106" s="541">
        <v>0</v>
      </c>
      <c r="Y106" s="170"/>
      <c r="Z106" s="170"/>
      <c r="AA106" s="170"/>
      <c r="AB106" s="170">
        <f>+Y106+Z106+AA106+X106</f>
        <v>0</v>
      </c>
      <c r="AC106" s="176">
        <f>+(P106/G106)</f>
        <v>1</v>
      </c>
      <c r="AD106" s="194">
        <f t="shared" ref="AD106" si="208">+V106/H106</f>
        <v>1</v>
      </c>
      <c r="AE106" s="194">
        <f t="shared" si="205"/>
        <v>0</v>
      </c>
      <c r="AF106" s="194">
        <f>+AC106*E106</f>
        <v>0.1</v>
      </c>
      <c r="AG106" s="194">
        <f t="shared" ref="AG106:AG108" si="209">+AD106*E106</f>
        <v>0.1</v>
      </c>
      <c r="AH106" s="194">
        <f>+AE106*E106</f>
        <v>0</v>
      </c>
      <c r="AI106" s="194">
        <f>+P106/F106</f>
        <v>0.25</v>
      </c>
      <c r="AJ106" s="194">
        <v>0.5</v>
      </c>
      <c r="AK106" s="194">
        <f t="shared" ref="AK106:AK108" si="210">+W106/F106</f>
        <v>0.5</v>
      </c>
      <c r="AL106" s="176">
        <f>+AI106*E106</f>
        <v>2.5000000000000001E-2</v>
      </c>
      <c r="AM106" s="176">
        <f>+AJ106*E106</f>
        <v>0.05</v>
      </c>
      <c r="AN106" s="176">
        <f t="shared" ref="AN106:AN108" si="211">+AK106*E106</f>
        <v>0.05</v>
      </c>
      <c r="AO106" s="247" t="s">
        <v>1852</v>
      </c>
      <c r="AP106" s="571" t="s">
        <v>1892</v>
      </c>
      <c r="AQ106" s="571" t="s">
        <v>2269</v>
      </c>
      <c r="AR106" s="571" t="s">
        <v>2288</v>
      </c>
      <c r="AS106" s="792" t="s">
        <v>2402</v>
      </c>
      <c r="AT106" s="792" t="s">
        <v>2438</v>
      </c>
      <c r="AU106" s="571" t="s">
        <v>2493</v>
      </c>
      <c r="AV106" s="571" t="s">
        <v>1893</v>
      </c>
    </row>
    <row r="107" spans="1:48" ht="94.2" customHeight="1" thickBot="1" x14ac:dyDescent="0.4">
      <c r="A107" s="264"/>
      <c r="B107" s="1504" t="s">
        <v>1036</v>
      </c>
      <c r="C107" s="1504" t="s">
        <v>1234</v>
      </c>
      <c r="D107" s="266" t="s">
        <v>58</v>
      </c>
      <c r="E107" s="228">
        <v>0.4</v>
      </c>
      <c r="F107" s="226">
        <v>3000</v>
      </c>
      <c r="G107" s="170">
        <v>500</v>
      </c>
      <c r="H107" s="170">
        <v>750</v>
      </c>
      <c r="I107" s="170">
        <v>750</v>
      </c>
      <c r="J107" s="176">
        <f>+G107/F107</f>
        <v>0.16666666666666666</v>
      </c>
      <c r="K107" s="176">
        <f t="shared" si="206"/>
        <v>0.25</v>
      </c>
      <c r="L107" s="176">
        <f t="shared" si="204"/>
        <v>0.25</v>
      </c>
      <c r="M107" s="176">
        <f>+(G107/F107)*E107</f>
        <v>6.6666666666666666E-2</v>
      </c>
      <c r="N107" s="176">
        <f t="shared" si="207"/>
        <v>0.1</v>
      </c>
      <c r="O107" s="176"/>
      <c r="P107" s="170">
        <v>224</v>
      </c>
      <c r="Q107" s="541">
        <v>162</v>
      </c>
      <c r="R107" s="541">
        <v>8</v>
      </c>
      <c r="S107" s="541">
        <v>118</v>
      </c>
      <c r="T107" s="541">
        <v>641</v>
      </c>
      <c r="U107" s="541">
        <v>76</v>
      </c>
      <c r="V107" s="170">
        <f t="shared" si="173"/>
        <v>1005</v>
      </c>
      <c r="W107" s="170">
        <f t="shared" ref="W107:W108" si="212">+V107+P107+AB107</f>
        <v>1577</v>
      </c>
      <c r="X107" s="541">
        <v>348</v>
      </c>
      <c r="Y107" s="170"/>
      <c r="Z107" s="170"/>
      <c r="AA107" s="170"/>
      <c r="AB107" s="170">
        <f>+Y107+Z107+AA107+X107</f>
        <v>348</v>
      </c>
      <c r="AC107" s="176">
        <f>+(P107/G107)</f>
        <v>0.44800000000000001</v>
      </c>
      <c r="AD107" s="194">
        <v>1</v>
      </c>
      <c r="AE107" s="194">
        <f t="shared" si="205"/>
        <v>0.46400000000000002</v>
      </c>
      <c r="AF107" s="194">
        <f>+AC107*E107</f>
        <v>0.17920000000000003</v>
      </c>
      <c r="AG107" s="194">
        <f t="shared" si="209"/>
        <v>0.4</v>
      </c>
      <c r="AH107" s="194">
        <f t="shared" si="199"/>
        <v>0.18560000000000001</v>
      </c>
      <c r="AI107" s="194">
        <f>+P107/F107</f>
        <v>7.4666666666666673E-2</v>
      </c>
      <c r="AJ107" s="194">
        <v>0.40966666666666668</v>
      </c>
      <c r="AK107" s="194">
        <f t="shared" si="210"/>
        <v>0.52566666666666662</v>
      </c>
      <c r="AL107" s="176">
        <f>+AI107*E107</f>
        <v>2.986666666666667E-2</v>
      </c>
      <c r="AM107" s="176">
        <f>+AJ107*E107</f>
        <v>0.16386666666666669</v>
      </c>
      <c r="AN107" s="176">
        <f t="shared" si="211"/>
        <v>0.21026666666666666</v>
      </c>
      <c r="AO107" s="247" t="s">
        <v>1852</v>
      </c>
      <c r="AP107" s="571" t="s">
        <v>1892</v>
      </c>
      <c r="AQ107" s="571" t="s">
        <v>2269</v>
      </c>
      <c r="AR107" s="571" t="s">
        <v>2288</v>
      </c>
      <c r="AS107" s="792" t="s">
        <v>2402</v>
      </c>
      <c r="AT107" s="792" t="s">
        <v>2438</v>
      </c>
      <c r="AU107" s="571" t="s">
        <v>2493</v>
      </c>
      <c r="AV107" s="571" t="s">
        <v>1893</v>
      </c>
    </row>
    <row r="108" spans="1:48" ht="67.2" customHeight="1" thickBot="1" x14ac:dyDescent="0.4">
      <c r="A108" s="264"/>
      <c r="B108" s="1504" t="s">
        <v>1037</v>
      </c>
      <c r="C108" s="1504" t="s">
        <v>1235</v>
      </c>
      <c r="D108" s="266" t="s">
        <v>58</v>
      </c>
      <c r="E108" s="228">
        <v>0.5</v>
      </c>
      <c r="F108" s="226">
        <v>1</v>
      </c>
      <c r="G108" s="170">
        <v>0.5</v>
      </c>
      <c r="H108" s="170">
        <v>0.5</v>
      </c>
      <c r="I108" s="170">
        <v>0</v>
      </c>
      <c r="J108" s="176">
        <f>+G108/F108</f>
        <v>0.5</v>
      </c>
      <c r="K108" s="176">
        <f t="shared" si="206"/>
        <v>0.5</v>
      </c>
      <c r="L108" s="176"/>
      <c r="M108" s="176">
        <f>+(G108/F108)*E108</f>
        <v>0.25</v>
      </c>
      <c r="N108" s="176">
        <f t="shared" si="207"/>
        <v>0.25</v>
      </c>
      <c r="O108" s="176"/>
      <c r="P108" s="170">
        <v>0</v>
      </c>
      <c r="Q108" s="541">
        <v>0</v>
      </c>
      <c r="R108" s="541">
        <v>0</v>
      </c>
      <c r="S108" s="541">
        <v>0</v>
      </c>
      <c r="T108" s="541">
        <v>1</v>
      </c>
      <c r="U108" s="541">
        <v>0</v>
      </c>
      <c r="V108" s="170">
        <f t="shared" si="173"/>
        <v>1</v>
      </c>
      <c r="W108" s="170">
        <f t="shared" si="212"/>
        <v>1</v>
      </c>
      <c r="X108" s="541">
        <v>0</v>
      </c>
      <c r="Y108" s="170"/>
      <c r="Z108" s="170"/>
      <c r="AA108" s="170"/>
      <c r="AB108" s="170">
        <f>+Y108+Z108+AA108+X108</f>
        <v>0</v>
      </c>
      <c r="AC108" s="176">
        <f>+(P108/G108)</f>
        <v>0</v>
      </c>
      <c r="AD108" s="194">
        <v>1</v>
      </c>
      <c r="AE108" s="194"/>
      <c r="AF108" s="194">
        <f>+AC108*E108</f>
        <v>0</v>
      </c>
      <c r="AG108" s="194">
        <f t="shared" si="209"/>
        <v>0.5</v>
      </c>
      <c r="AH108" s="194">
        <f t="shared" si="199"/>
        <v>0</v>
      </c>
      <c r="AI108" s="194">
        <f>+P108/F108</f>
        <v>0</v>
      </c>
      <c r="AJ108" s="194">
        <v>1</v>
      </c>
      <c r="AK108" s="194">
        <f t="shared" si="210"/>
        <v>1</v>
      </c>
      <c r="AL108" s="176">
        <f>+AI108*E108</f>
        <v>0</v>
      </c>
      <c r="AM108" s="176">
        <f>+AJ108*E108</f>
        <v>0.5</v>
      </c>
      <c r="AN108" s="176">
        <f t="shared" si="211"/>
        <v>0.5</v>
      </c>
      <c r="AO108" s="247" t="s">
        <v>1852</v>
      </c>
      <c r="AP108" s="571" t="s">
        <v>1892</v>
      </c>
      <c r="AQ108" s="571" t="s">
        <v>2269</v>
      </c>
      <c r="AR108" s="571" t="s">
        <v>2288</v>
      </c>
      <c r="AS108" s="792" t="s">
        <v>2402</v>
      </c>
      <c r="AT108" s="792" t="s">
        <v>2453</v>
      </c>
      <c r="AU108" s="571" t="s">
        <v>2493</v>
      </c>
      <c r="AV108" s="571" t="s">
        <v>1893</v>
      </c>
    </row>
    <row r="109" spans="1:48" ht="67.2" customHeight="1" thickBot="1" x14ac:dyDescent="0.4">
      <c r="A109" s="264"/>
      <c r="B109" s="1576" t="s">
        <v>1835</v>
      </c>
      <c r="C109" s="1562"/>
      <c r="D109" s="266"/>
      <c r="E109" s="234">
        <v>0.2</v>
      </c>
      <c r="F109" s="267">
        <f>E109*AF109</f>
        <v>0.15047200000000005</v>
      </c>
      <c r="G109" s="163"/>
      <c r="H109" s="267">
        <f>+E109*AG109</f>
        <v>0.14340000000000003</v>
      </c>
      <c r="I109" s="267">
        <f>+E109*AH109</f>
        <v>6.0503096821877315E-2</v>
      </c>
      <c r="J109" s="161">
        <f>+(J110+J116+J123+J131+J134+J139)/6</f>
        <v>0.24594907407407407</v>
      </c>
      <c r="K109" s="161">
        <f>+(K110+K116+K123+K131+K134+K139)/6</f>
        <v>0.29876710128495843</v>
      </c>
      <c r="L109" s="161">
        <f>+(L110+L116+L123+L131+L134+L139)/6</f>
        <v>0.35785383597883591</v>
      </c>
      <c r="M109" s="162">
        <f>+(M110+M116+M123+M131+M134+M139)/6</f>
        <v>0.20215277777777776</v>
      </c>
      <c r="N109" s="162">
        <f>+(N110+N116+N123+N131+N134+N139)/6</f>
        <v>0.28790873015873014</v>
      </c>
      <c r="O109" s="162"/>
      <c r="P109" s="163"/>
      <c r="Q109" s="163"/>
      <c r="R109" s="163"/>
      <c r="S109" s="163"/>
      <c r="T109" s="163"/>
      <c r="U109" s="215"/>
      <c r="V109" s="967"/>
      <c r="W109" s="163"/>
      <c r="X109" s="163"/>
      <c r="Y109" s="163"/>
      <c r="Z109" s="163"/>
      <c r="AA109" s="163"/>
      <c r="AB109" s="163"/>
      <c r="AC109" s="161">
        <f>+(AC110+AC116+AC123+AC131+AC134+AC139)/6</f>
        <v>0.92183333333333339</v>
      </c>
      <c r="AD109" s="161">
        <f>+(AD110+AD116+AD123+AD131+AD134+AD139)/6</f>
        <v>0.87160846560846561</v>
      </c>
      <c r="AE109" s="161">
        <f>+(AE110+AE116+AE123+AE131+AE134+AE139)/6</f>
        <v>0.3044914886378301</v>
      </c>
      <c r="AF109" s="162">
        <f>+AF110+AF116+AF123+AF131+AF134+AF139</f>
        <v>0.75236000000000014</v>
      </c>
      <c r="AG109" s="162">
        <f>+AG110+AG116+AG123+AG131+AG134+AG139</f>
        <v>0.71700000000000008</v>
      </c>
      <c r="AH109" s="162">
        <f>+AH110+AH116+AH123+AH131+AH134+AH139</f>
        <v>0.30251548410938656</v>
      </c>
      <c r="AI109" s="161">
        <f>(AI110+AI116+AI123+AI131+AI134+AI139)/6</f>
        <v>0.20931944444444447</v>
      </c>
      <c r="AJ109" s="1146">
        <v>0.56069755291005297</v>
      </c>
      <c r="AK109" s="1146">
        <f>(AK110+AK116+AK123+AK131+AK134+AK139)/6</f>
        <v>0.62134847883597877</v>
      </c>
      <c r="AL109" s="268">
        <f>(AL110+AL116+AL123+AL131+AL134+AL139)</f>
        <v>0.18588916666666666</v>
      </c>
      <c r="AM109" s="268">
        <f>(AM110*E110+AM116*E116+AM123*E123+AM131*E131+AM134*E134+AM139*E139)</f>
        <v>0.49863416666666671</v>
      </c>
      <c r="AN109" s="268">
        <f>(AN110*E110+AN116*E116+AN123*E123+AN131*E131+AN134*E134+AN139*E139)</f>
        <v>0.57405166666666663</v>
      </c>
      <c r="AO109" s="163"/>
      <c r="AP109" s="163"/>
      <c r="AQ109" s="163"/>
      <c r="AR109" s="163"/>
      <c r="AS109" s="609"/>
      <c r="AT109" s="609"/>
      <c r="AU109" s="163"/>
      <c r="AV109" s="535"/>
    </row>
    <row r="110" spans="1:48" ht="67.2" customHeight="1" thickBot="1" x14ac:dyDescent="0.4">
      <c r="A110" s="264"/>
      <c r="B110" s="1580" t="s">
        <v>1776</v>
      </c>
      <c r="C110" s="1562"/>
      <c r="D110" s="266"/>
      <c r="E110" s="232">
        <v>0.2</v>
      </c>
      <c r="F110" s="216"/>
      <c r="G110" s="163"/>
      <c r="H110" s="163"/>
      <c r="I110" s="163"/>
      <c r="J110" s="169">
        <f>+AVERAGE(J111:J115)</f>
        <v>0.20833333333333331</v>
      </c>
      <c r="K110" s="169">
        <f>+AVERAGE(K111:K115)</f>
        <v>0.29833333333333334</v>
      </c>
      <c r="L110" s="169">
        <f>+AVERAGE(L111:L115)</f>
        <v>0.55000000000000004</v>
      </c>
      <c r="M110" s="169">
        <f>+M111+M112+M113+M114+M115</f>
        <v>0.10833333333333334</v>
      </c>
      <c r="N110" s="169">
        <f>+N111+N112+N113+N114+N115</f>
        <v>0.24833333333333332</v>
      </c>
      <c r="O110" s="169"/>
      <c r="P110" s="168"/>
      <c r="Q110" s="168"/>
      <c r="R110" s="168"/>
      <c r="S110" s="168"/>
      <c r="T110" s="168"/>
      <c r="U110" s="987"/>
      <c r="V110" s="170"/>
      <c r="W110" s="168"/>
      <c r="X110" s="168"/>
      <c r="Y110" s="168"/>
      <c r="Z110" s="168"/>
      <c r="AA110" s="168"/>
      <c r="AB110" s="168"/>
      <c r="AC110" s="192">
        <f>+AVERAGE(AC111:AC115)</f>
        <v>1</v>
      </c>
      <c r="AD110" s="192">
        <f>+AVERAGE(AD111:AD115)</f>
        <v>0.98000000000000009</v>
      </c>
      <c r="AE110" s="192">
        <f>+AVERAGE(AE111:AE115)</f>
        <v>0.41818181818181815</v>
      </c>
      <c r="AF110" s="192">
        <f>+(AF111+AF112+AF113+AF114+AF115)*E110</f>
        <v>0.11000000000000001</v>
      </c>
      <c r="AG110" s="192">
        <f>+(AG111+AG112+AG113+AG114+AG115)*E110</f>
        <v>0.19900000000000001</v>
      </c>
      <c r="AH110" s="192">
        <f>+(AH111+AH112+AH113+AH114+AH115)*E110</f>
        <v>0.1109090909090909</v>
      </c>
      <c r="AI110" s="169">
        <f>+AVERAGE(AI111:AI115)</f>
        <v>0.18888888888888888</v>
      </c>
      <c r="AJ110" s="169">
        <v>0.82333333333333347</v>
      </c>
      <c r="AK110" s="169">
        <f>+AVERAGE(AK111:AK115)</f>
        <v>0.9</v>
      </c>
      <c r="AL110" s="169">
        <f>+(AL111+AL113+AL114+AL115)*E110</f>
        <v>2.7666666666666669E-2</v>
      </c>
      <c r="AM110" s="169">
        <f>+(AM111+AM113+AM114+AM115)</f>
        <v>0.51416666666666666</v>
      </c>
      <c r="AN110" s="169">
        <f>+(AN111+AN113+AN114+AN115)</f>
        <v>0.77500000000000002</v>
      </c>
      <c r="AO110" s="163"/>
      <c r="AP110" s="163"/>
      <c r="AQ110" s="163"/>
      <c r="AR110" s="163"/>
      <c r="AS110" s="609"/>
      <c r="AT110" s="609"/>
      <c r="AU110" s="163"/>
      <c r="AV110" s="535"/>
    </row>
    <row r="111" spans="1:48" ht="67.2" customHeight="1" thickBot="1" x14ac:dyDescent="0.4">
      <c r="A111" s="264"/>
      <c r="B111" s="1480" t="s">
        <v>1038</v>
      </c>
      <c r="C111" s="1504" t="s">
        <v>1236</v>
      </c>
      <c r="D111" s="266" t="s">
        <v>560</v>
      </c>
      <c r="E111" s="228">
        <v>0.2</v>
      </c>
      <c r="F111" s="226">
        <v>4</v>
      </c>
      <c r="G111" s="170">
        <v>0</v>
      </c>
      <c r="H111" s="170">
        <v>1</v>
      </c>
      <c r="I111" s="170">
        <v>1</v>
      </c>
      <c r="J111" s="176"/>
      <c r="K111" s="176">
        <f t="shared" ref="K111:K115" si="213">+H111/F111</f>
        <v>0.25</v>
      </c>
      <c r="L111" s="176"/>
      <c r="M111" s="176">
        <v>0</v>
      </c>
      <c r="N111" s="176">
        <f t="shared" ref="N111:N115" si="214">+(H111/F111)*E111</f>
        <v>0.05</v>
      </c>
      <c r="O111" s="176"/>
      <c r="P111" s="236"/>
      <c r="Q111" s="541">
        <v>1</v>
      </c>
      <c r="R111" s="541">
        <v>0</v>
      </c>
      <c r="S111" s="541">
        <v>4</v>
      </c>
      <c r="T111" s="541">
        <v>0</v>
      </c>
      <c r="U111" s="541">
        <v>0</v>
      </c>
      <c r="V111" s="236">
        <f t="shared" si="173"/>
        <v>5</v>
      </c>
      <c r="W111" s="236">
        <f>+V111+P111+AB111</f>
        <v>5</v>
      </c>
      <c r="X111" s="541">
        <v>0</v>
      </c>
      <c r="Y111" s="236"/>
      <c r="Z111" s="236"/>
      <c r="AA111" s="236"/>
      <c r="AB111" s="236">
        <f t="shared" ref="AB111:AB115" si="215">+X111+Y111+Z111+AA111</f>
        <v>0</v>
      </c>
      <c r="AC111" s="176"/>
      <c r="AD111" s="194">
        <v>1</v>
      </c>
      <c r="AE111" s="194">
        <f t="shared" ref="AE111:AE115" si="216">+AB111/I111</f>
        <v>0</v>
      </c>
      <c r="AF111" s="194"/>
      <c r="AG111" s="194">
        <f t="shared" ref="AG111:AG115" si="217">+AD111*E111</f>
        <v>0.2</v>
      </c>
      <c r="AH111" s="194">
        <f t="shared" ref="AH111:AH115" si="218">+AE111*E111</f>
        <v>0</v>
      </c>
      <c r="AI111" s="194"/>
      <c r="AJ111" s="194">
        <v>1</v>
      </c>
      <c r="AK111" s="194">
        <v>1</v>
      </c>
      <c r="AL111" s="176">
        <v>0</v>
      </c>
      <c r="AM111" s="242">
        <v>0</v>
      </c>
      <c r="AN111" s="242">
        <f>+AK111*E111</f>
        <v>0.2</v>
      </c>
      <c r="AO111" s="180" t="s">
        <v>1850</v>
      </c>
      <c r="AP111" s="571" t="s">
        <v>1892</v>
      </c>
      <c r="AQ111" s="571" t="s">
        <v>2269</v>
      </c>
      <c r="AR111" s="571" t="s">
        <v>2288</v>
      </c>
      <c r="AS111" s="792" t="s">
        <v>2412</v>
      </c>
      <c r="AT111" s="792" t="s">
        <v>2438</v>
      </c>
      <c r="AU111" s="571" t="s">
        <v>2493</v>
      </c>
      <c r="AV111" s="571" t="s">
        <v>1893</v>
      </c>
    </row>
    <row r="112" spans="1:48" ht="67.2" customHeight="1" thickBot="1" x14ac:dyDescent="0.4">
      <c r="A112" s="264"/>
      <c r="B112" s="1480" t="s">
        <v>1039</v>
      </c>
      <c r="C112" s="1504" t="s">
        <v>1237</v>
      </c>
      <c r="D112" s="266" t="s">
        <v>560</v>
      </c>
      <c r="E112" s="228">
        <v>0.2</v>
      </c>
      <c r="F112" s="226">
        <v>6</v>
      </c>
      <c r="G112" s="170">
        <v>0</v>
      </c>
      <c r="H112" s="170">
        <v>3</v>
      </c>
      <c r="I112" s="170">
        <v>2</v>
      </c>
      <c r="J112" s="176"/>
      <c r="K112" s="176">
        <f t="shared" si="213"/>
        <v>0.5</v>
      </c>
      <c r="L112" s="176"/>
      <c r="M112" s="176">
        <v>0</v>
      </c>
      <c r="N112" s="176">
        <f t="shared" si="214"/>
        <v>0.1</v>
      </c>
      <c r="O112" s="176"/>
      <c r="P112" s="236"/>
      <c r="Q112" s="541">
        <v>3</v>
      </c>
      <c r="R112" s="541">
        <v>0</v>
      </c>
      <c r="S112" s="541">
        <v>0</v>
      </c>
      <c r="T112" s="541">
        <v>2</v>
      </c>
      <c r="U112" s="541"/>
      <c r="V112" s="236">
        <f t="shared" si="173"/>
        <v>5</v>
      </c>
      <c r="W112" s="236">
        <f t="shared" ref="W112:W140" si="219">+V112+P112+AB112</f>
        <v>6</v>
      </c>
      <c r="X112" s="541">
        <v>1</v>
      </c>
      <c r="Y112" s="236"/>
      <c r="Z112" s="236"/>
      <c r="AA112" s="236"/>
      <c r="AB112" s="236">
        <f t="shared" si="215"/>
        <v>1</v>
      </c>
      <c r="AC112" s="176"/>
      <c r="AD112" s="194">
        <v>1</v>
      </c>
      <c r="AE112" s="194">
        <f t="shared" si="216"/>
        <v>0.5</v>
      </c>
      <c r="AF112" s="194"/>
      <c r="AG112" s="194">
        <f t="shared" si="217"/>
        <v>0.2</v>
      </c>
      <c r="AH112" s="194">
        <f t="shared" si="218"/>
        <v>0.1</v>
      </c>
      <c r="AI112" s="194"/>
      <c r="AJ112" s="194">
        <v>0.83333333333333337</v>
      </c>
      <c r="AK112" s="194">
        <f t="shared" ref="AK112:AK115" si="220">+W112/F112</f>
        <v>1</v>
      </c>
      <c r="AL112" s="176">
        <v>0</v>
      </c>
      <c r="AM112" s="242">
        <v>0</v>
      </c>
      <c r="AN112" s="242">
        <f>+AK112*E112</f>
        <v>0.2</v>
      </c>
      <c r="AO112" s="180" t="s">
        <v>1850</v>
      </c>
      <c r="AP112" s="571" t="s">
        <v>1892</v>
      </c>
      <c r="AQ112" s="571" t="s">
        <v>2269</v>
      </c>
      <c r="AR112" s="571" t="s">
        <v>2288</v>
      </c>
      <c r="AS112" s="792" t="s">
        <v>2412</v>
      </c>
      <c r="AT112" s="792" t="s">
        <v>2438</v>
      </c>
      <c r="AU112" s="571" t="s">
        <v>2493</v>
      </c>
      <c r="AV112" s="674" t="s">
        <v>2558</v>
      </c>
    </row>
    <row r="113" spans="1:48" ht="67.2" customHeight="1" thickBot="1" x14ac:dyDescent="0.4">
      <c r="A113" s="264"/>
      <c r="B113" s="1480" t="s">
        <v>1040</v>
      </c>
      <c r="C113" s="1504" t="s">
        <v>1238</v>
      </c>
      <c r="D113" s="266" t="s">
        <v>560</v>
      </c>
      <c r="E113" s="228">
        <v>0.35</v>
      </c>
      <c r="F113" s="226">
        <v>6</v>
      </c>
      <c r="G113" s="170">
        <v>1</v>
      </c>
      <c r="H113" s="170">
        <v>1</v>
      </c>
      <c r="I113" s="170">
        <v>2</v>
      </c>
      <c r="J113" s="176">
        <f>+G113/F113</f>
        <v>0.16666666666666666</v>
      </c>
      <c r="K113" s="176">
        <f t="shared" si="213"/>
        <v>0.16666666666666666</v>
      </c>
      <c r="L113" s="176"/>
      <c r="M113" s="176">
        <f>+(G113/F113)*E113</f>
        <v>5.8333333333333327E-2</v>
      </c>
      <c r="N113" s="176">
        <f t="shared" si="214"/>
        <v>5.8333333333333327E-2</v>
      </c>
      <c r="O113" s="176"/>
      <c r="P113" s="236">
        <v>1</v>
      </c>
      <c r="Q113" s="541">
        <v>1</v>
      </c>
      <c r="R113" s="541">
        <v>0</v>
      </c>
      <c r="S113" s="541">
        <v>3</v>
      </c>
      <c r="T113" s="541">
        <v>0</v>
      </c>
      <c r="U113" s="541">
        <v>0</v>
      </c>
      <c r="V113" s="236">
        <f t="shared" si="173"/>
        <v>4</v>
      </c>
      <c r="W113" s="236">
        <f t="shared" si="219"/>
        <v>12</v>
      </c>
      <c r="X113" s="541">
        <v>7</v>
      </c>
      <c r="Y113" s="236"/>
      <c r="Z113" s="236"/>
      <c r="AA113" s="236"/>
      <c r="AB113" s="236">
        <f t="shared" si="215"/>
        <v>7</v>
      </c>
      <c r="AC113" s="176">
        <v>1</v>
      </c>
      <c r="AD113" s="194">
        <v>1</v>
      </c>
      <c r="AE113" s="194">
        <v>1</v>
      </c>
      <c r="AF113" s="194">
        <f>+AC113*E113</f>
        <v>0.35</v>
      </c>
      <c r="AG113" s="194">
        <f t="shared" si="217"/>
        <v>0.35</v>
      </c>
      <c r="AH113" s="194">
        <f t="shared" si="218"/>
        <v>0.35</v>
      </c>
      <c r="AI113" s="194">
        <f>+P113/F113</f>
        <v>0.16666666666666666</v>
      </c>
      <c r="AJ113" s="194">
        <v>0.83333333333333337</v>
      </c>
      <c r="AK113" s="194">
        <v>1</v>
      </c>
      <c r="AL113" s="176">
        <f>+AI113*E113</f>
        <v>5.8333333333333327E-2</v>
      </c>
      <c r="AM113" s="176">
        <f>+AJ113*E113</f>
        <v>0.29166666666666669</v>
      </c>
      <c r="AN113" s="176">
        <f t="shared" ref="AN113:AN115" si="221">+AK113*E113</f>
        <v>0.35</v>
      </c>
      <c r="AO113" s="180" t="s">
        <v>1850</v>
      </c>
      <c r="AP113" s="571" t="s">
        <v>1892</v>
      </c>
      <c r="AQ113" s="571" t="s">
        <v>2269</v>
      </c>
      <c r="AR113" s="571" t="s">
        <v>2288</v>
      </c>
      <c r="AS113" s="792" t="s">
        <v>2402</v>
      </c>
      <c r="AT113" s="792" t="s">
        <v>2438</v>
      </c>
      <c r="AU113" s="571" t="s">
        <v>2493</v>
      </c>
      <c r="AV113" s="924" t="s">
        <v>1865</v>
      </c>
    </row>
    <row r="114" spans="1:48" ht="67.2" customHeight="1" thickBot="1" x14ac:dyDescent="0.4">
      <c r="A114" s="264"/>
      <c r="B114" s="1480" t="s">
        <v>1041</v>
      </c>
      <c r="C114" s="1504" t="s">
        <v>1239</v>
      </c>
      <c r="D114" s="266" t="s">
        <v>560</v>
      </c>
      <c r="E114" s="228">
        <v>0.2</v>
      </c>
      <c r="F114" s="226">
        <v>40</v>
      </c>
      <c r="G114" s="170">
        <v>10</v>
      </c>
      <c r="H114" s="170">
        <v>3</v>
      </c>
      <c r="I114" s="170">
        <v>2</v>
      </c>
      <c r="J114" s="176">
        <f>+G114/F114</f>
        <v>0.25</v>
      </c>
      <c r="K114" s="176">
        <f t="shared" si="213"/>
        <v>7.4999999999999997E-2</v>
      </c>
      <c r="L114" s="176"/>
      <c r="M114" s="176">
        <f>+(G114/F114)*E114</f>
        <v>0.05</v>
      </c>
      <c r="N114" s="176">
        <f t="shared" si="214"/>
        <v>1.4999999999999999E-2</v>
      </c>
      <c r="O114" s="176"/>
      <c r="P114" s="236">
        <v>16</v>
      </c>
      <c r="Q114" s="541">
        <v>0</v>
      </c>
      <c r="R114" s="541">
        <v>3</v>
      </c>
      <c r="S114" s="541">
        <v>0</v>
      </c>
      <c r="T114" s="541">
        <v>35</v>
      </c>
      <c r="U114" s="541">
        <v>6</v>
      </c>
      <c r="V114" s="236">
        <f t="shared" si="173"/>
        <v>44</v>
      </c>
      <c r="W114" s="236">
        <f t="shared" si="219"/>
        <v>61</v>
      </c>
      <c r="X114" s="541">
        <v>1</v>
      </c>
      <c r="Y114" s="236"/>
      <c r="Z114" s="236"/>
      <c r="AA114" s="236"/>
      <c r="AB114" s="236">
        <f t="shared" si="215"/>
        <v>1</v>
      </c>
      <c r="AC114" s="176">
        <v>1</v>
      </c>
      <c r="AD114" s="194">
        <v>1</v>
      </c>
      <c r="AE114" s="194">
        <f t="shared" si="216"/>
        <v>0.5</v>
      </c>
      <c r="AF114" s="194">
        <f>+AC114*E114</f>
        <v>0.2</v>
      </c>
      <c r="AG114" s="194">
        <f t="shared" si="217"/>
        <v>0.2</v>
      </c>
      <c r="AH114" s="194">
        <f t="shared" si="218"/>
        <v>0.1</v>
      </c>
      <c r="AI114" s="194">
        <f>+P114/F114</f>
        <v>0.4</v>
      </c>
      <c r="AJ114" s="194">
        <v>1</v>
      </c>
      <c r="AK114" s="194">
        <v>1</v>
      </c>
      <c r="AL114" s="176">
        <f>+AI114*E114</f>
        <v>8.0000000000000016E-2</v>
      </c>
      <c r="AM114" s="176">
        <f>+AJ114*E114</f>
        <v>0.2</v>
      </c>
      <c r="AN114" s="176">
        <f t="shared" si="221"/>
        <v>0.2</v>
      </c>
      <c r="AO114" s="180" t="s">
        <v>1850</v>
      </c>
      <c r="AP114" s="571" t="s">
        <v>1892</v>
      </c>
      <c r="AQ114" s="571" t="s">
        <v>2269</v>
      </c>
      <c r="AR114" s="571" t="s">
        <v>1591</v>
      </c>
      <c r="AS114" s="792" t="s">
        <v>2402</v>
      </c>
      <c r="AT114" s="792" t="s">
        <v>2438</v>
      </c>
      <c r="AU114" s="571" t="s">
        <v>2493</v>
      </c>
      <c r="AV114" s="924" t="s">
        <v>1865</v>
      </c>
    </row>
    <row r="115" spans="1:48" ht="67.2" customHeight="1" thickBot="1" x14ac:dyDescent="0.4">
      <c r="A115" s="264"/>
      <c r="B115" s="1504" t="s">
        <v>1042</v>
      </c>
      <c r="C115" s="1504" t="s">
        <v>1240</v>
      </c>
      <c r="D115" s="266" t="s">
        <v>560</v>
      </c>
      <c r="E115" s="228">
        <v>0.05</v>
      </c>
      <c r="F115" s="226">
        <v>1</v>
      </c>
      <c r="G115" s="170">
        <v>0</v>
      </c>
      <c r="H115" s="170">
        <v>0.5</v>
      </c>
      <c r="I115" s="170">
        <v>0.55000000000000004</v>
      </c>
      <c r="J115" s="176"/>
      <c r="K115" s="176">
        <f t="shared" si="213"/>
        <v>0.5</v>
      </c>
      <c r="L115" s="176">
        <f t="shared" ref="L115" si="222">+I115/F115</f>
        <v>0.55000000000000004</v>
      </c>
      <c r="M115" s="176"/>
      <c r="N115" s="176">
        <f t="shared" si="214"/>
        <v>2.5000000000000001E-2</v>
      </c>
      <c r="O115" s="176"/>
      <c r="P115" s="170"/>
      <c r="Q115" s="541">
        <v>0</v>
      </c>
      <c r="R115" s="541">
        <v>0.1</v>
      </c>
      <c r="S115" s="541">
        <v>0.15</v>
      </c>
      <c r="T115" s="541">
        <v>0.15</v>
      </c>
      <c r="U115" s="541">
        <v>0.05</v>
      </c>
      <c r="V115" s="170">
        <f t="shared" si="173"/>
        <v>0.45</v>
      </c>
      <c r="W115" s="241">
        <f t="shared" si="219"/>
        <v>0.5</v>
      </c>
      <c r="X115" s="170">
        <v>0.05</v>
      </c>
      <c r="Y115" s="170"/>
      <c r="Z115" s="170"/>
      <c r="AA115" s="170"/>
      <c r="AB115" s="170">
        <f t="shared" si="215"/>
        <v>0.05</v>
      </c>
      <c r="AC115" s="176"/>
      <c r="AD115" s="194">
        <f t="shared" ref="AD115" si="223">+V115/H115</f>
        <v>0.9</v>
      </c>
      <c r="AE115" s="194">
        <f t="shared" si="216"/>
        <v>9.0909090909090912E-2</v>
      </c>
      <c r="AF115" s="194"/>
      <c r="AG115" s="194">
        <f t="shared" si="217"/>
        <v>4.5000000000000005E-2</v>
      </c>
      <c r="AH115" s="194">
        <f t="shared" si="218"/>
        <v>4.5454545454545461E-3</v>
      </c>
      <c r="AI115" s="802">
        <v>0</v>
      </c>
      <c r="AJ115" s="802">
        <v>0.45</v>
      </c>
      <c r="AK115" s="802">
        <f t="shared" si="220"/>
        <v>0.5</v>
      </c>
      <c r="AL115" s="176">
        <v>0</v>
      </c>
      <c r="AM115" s="176">
        <f>+AJ115*E115</f>
        <v>2.2500000000000003E-2</v>
      </c>
      <c r="AN115" s="176">
        <f t="shared" si="221"/>
        <v>2.5000000000000001E-2</v>
      </c>
      <c r="AO115" s="180" t="s">
        <v>1850</v>
      </c>
      <c r="AP115" s="571" t="s">
        <v>1892</v>
      </c>
      <c r="AQ115" s="571" t="s">
        <v>2269</v>
      </c>
      <c r="AR115" s="571" t="s">
        <v>2288</v>
      </c>
      <c r="AS115" s="784" t="s">
        <v>2376</v>
      </c>
      <c r="AT115" s="792" t="s">
        <v>2438</v>
      </c>
      <c r="AU115" s="571" t="s">
        <v>2493</v>
      </c>
      <c r="AV115" s="571" t="s">
        <v>1893</v>
      </c>
    </row>
    <row r="116" spans="1:48" ht="67.2" customHeight="1" thickBot="1" x14ac:dyDescent="0.4">
      <c r="A116" s="264"/>
      <c r="B116" s="1580" t="s">
        <v>1777</v>
      </c>
      <c r="C116" s="1562"/>
      <c r="D116" s="266"/>
      <c r="E116" s="232">
        <v>0.2</v>
      </c>
      <c r="F116" s="216"/>
      <c r="G116" s="163"/>
      <c r="H116" s="163"/>
      <c r="I116" s="163"/>
      <c r="J116" s="169">
        <f>+AVERAGE(J117:J122)</f>
        <v>0.19999999999999998</v>
      </c>
      <c r="K116" s="169">
        <f>+AVERAGE(K117:K122)</f>
        <v>0.28150000000000003</v>
      </c>
      <c r="L116" s="169">
        <f>+AVERAGE(L117:L122)</f>
        <v>0.26666666666666666</v>
      </c>
      <c r="M116" s="169">
        <f>+M117+M118+M119+M120+M121+M122</f>
        <v>0.17499999999999999</v>
      </c>
      <c r="N116" s="169">
        <f>+N117+N118+N119+N120+N121+N122</f>
        <v>0.28525</v>
      </c>
      <c r="O116" s="169"/>
      <c r="P116" s="168"/>
      <c r="Q116" s="168"/>
      <c r="R116" s="168"/>
      <c r="S116" s="168"/>
      <c r="T116" s="168"/>
      <c r="U116" s="987"/>
      <c r="V116" s="170"/>
      <c r="W116" s="236"/>
      <c r="X116" s="168"/>
      <c r="Y116" s="168"/>
      <c r="Z116" s="168"/>
      <c r="AA116" s="168"/>
      <c r="AB116" s="168"/>
      <c r="AC116" s="192">
        <f>+AVERAGE(AC117:AC122)</f>
        <v>0.90600000000000003</v>
      </c>
      <c r="AD116" s="192">
        <f>+AVERAGE(AD117:AD122)</f>
        <v>1</v>
      </c>
      <c r="AE116" s="192">
        <f>+AVERAGE(AE117:AE122)</f>
        <v>0.20833333333333334</v>
      </c>
      <c r="AF116" s="192">
        <f>+(AF117+AF118+AF119+AF120+AF121+AF122)*E116</f>
        <v>0.18236000000000002</v>
      </c>
      <c r="AG116" s="192">
        <f>+(AG117+AG118+AG119+AG120+AG121+AG122)*E116</f>
        <v>0.2</v>
      </c>
      <c r="AH116" s="192">
        <f>+(AH117+AH118+AH119+AH120+AH121+AH122)*E116</f>
        <v>3.2500000000000001E-2</v>
      </c>
      <c r="AI116" s="169">
        <f>+AVERAGE(AI117:AI122)</f>
        <v>0.18400000000000002</v>
      </c>
      <c r="AJ116" s="169">
        <v>0.53839166666666671</v>
      </c>
      <c r="AK116" s="169">
        <f>+AVERAGE(AK117:AK122)</f>
        <v>0.51005833333333328</v>
      </c>
      <c r="AL116" s="169">
        <f>+(AL117+AL118+AL119+AL120+AL121+AL122)*E116</f>
        <v>3.2840000000000001E-2</v>
      </c>
      <c r="AM116" s="169">
        <f>+(AM117+AM118+AM119+AM120+AM121+AM122)</f>
        <v>0.54608749999999995</v>
      </c>
      <c r="AN116" s="169">
        <f>+(AN117+AN118+AN119+AN120+AN121+AN122)</f>
        <v>0.47858750000000005</v>
      </c>
      <c r="AO116" s="163"/>
      <c r="AP116" s="163"/>
      <c r="AQ116" s="163"/>
      <c r="AR116" s="163"/>
      <c r="AS116" s="609"/>
      <c r="AT116" s="609"/>
      <c r="AU116" s="163"/>
      <c r="AV116" s="535"/>
    </row>
    <row r="117" spans="1:48" ht="67.2" customHeight="1" thickBot="1" x14ac:dyDescent="0.4">
      <c r="A117" s="264"/>
      <c r="B117" s="1480" t="s">
        <v>1043</v>
      </c>
      <c r="C117" s="1504" t="s">
        <v>1241</v>
      </c>
      <c r="D117" s="266" t="s">
        <v>560</v>
      </c>
      <c r="E117" s="228">
        <v>0.05</v>
      </c>
      <c r="F117" s="226">
        <v>1</v>
      </c>
      <c r="G117" s="236">
        <v>0.25</v>
      </c>
      <c r="H117" s="236">
        <v>0.3</v>
      </c>
      <c r="I117" s="236">
        <v>0.25</v>
      </c>
      <c r="J117" s="176">
        <f t="shared" ref="J117:J122" si="224">+G117/F117</f>
        <v>0.25</v>
      </c>
      <c r="K117" s="176">
        <f t="shared" ref="K117:K122" si="225">+H117/F117</f>
        <v>0.3</v>
      </c>
      <c r="L117" s="176">
        <f t="shared" ref="L117:L122" si="226">+I117/F117</f>
        <v>0.25</v>
      </c>
      <c r="M117" s="176">
        <f t="shared" ref="M117:M122" si="227">+(G117/F117)*E117</f>
        <v>1.2500000000000001E-2</v>
      </c>
      <c r="N117" s="176">
        <f t="shared" ref="N117:N122" si="228">+(H117/F117)*E117</f>
        <v>1.4999999999999999E-2</v>
      </c>
      <c r="O117" s="176"/>
      <c r="P117" s="236">
        <v>0.19900000000000001</v>
      </c>
      <c r="Q117" s="541">
        <v>2.4E-2</v>
      </c>
      <c r="R117" s="541">
        <v>0.03</v>
      </c>
      <c r="S117" s="541">
        <v>0.13189999999999999</v>
      </c>
      <c r="T117" s="541">
        <v>5.8000000000000003E-2</v>
      </c>
      <c r="U117" s="541">
        <v>5.7099999999999998E-2</v>
      </c>
      <c r="V117" s="236">
        <f t="shared" si="173"/>
        <v>0.30099999999999999</v>
      </c>
      <c r="W117" s="236">
        <f t="shared" si="219"/>
        <v>0.5625</v>
      </c>
      <c r="X117" s="541">
        <v>6.25E-2</v>
      </c>
      <c r="Y117" s="236"/>
      <c r="Z117" s="236"/>
      <c r="AA117" s="236"/>
      <c r="AB117" s="236">
        <f t="shared" ref="AB117:AB122" si="229">+X117+Y117+Z117+AA117</f>
        <v>6.25E-2</v>
      </c>
      <c r="AC117" s="176">
        <f t="shared" ref="AC117:AC122" si="230">+(P117/G117)</f>
        <v>0.79600000000000004</v>
      </c>
      <c r="AD117" s="194">
        <v>1</v>
      </c>
      <c r="AE117" s="194">
        <f t="shared" ref="AE117:AE122" si="231">+AB117/I117</f>
        <v>0.25</v>
      </c>
      <c r="AF117" s="194">
        <f t="shared" ref="AF117:AF122" si="232">+AC117*E117</f>
        <v>3.9800000000000002E-2</v>
      </c>
      <c r="AG117" s="194">
        <f t="shared" ref="AG117:AG122" si="233">+AD117*E117</f>
        <v>0.05</v>
      </c>
      <c r="AH117" s="194">
        <f t="shared" ref="AH117:AH122" si="234">+AE117*E117</f>
        <v>1.2500000000000001E-2</v>
      </c>
      <c r="AI117" s="194">
        <f t="shared" ref="AI117:AI122" si="235">+P117/F117</f>
        <v>0.19900000000000001</v>
      </c>
      <c r="AJ117" s="194">
        <v>0.5</v>
      </c>
      <c r="AK117" s="194">
        <f t="shared" ref="AK117:AK122" si="236">+W117/F117</f>
        <v>0.5625</v>
      </c>
      <c r="AL117" s="176">
        <f t="shared" ref="AL117:AL122" si="237">+AI117*E117</f>
        <v>9.9500000000000005E-3</v>
      </c>
      <c r="AM117" s="176">
        <f t="shared" ref="AM117:AM122" si="238">+AJ117*E117</f>
        <v>2.5000000000000001E-2</v>
      </c>
      <c r="AN117" s="176">
        <f t="shared" ref="AN117:AN122" si="239">+AK117*E117</f>
        <v>2.8125000000000001E-2</v>
      </c>
      <c r="AO117" s="180" t="s">
        <v>1850</v>
      </c>
      <c r="AP117" s="571" t="s">
        <v>1892</v>
      </c>
      <c r="AQ117" s="571" t="s">
        <v>2269</v>
      </c>
      <c r="AR117" s="571" t="s">
        <v>2288</v>
      </c>
      <c r="AS117" s="792" t="s">
        <v>2402</v>
      </c>
      <c r="AT117" s="792" t="s">
        <v>2438</v>
      </c>
      <c r="AU117" s="571" t="s">
        <v>2493</v>
      </c>
      <c r="AV117" s="571" t="s">
        <v>1893</v>
      </c>
    </row>
    <row r="118" spans="1:48" ht="83.4" customHeight="1" thickBot="1" x14ac:dyDescent="0.4">
      <c r="A118" s="264"/>
      <c r="B118" s="1480" t="s">
        <v>1044</v>
      </c>
      <c r="C118" s="1504" t="s">
        <v>1242</v>
      </c>
      <c r="D118" s="266" t="s">
        <v>560</v>
      </c>
      <c r="E118" s="228">
        <v>0.25</v>
      </c>
      <c r="F118" s="226">
        <v>1</v>
      </c>
      <c r="G118" s="236">
        <v>0.1</v>
      </c>
      <c r="H118" s="236">
        <v>0.32900000000000001</v>
      </c>
      <c r="I118" s="236">
        <v>0.3</v>
      </c>
      <c r="J118" s="242">
        <f t="shared" si="224"/>
        <v>0.1</v>
      </c>
      <c r="K118" s="242">
        <f t="shared" si="225"/>
        <v>0.32900000000000001</v>
      </c>
      <c r="L118" s="242">
        <f t="shared" si="226"/>
        <v>0.3</v>
      </c>
      <c r="M118" s="242">
        <f t="shared" si="227"/>
        <v>2.5000000000000001E-2</v>
      </c>
      <c r="N118" s="242">
        <f t="shared" si="228"/>
        <v>8.2250000000000004E-2</v>
      </c>
      <c r="O118" s="242"/>
      <c r="P118" s="241">
        <v>7.0000000000000007E-2</v>
      </c>
      <c r="Q118" s="575">
        <v>2.9000000000000001E-2</v>
      </c>
      <c r="R118" s="575">
        <v>2.8000000000000001E-2</v>
      </c>
      <c r="S118" s="575">
        <v>0.1799</v>
      </c>
      <c r="T118" s="542">
        <v>4.5999999999999999E-2</v>
      </c>
      <c r="U118" s="542">
        <v>4.6100000000000002E-2</v>
      </c>
      <c r="V118" s="241">
        <f t="shared" si="173"/>
        <v>0.32899999999999996</v>
      </c>
      <c r="W118" s="236">
        <f t="shared" si="219"/>
        <v>0.47399999999999998</v>
      </c>
      <c r="X118" s="575">
        <v>7.4999999999999997E-2</v>
      </c>
      <c r="Y118" s="241"/>
      <c r="Z118" s="241"/>
      <c r="AA118" s="241"/>
      <c r="AB118" s="241">
        <f t="shared" si="229"/>
        <v>7.4999999999999997E-2</v>
      </c>
      <c r="AC118" s="176">
        <f t="shared" si="230"/>
        <v>0.70000000000000007</v>
      </c>
      <c r="AD118" s="194">
        <v>1</v>
      </c>
      <c r="AE118" s="194">
        <f t="shared" si="231"/>
        <v>0.25</v>
      </c>
      <c r="AF118" s="194">
        <f t="shared" si="232"/>
        <v>0.17500000000000002</v>
      </c>
      <c r="AG118" s="194">
        <f t="shared" si="233"/>
        <v>0.25</v>
      </c>
      <c r="AH118" s="194">
        <f t="shared" si="234"/>
        <v>6.25E-2</v>
      </c>
      <c r="AI118" s="194">
        <f t="shared" si="235"/>
        <v>7.0000000000000007E-2</v>
      </c>
      <c r="AJ118" s="194">
        <v>0.39899999999999997</v>
      </c>
      <c r="AK118" s="194">
        <f t="shared" si="236"/>
        <v>0.47399999999999998</v>
      </c>
      <c r="AL118" s="176">
        <f t="shared" si="237"/>
        <v>1.7500000000000002E-2</v>
      </c>
      <c r="AM118" s="176">
        <f t="shared" si="238"/>
        <v>9.9749999999999991E-2</v>
      </c>
      <c r="AN118" s="176">
        <f t="shared" si="239"/>
        <v>0.11849999999999999</v>
      </c>
      <c r="AO118" s="180" t="s">
        <v>1850</v>
      </c>
      <c r="AP118" s="571" t="s">
        <v>1892</v>
      </c>
      <c r="AQ118" s="571" t="s">
        <v>2269</v>
      </c>
      <c r="AR118" s="571" t="s">
        <v>2288</v>
      </c>
      <c r="AS118" s="792" t="s">
        <v>2402</v>
      </c>
      <c r="AT118" s="792" t="s">
        <v>2438</v>
      </c>
      <c r="AU118" s="571" t="s">
        <v>2493</v>
      </c>
      <c r="AV118" s="571" t="s">
        <v>1893</v>
      </c>
    </row>
    <row r="119" spans="1:48" ht="67.2" customHeight="1" thickBot="1" x14ac:dyDescent="0.4">
      <c r="A119" s="264"/>
      <c r="B119" s="1504" t="s">
        <v>1045</v>
      </c>
      <c r="C119" s="1504" t="s">
        <v>1243</v>
      </c>
      <c r="D119" s="266" t="s">
        <v>560</v>
      </c>
      <c r="E119" s="228">
        <v>0.05</v>
      </c>
      <c r="F119" s="226">
        <v>1</v>
      </c>
      <c r="G119" s="170">
        <v>0.25</v>
      </c>
      <c r="H119" s="170">
        <v>0.26</v>
      </c>
      <c r="I119" s="170">
        <v>0.25</v>
      </c>
      <c r="J119" s="176">
        <f>+G119/F119</f>
        <v>0.25</v>
      </c>
      <c r="K119" s="176">
        <f t="shared" si="225"/>
        <v>0.26</v>
      </c>
      <c r="L119" s="176">
        <f t="shared" si="226"/>
        <v>0.25</v>
      </c>
      <c r="M119" s="176">
        <f t="shared" si="227"/>
        <v>1.2500000000000001E-2</v>
      </c>
      <c r="N119" s="176">
        <f t="shared" si="228"/>
        <v>1.3000000000000001E-2</v>
      </c>
      <c r="O119" s="176"/>
      <c r="P119" s="170">
        <f>0.94*G119</f>
        <v>0.23499999999999999</v>
      </c>
      <c r="Q119" s="541">
        <v>8.2500000000000004E-2</v>
      </c>
      <c r="R119" s="541">
        <v>7.4999999999999997E-3</v>
      </c>
      <c r="S119" s="541">
        <v>9.7500000000000003E-2</v>
      </c>
      <c r="T119" s="541">
        <v>3.6999999999999998E-2</v>
      </c>
      <c r="U119" s="541">
        <v>3.5500000000000004E-2</v>
      </c>
      <c r="V119" s="170">
        <f t="shared" si="173"/>
        <v>0.26</v>
      </c>
      <c r="W119" s="236">
        <f>+V119+P119+AB119</f>
        <v>0.5575</v>
      </c>
      <c r="X119" s="541">
        <v>6.25E-2</v>
      </c>
      <c r="Y119" s="170"/>
      <c r="Z119" s="170"/>
      <c r="AA119" s="170"/>
      <c r="AB119" s="170">
        <f t="shared" si="229"/>
        <v>6.25E-2</v>
      </c>
      <c r="AC119" s="176">
        <f t="shared" si="230"/>
        <v>0.94</v>
      </c>
      <c r="AD119" s="194">
        <f t="shared" ref="AD119" si="240">+V119/H119</f>
        <v>1</v>
      </c>
      <c r="AE119" s="194">
        <f t="shared" si="231"/>
        <v>0.25</v>
      </c>
      <c r="AF119" s="194">
        <f t="shared" si="232"/>
        <v>4.7E-2</v>
      </c>
      <c r="AG119" s="194">
        <f t="shared" si="233"/>
        <v>0.05</v>
      </c>
      <c r="AH119" s="194">
        <f t="shared" si="234"/>
        <v>1.2500000000000001E-2</v>
      </c>
      <c r="AI119" s="194">
        <f t="shared" si="235"/>
        <v>0.23499999999999999</v>
      </c>
      <c r="AJ119" s="194">
        <v>0.495</v>
      </c>
      <c r="AK119" s="194">
        <f t="shared" si="236"/>
        <v>0.5575</v>
      </c>
      <c r="AL119" s="176">
        <f t="shared" si="237"/>
        <v>1.175E-2</v>
      </c>
      <c r="AM119" s="176">
        <f t="shared" si="238"/>
        <v>2.4750000000000001E-2</v>
      </c>
      <c r="AN119" s="176">
        <f t="shared" si="239"/>
        <v>2.7875E-2</v>
      </c>
      <c r="AO119" s="180" t="s">
        <v>1850</v>
      </c>
      <c r="AP119" s="571" t="s">
        <v>1892</v>
      </c>
      <c r="AQ119" s="571" t="s">
        <v>2269</v>
      </c>
      <c r="AR119" s="571" t="s">
        <v>2288</v>
      </c>
      <c r="AS119" s="792" t="s">
        <v>2402</v>
      </c>
      <c r="AT119" s="792" t="s">
        <v>2438</v>
      </c>
      <c r="AU119" s="571" t="s">
        <v>2493</v>
      </c>
      <c r="AV119" s="571" t="s">
        <v>1893</v>
      </c>
    </row>
    <row r="120" spans="1:48" ht="67.2" customHeight="1" thickBot="1" x14ac:dyDescent="0.4">
      <c r="A120" s="264"/>
      <c r="B120" s="1504" t="s">
        <v>1046</v>
      </c>
      <c r="C120" s="1504" t="s">
        <v>1244</v>
      </c>
      <c r="D120" s="266" t="s">
        <v>560</v>
      </c>
      <c r="E120" s="228">
        <v>0.25</v>
      </c>
      <c r="F120" s="226">
        <v>1</v>
      </c>
      <c r="G120" s="170">
        <v>0.1</v>
      </c>
      <c r="H120" s="170">
        <v>0.3</v>
      </c>
      <c r="I120" s="170">
        <v>0.3</v>
      </c>
      <c r="J120" s="176">
        <f t="shared" si="224"/>
        <v>0.1</v>
      </c>
      <c r="K120" s="176">
        <f t="shared" si="225"/>
        <v>0.3</v>
      </c>
      <c r="L120" s="176">
        <f t="shared" si="226"/>
        <v>0.3</v>
      </c>
      <c r="M120" s="176">
        <f t="shared" si="227"/>
        <v>2.5000000000000001E-2</v>
      </c>
      <c r="N120" s="176">
        <f t="shared" si="228"/>
        <v>7.4999999999999997E-2</v>
      </c>
      <c r="O120" s="176"/>
      <c r="P120" s="170">
        <v>0.1</v>
      </c>
      <c r="Q120" s="541">
        <v>6.5000000000000002E-2</v>
      </c>
      <c r="R120" s="541">
        <v>0</v>
      </c>
      <c r="S120" s="541">
        <v>0.14269999999999999</v>
      </c>
      <c r="T120" s="541">
        <v>4.6149999999999997E-2</v>
      </c>
      <c r="U120" s="541">
        <v>4.4999999999999998E-2</v>
      </c>
      <c r="V120" s="170">
        <f t="shared" si="173"/>
        <v>0.29885</v>
      </c>
      <c r="W120" s="871">
        <f>+V120+P120+AB120-0.07</f>
        <v>0.40385000000000004</v>
      </c>
      <c r="X120" s="541">
        <v>7.4999999999999997E-2</v>
      </c>
      <c r="Y120" s="170"/>
      <c r="Z120" s="170"/>
      <c r="AA120" s="170"/>
      <c r="AB120" s="170">
        <f t="shared" si="229"/>
        <v>7.4999999999999997E-2</v>
      </c>
      <c r="AC120" s="176">
        <f t="shared" si="230"/>
        <v>1</v>
      </c>
      <c r="AD120" s="194">
        <v>1</v>
      </c>
      <c r="AE120" s="194">
        <f t="shared" si="231"/>
        <v>0.25</v>
      </c>
      <c r="AF120" s="194">
        <f t="shared" si="232"/>
        <v>0.25</v>
      </c>
      <c r="AG120" s="194">
        <f t="shared" si="233"/>
        <v>0.25</v>
      </c>
      <c r="AH120" s="194">
        <f t="shared" si="234"/>
        <v>6.25E-2</v>
      </c>
      <c r="AI120" s="194">
        <f t="shared" si="235"/>
        <v>0.1</v>
      </c>
      <c r="AJ120" s="194">
        <v>0.39885000000000004</v>
      </c>
      <c r="AK120" s="194">
        <f t="shared" si="236"/>
        <v>0.40385000000000004</v>
      </c>
      <c r="AL120" s="176">
        <f t="shared" si="237"/>
        <v>2.5000000000000001E-2</v>
      </c>
      <c r="AM120" s="176">
        <f t="shared" si="238"/>
        <v>9.9712500000000009E-2</v>
      </c>
      <c r="AN120" s="176">
        <f t="shared" si="239"/>
        <v>0.10096250000000001</v>
      </c>
      <c r="AO120" s="180" t="s">
        <v>1850</v>
      </c>
      <c r="AP120" s="571" t="s">
        <v>1892</v>
      </c>
      <c r="AQ120" s="571" t="s">
        <v>2269</v>
      </c>
      <c r="AR120" s="571" t="s">
        <v>2288</v>
      </c>
      <c r="AS120" s="792" t="s">
        <v>2402</v>
      </c>
      <c r="AT120" s="924" t="s">
        <v>1865</v>
      </c>
      <c r="AU120" s="571" t="s">
        <v>2493</v>
      </c>
      <c r="AV120" s="571" t="s">
        <v>1893</v>
      </c>
    </row>
    <row r="121" spans="1:48" ht="101.4" customHeight="1" thickBot="1" x14ac:dyDescent="0.4">
      <c r="A121" s="264"/>
      <c r="B121" s="1504" t="s">
        <v>1047</v>
      </c>
      <c r="C121" s="1504" t="s">
        <v>1245</v>
      </c>
      <c r="D121" s="266" t="s">
        <v>560</v>
      </c>
      <c r="E121" s="228">
        <v>0.05</v>
      </c>
      <c r="F121" s="226">
        <v>4</v>
      </c>
      <c r="G121" s="170">
        <v>1</v>
      </c>
      <c r="H121" s="170">
        <v>1</v>
      </c>
      <c r="I121" s="170">
        <v>1</v>
      </c>
      <c r="J121" s="176">
        <f t="shared" si="224"/>
        <v>0.25</v>
      </c>
      <c r="K121" s="176">
        <f t="shared" si="225"/>
        <v>0.25</v>
      </c>
      <c r="L121" s="176">
        <f t="shared" si="226"/>
        <v>0.25</v>
      </c>
      <c r="M121" s="176">
        <f t="shared" si="227"/>
        <v>1.2500000000000001E-2</v>
      </c>
      <c r="N121" s="176">
        <f t="shared" si="228"/>
        <v>1.2500000000000001E-2</v>
      </c>
      <c r="O121" s="176"/>
      <c r="P121" s="170">
        <v>1</v>
      </c>
      <c r="Q121" s="541">
        <v>0.25</v>
      </c>
      <c r="R121" s="541">
        <v>0.25</v>
      </c>
      <c r="S121" s="541">
        <v>0.25</v>
      </c>
      <c r="T121" s="542">
        <v>0.25</v>
      </c>
      <c r="U121" s="541">
        <v>0</v>
      </c>
      <c r="V121" s="170">
        <f t="shared" si="173"/>
        <v>1</v>
      </c>
      <c r="W121" s="236">
        <f>+V121+P121+AB121</f>
        <v>2.25</v>
      </c>
      <c r="X121" s="541">
        <v>0.25</v>
      </c>
      <c r="Y121" s="170"/>
      <c r="Z121" s="170"/>
      <c r="AA121" s="170"/>
      <c r="AB121" s="170">
        <f t="shared" si="229"/>
        <v>0.25</v>
      </c>
      <c r="AC121" s="176">
        <f t="shared" si="230"/>
        <v>1</v>
      </c>
      <c r="AD121" s="194">
        <v>1</v>
      </c>
      <c r="AE121" s="194">
        <f t="shared" si="231"/>
        <v>0.25</v>
      </c>
      <c r="AF121" s="194">
        <f t="shared" si="232"/>
        <v>0.05</v>
      </c>
      <c r="AG121" s="194">
        <f t="shared" si="233"/>
        <v>0.05</v>
      </c>
      <c r="AH121" s="194">
        <f t="shared" si="234"/>
        <v>1.2500000000000001E-2</v>
      </c>
      <c r="AI121" s="194">
        <f t="shared" si="235"/>
        <v>0.25</v>
      </c>
      <c r="AJ121" s="194">
        <v>0.6875</v>
      </c>
      <c r="AK121" s="194">
        <f t="shared" si="236"/>
        <v>0.5625</v>
      </c>
      <c r="AL121" s="176">
        <f t="shared" si="237"/>
        <v>1.2500000000000001E-2</v>
      </c>
      <c r="AM121" s="176">
        <f t="shared" si="238"/>
        <v>3.4375000000000003E-2</v>
      </c>
      <c r="AN121" s="176">
        <f t="shared" si="239"/>
        <v>2.8125000000000001E-2</v>
      </c>
      <c r="AO121" s="180" t="s">
        <v>1850</v>
      </c>
      <c r="AP121" s="571" t="s">
        <v>1892</v>
      </c>
      <c r="AQ121" s="571" t="s">
        <v>2269</v>
      </c>
      <c r="AR121" s="571" t="s">
        <v>2288</v>
      </c>
      <c r="AS121" s="924" t="s">
        <v>2402</v>
      </c>
      <c r="AT121" s="924" t="s">
        <v>1865</v>
      </c>
      <c r="AU121" s="571" t="s">
        <v>2493</v>
      </c>
      <c r="AV121" s="571" t="s">
        <v>1893</v>
      </c>
    </row>
    <row r="122" spans="1:48" ht="102" customHeight="1" thickBot="1" x14ac:dyDescent="0.4">
      <c r="A122" s="264"/>
      <c r="B122" s="1504" t="s">
        <v>1048</v>
      </c>
      <c r="C122" s="1504" t="s">
        <v>1246</v>
      </c>
      <c r="D122" s="266" t="s">
        <v>560</v>
      </c>
      <c r="E122" s="228">
        <v>0.35</v>
      </c>
      <c r="F122" s="226">
        <v>44</v>
      </c>
      <c r="G122" s="170">
        <v>11</v>
      </c>
      <c r="H122" s="170">
        <v>11</v>
      </c>
      <c r="I122" s="170">
        <v>11</v>
      </c>
      <c r="J122" s="176">
        <f t="shared" si="224"/>
        <v>0.25</v>
      </c>
      <c r="K122" s="176">
        <f t="shared" si="225"/>
        <v>0.25</v>
      </c>
      <c r="L122" s="176">
        <f t="shared" si="226"/>
        <v>0.25</v>
      </c>
      <c r="M122" s="176">
        <f t="shared" si="227"/>
        <v>8.7499999999999994E-2</v>
      </c>
      <c r="N122" s="176">
        <f t="shared" si="228"/>
        <v>8.7499999999999994E-2</v>
      </c>
      <c r="O122" s="176"/>
      <c r="P122" s="170">
        <v>11</v>
      </c>
      <c r="Q122" s="541">
        <v>5</v>
      </c>
      <c r="R122" s="541">
        <v>2</v>
      </c>
      <c r="S122" s="541">
        <v>4</v>
      </c>
      <c r="T122" s="541">
        <v>0</v>
      </c>
      <c r="U122" s="541">
        <v>0</v>
      </c>
      <c r="V122" s="170">
        <f t="shared" si="173"/>
        <v>11</v>
      </c>
      <c r="W122" s="236">
        <f t="shared" si="219"/>
        <v>22</v>
      </c>
      <c r="X122" s="541">
        <v>0</v>
      </c>
      <c r="Y122" s="170"/>
      <c r="Z122" s="170"/>
      <c r="AA122" s="170"/>
      <c r="AB122" s="170">
        <f t="shared" si="229"/>
        <v>0</v>
      </c>
      <c r="AC122" s="176">
        <f t="shared" si="230"/>
        <v>1</v>
      </c>
      <c r="AD122" s="194">
        <v>1</v>
      </c>
      <c r="AE122" s="194">
        <f t="shared" si="231"/>
        <v>0</v>
      </c>
      <c r="AF122" s="194">
        <f t="shared" si="232"/>
        <v>0.35</v>
      </c>
      <c r="AG122" s="194">
        <f t="shared" si="233"/>
        <v>0.35</v>
      </c>
      <c r="AH122" s="194">
        <f t="shared" si="234"/>
        <v>0</v>
      </c>
      <c r="AI122" s="194">
        <f t="shared" si="235"/>
        <v>0.25</v>
      </c>
      <c r="AJ122" s="194">
        <v>0.75</v>
      </c>
      <c r="AK122" s="194">
        <f t="shared" si="236"/>
        <v>0.5</v>
      </c>
      <c r="AL122" s="176">
        <f t="shared" si="237"/>
        <v>8.7499999999999994E-2</v>
      </c>
      <c r="AM122" s="176">
        <f t="shared" si="238"/>
        <v>0.26249999999999996</v>
      </c>
      <c r="AN122" s="176">
        <f t="shared" si="239"/>
        <v>0.17499999999999999</v>
      </c>
      <c r="AO122" s="180" t="s">
        <v>1850</v>
      </c>
      <c r="AP122" s="571" t="s">
        <v>1892</v>
      </c>
      <c r="AQ122" s="571" t="s">
        <v>2269</v>
      </c>
      <c r="AR122" s="571" t="s">
        <v>2288</v>
      </c>
      <c r="AS122" s="792" t="s">
        <v>2402</v>
      </c>
      <c r="AT122" s="792" t="s">
        <v>2438</v>
      </c>
      <c r="AU122" s="571" t="s">
        <v>2493</v>
      </c>
      <c r="AV122" s="571" t="s">
        <v>1893</v>
      </c>
    </row>
    <row r="123" spans="1:48" ht="67.2" customHeight="1" thickBot="1" x14ac:dyDescent="0.4">
      <c r="A123" s="264"/>
      <c r="B123" s="1580" t="s">
        <v>1778</v>
      </c>
      <c r="C123" s="1562"/>
      <c r="D123" s="266"/>
      <c r="E123" s="232">
        <v>0.2</v>
      </c>
      <c r="F123" s="216"/>
      <c r="G123" s="163"/>
      <c r="H123" s="163"/>
      <c r="I123" s="163"/>
      <c r="J123" s="169">
        <f>+AVERAGE(J124:J130)</f>
        <v>0.25</v>
      </c>
      <c r="K123" s="169">
        <f>+AVERAGE(K124:K130)</f>
        <v>0.27040816326530609</v>
      </c>
      <c r="L123" s="169">
        <f>+AVERAGE(L124:L130)</f>
        <v>0.32976190476190476</v>
      </c>
      <c r="M123" s="169">
        <f>M124+M125+M126+M127+M128+M129+M130</f>
        <v>0.2</v>
      </c>
      <c r="N123" s="169">
        <f>N124+N125+N126+N127+N128+N129+N130</f>
        <v>0.26428571428571429</v>
      </c>
      <c r="O123" s="169"/>
      <c r="P123" s="168"/>
      <c r="Q123" s="168"/>
      <c r="R123" s="168"/>
      <c r="S123" s="168"/>
      <c r="T123" s="168"/>
      <c r="U123" s="987"/>
      <c r="V123" s="170"/>
      <c r="W123" s="236"/>
      <c r="X123" s="168"/>
      <c r="Y123" s="168"/>
      <c r="Z123" s="168"/>
      <c r="AA123" s="168"/>
      <c r="AB123" s="168"/>
      <c r="AC123" s="192">
        <f>+AVERAGE(AC124:AC130)</f>
        <v>1</v>
      </c>
      <c r="AD123" s="192">
        <f>+AVERAGE(AD124:AD130)</f>
        <v>0.77142857142857146</v>
      </c>
      <c r="AE123" s="192">
        <f>+AVERAGE(AE124:AE130)</f>
        <v>0.19822510822510822</v>
      </c>
      <c r="AF123" s="192">
        <f>+(AF124+AF125+AF126+AF127+AF128+AF129+AF130)*E123</f>
        <v>0.16000000000000003</v>
      </c>
      <c r="AG123" s="192">
        <f>+(AG124+AG125+AG126+AG127+AG128+AG129+AG130)*E123</f>
        <v>0.16800000000000004</v>
      </c>
      <c r="AH123" s="192">
        <f>+(AH124+AH125+AH126+AH127+AH128+AH129+AH130)*E123</f>
        <v>4.2384848484848484E-2</v>
      </c>
      <c r="AI123" s="169">
        <f>+AVERAGE(AI124:AI130)</f>
        <v>0.25941666666666668</v>
      </c>
      <c r="AJ123" s="278">
        <v>0.46607142857142858</v>
      </c>
      <c r="AK123" s="278">
        <f>+AVERAGE(AK124:AK130)</f>
        <v>0.51190476190476197</v>
      </c>
      <c r="AL123" s="169">
        <f>+(AL124+AL125+AL126+AL127+AL128+AL129+AL130)*E123</f>
        <v>4.8570000000000002E-2</v>
      </c>
      <c r="AM123" s="169">
        <f>+(AM124+AM125+AM126+AM127+AM128+AM129+AM130)</f>
        <v>0.50124999999999997</v>
      </c>
      <c r="AN123" s="169">
        <f>+(AN124+AN125+AN126+AN127+AN128+AN129+AN130)</f>
        <v>0.54895833333333333</v>
      </c>
      <c r="AO123" s="163"/>
      <c r="AP123" s="163"/>
      <c r="AQ123" s="163"/>
      <c r="AR123" s="163"/>
      <c r="AS123" s="609"/>
      <c r="AT123" s="609"/>
      <c r="AU123" s="163"/>
      <c r="AV123" s="535"/>
    </row>
    <row r="124" spans="1:48" ht="67.2" customHeight="1" thickBot="1" x14ac:dyDescent="0.4">
      <c r="A124" s="264"/>
      <c r="B124" s="1504" t="s">
        <v>1049</v>
      </c>
      <c r="C124" s="1504" t="s">
        <v>1247</v>
      </c>
      <c r="D124" s="266" t="s">
        <v>560</v>
      </c>
      <c r="E124" s="228">
        <v>0.1</v>
      </c>
      <c r="F124" s="226">
        <v>16</v>
      </c>
      <c r="G124" s="170">
        <v>4</v>
      </c>
      <c r="H124" s="170">
        <v>4</v>
      </c>
      <c r="I124" s="170">
        <v>4</v>
      </c>
      <c r="J124" s="176">
        <f t="shared" ref="J124:J129" si="241">+G124/F124</f>
        <v>0.25</v>
      </c>
      <c r="K124" s="176">
        <f t="shared" ref="K124:K130" si="242">+H124/F124</f>
        <v>0.25</v>
      </c>
      <c r="L124" s="176">
        <f t="shared" ref="L124:L130" si="243">+I124/F124</f>
        <v>0.25</v>
      </c>
      <c r="M124" s="176">
        <f t="shared" ref="M124:M129" si="244">+(G124/F124)*E124</f>
        <v>2.5000000000000001E-2</v>
      </c>
      <c r="N124" s="176">
        <f t="shared" ref="N124:N130" si="245">+(H124/F124)*E124</f>
        <v>2.5000000000000001E-2</v>
      </c>
      <c r="O124" s="176"/>
      <c r="P124" s="236">
        <v>5</v>
      </c>
      <c r="Q124" s="541">
        <v>1</v>
      </c>
      <c r="R124" s="541">
        <v>1</v>
      </c>
      <c r="S124" s="541">
        <v>1</v>
      </c>
      <c r="T124" s="541"/>
      <c r="U124" s="541">
        <v>1</v>
      </c>
      <c r="V124" s="236">
        <f t="shared" si="173"/>
        <v>4</v>
      </c>
      <c r="W124" s="236">
        <f t="shared" si="219"/>
        <v>10</v>
      </c>
      <c r="X124" s="541">
        <v>1</v>
      </c>
      <c r="Y124" s="236"/>
      <c r="Z124" s="236"/>
      <c r="AA124" s="236"/>
      <c r="AB124" s="236">
        <f t="shared" ref="AB124:AB130" si="246">+X124+Y124+Z124+AA124</f>
        <v>1</v>
      </c>
      <c r="AC124" s="194">
        <v>1</v>
      </c>
      <c r="AD124" s="194">
        <f t="shared" ref="AD124:AD141" si="247">+V124/H124</f>
        <v>1</v>
      </c>
      <c r="AE124" s="194">
        <f t="shared" ref="AE124:AE130" si="248">+AB124/I124</f>
        <v>0.25</v>
      </c>
      <c r="AF124" s="194">
        <f>+AC124*E124</f>
        <v>0.1</v>
      </c>
      <c r="AG124" s="194">
        <f t="shared" ref="AG124:AG130" si="249">+AD124*E124</f>
        <v>0.1</v>
      </c>
      <c r="AH124" s="194">
        <f t="shared" ref="AH124:AH130" si="250">+AE124*E124</f>
        <v>2.5000000000000001E-2</v>
      </c>
      <c r="AI124" s="194">
        <f>+P124/F124</f>
        <v>0.3125</v>
      </c>
      <c r="AJ124" s="194">
        <v>0.5625</v>
      </c>
      <c r="AK124" s="194">
        <f t="shared" ref="AK124:AK130" si="251">+W124/F124</f>
        <v>0.625</v>
      </c>
      <c r="AL124" s="176">
        <f>+AI124*E124</f>
        <v>3.125E-2</v>
      </c>
      <c r="AM124" s="176">
        <f>+AJ124*E124</f>
        <v>5.6250000000000001E-2</v>
      </c>
      <c r="AN124" s="176">
        <f t="shared" ref="AN124:AN130" si="252">+AK124*E124</f>
        <v>6.25E-2</v>
      </c>
      <c r="AO124" s="180" t="s">
        <v>1850</v>
      </c>
      <c r="AP124" s="571" t="s">
        <v>1892</v>
      </c>
      <c r="AQ124" s="571" t="s">
        <v>2269</v>
      </c>
      <c r="AR124" s="571" t="s">
        <v>2288</v>
      </c>
      <c r="AS124" s="792" t="s">
        <v>2402</v>
      </c>
      <c r="AT124" s="792" t="s">
        <v>2438</v>
      </c>
      <c r="AU124" s="571" t="s">
        <v>2493</v>
      </c>
      <c r="AV124" s="571" t="s">
        <v>1893</v>
      </c>
    </row>
    <row r="125" spans="1:48" ht="67.2" customHeight="1" thickBot="1" x14ac:dyDescent="0.4">
      <c r="A125" s="264"/>
      <c r="B125" s="1504" t="s">
        <v>1050</v>
      </c>
      <c r="C125" s="1504" t="s">
        <v>1248</v>
      </c>
      <c r="D125" s="266" t="s">
        <v>560</v>
      </c>
      <c r="E125" s="228">
        <v>0.15</v>
      </c>
      <c r="F125" s="226">
        <v>92</v>
      </c>
      <c r="G125" s="170">
        <v>23</v>
      </c>
      <c r="H125" s="170">
        <v>23</v>
      </c>
      <c r="I125" s="170">
        <v>23</v>
      </c>
      <c r="J125" s="176">
        <f t="shared" si="241"/>
        <v>0.25</v>
      </c>
      <c r="K125" s="176">
        <f t="shared" si="242"/>
        <v>0.25</v>
      </c>
      <c r="L125" s="176">
        <f t="shared" si="243"/>
        <v>0.25</v>
      </c>
      <c r="M125" s="176">
        <f t="shared" si="244"/>
        <v>3.7499999999999999E-2</v>
      </c>
      <c r="N125" s="176">
        <f t="shared" si="245"/>
        <v>3.7499999999999999E-2</v>
      </c>
      <c r="O125" s="176"/>
      <c r="P125" s="236">
        <v>23</v>
      </c>
      <c r="Q125" s="541">
        <v>23</v>
      </c>
      <c r="R125" s="541">
        <v>0</v>
      </c>
      <c r="S125" s="541">
        <v>0</v>
      </c>
      <c r="T125" s="541"/>
      <c r="U125" s="541"/>
      <c r="V125" s="236">
        <f t="shared" si="173"/>
        <v>23</v>
      </c>
      <c r="W125" s="236">
        <f t="shared" si="219"/>
        <v>69</v>
      </c>
      <c r="X125" s="541">
        <v>23</v>
      </c>
      <c r="Y125" s="236"/>
      <c r="Z125" s="236"/>
      <c r="AA125" s="236"/>
      <c r="AB125" s="236">
        <f t="shared" si="246"/>
        <v>23</v>
      </c>
      <c r="AC125" s="194">
        <f>+(P125/G125)</f>
        <v>1</v>
      </c>
      <c r="AD125" s="194">
        <v>1</v>
      </c>
      <c r="AE125" s="194">
        <f>+AB125/I125*0.25</f>
        <v>0.25</v>
      </c>
      <c r="AF125" s="194">
        <f>+AC125*E125</f>
        <v>0.15</v>
      </c>
      <c r="AG125" s="194">
        <f t="shared" si="249"/>
        <v>0.15</v>
      </c>
      <c r="AH125" s="194">
        <f t="shared" si="250"/>
        <v>3.7499999999999999E-2</v>
      </c>
      <c r="AI125" s="194">
        <f>+P125/F125</f>
        <v>0.25</v>
      </c>
      <c r="AJ125" s="194">
        <v>0.5</v>
      </c>
      <c r="AK125" s="194">
        <f>+AJ125+AE125*0.25</f>
        <v>0.5625</v>
      </c>
      <c r="AL125" s="176">
        <f>+AI125*E125</f>
        <v>3.7499999999999999E-2</v>
      </c>
      <c r="AM125" s="176">
        <f>+AJ125*E125</f>
        <v>7.4999999999999997E-2</v>
      </c>
      <c r="AN125" s="176">
        <f t="shared" si="252"/>
        <v>8.4374999999999992E-2</v>
      </c>
      <c r="AO125" s="180" t="s">
        <v>1850</v>
      </c>
      <c r="AP125" s="571" t="s">
        <v>1892</v>
      </c>
      <c r="AQ125" s="571" t="s">
        <v>2269</v>
      </c>
      <c r="AR125" s="571" t="s">
        <v>2288</v>
      </c>
      <c r="AS125" s="925" t="s">
        <v>2402</v>
      </c>
      <c r="AT125" s="924" t="s">
        <v>1865</v>
      </c>
      <c r="AU125" s="571" t="s">
        <v>2493</v>
      </c>
      <c r="AV125" s="571" t="s">
        <v>1893</v>
      </c>
    </row>
    <row r="126" spans="1:48" ht="67.2" customHeight="1" thickBot="1" x14ac:dyDescent="0.4">
      <c r="A126" s="264"/>
      <c r="B126" s="1504" t="s">
        <v>1051</v>
      </c>
      <c r="C126" s="1504" t="s">
        <v>1249</v>
      </c>
      <c r="D126" s="266" t="s">
        <v>560</v>
      </c>
      <c r="E126" s="228">
        <v>0.15</v>
      </c>
      <c r="F126" s="226">
        <v>1500</v>
      </c>
      <c r="G126" s="170">
        <v>375</v>
      </c>
      <c r="H126" s="170">
        <v>375</v>
      </c>
      <c r="I126" s="170">
        <v>375</v>
      </c>
      <c r="J126" s="176">
        <f t="shared" si="241"/>
        <v>0.25</v>
      </c>
      <c r="K126" s="176">
        <f t="shared" si="242"/>
        <v>0.25</v>
      </c>
      <c r="L126" s="176"/>
      <c r="M126" s="176">
        <f t="shared" si="244"/>
        <v>3.7499999999999999E-2</v>
      </c>
      <c r="N126" s="176">
        <f t="shared" si="245"/>
        <v>3.7499999999999999E-2</v>
      </c>
      <c r="O126" s="176"/>
      <c r="P126" s="236">
        <v>741</v>
      </c>
      <c r="Q126" s="541">
        <v>80</v>
      </c>
      <c r="R126" s="541">
        <v>197</v>
      </c>
      <c r="S126" s="541">
        <v>259</v>
      </c>
      <c r="T126" s="541">
        <v>281</v>
      </c>
      <c r="U126" s="541">
        <v>340</v>
      </c>
      <c r="V126" s="236">
        <f t="shared" si="173"/>
        <v>1157</v>
      </c>
      <c r="W126" s="236">
        <f t="shared" si="219"/>
        <v>1978</v>
      </c>
      <c r="X126" s="541">
        <v>80</v>
      </c>
      <c r="Y126" s="236"/>
      <c r="Z126" s="236"/>
      <c r="AA126" s="236"/>
      <c r="AB126" s="236">
        <f t="shared" si="246"/>
        <v>80</v>
      </c>
      <c r="AC126" s="194">
        <v>1</v>
      </c>
      <c r="AD126" s="194">
        <v>1</v>
      </c>
      <c r="AE126" s="194">
        <f t="shared" si="248"/>
        <v>0.21333333333333335</v>
      </c>
      <c r="AF126" s="194">
        <f>+AC126*E126</f>
        <v>0.15</v>
      </c>
      <c r="AG126" s="194">
        <f t="shared" si="249"/>
        <v>0.15</v>
      </c>
      <c r="AH126" s="194">
        <f t="shared" si="250"/>
        <v>3.2000000000000001E-2</v>
      </c>
      <c r="AI126" s="194">
        <f>+P126/F126</f>
        <v>0.49399999999999999</v>
      </c>
      <c r="AJ126" s="194">
        <v>1</v>
      </c>
      <c r="AK126" s="194">
        <v>1</v>
      </c>
      <c r="AL126" s="176">
        <f>+AI126*E126</f>
        <v>7.4099999999999999E-2</v>
      </c>
      <c r="AM126" s="176">
        <f>+AJ126*E126</f>
        <v>0.15</v>
      </c>
      <c r="AN126" s="176">
        <f t="shared" si="252"/>
        <v>0.15</v>
      </c>
      <c r="AO126" s="180" t="s">
        <v>1850</v>
      </c>
      <c r="AP126" s="571" t="s">
        <v>1892</v>
      </c>
      <c r="AQ126" s="571" t="s">
        <v>2269</v>
      </c>
      <c r="AR126" s="571" t="s">
        <v>2288</v>
      </c>
      <c r="AS126" s="792" t="s">
        <v>2402</v>
      </c>
      <c r="AT126" s="924" t="s">
        <v>1865</v>
      </c>
      <c r="AU126" s="674" t="s">
        <v>1865</v>
      </c>
      <c r="AV126" s="571" t="s">
        <v>1893</v>
      </c>
    </row>
    <row r="127" spans="1:48" ht="67.2" customHeight="1" thickBot="1" x14ac:dyDescent="0.4">
      <c r="A127" s="264"/>
      <c r="B127" s="1505" t="s">
        <v>1052</v>
      </c>
      <c r="C127" s="1505" t="s">
        <v>1250</v>
      </c>
      <c r="D127" s="266" t="s">
        <v>560</v>
      </c>
      <c r="E127" s="228">
        <v>0.1</v>
      </c>
      <c r="F127" s="226">
        <v>12</v>
      </c>
      <c r="G127" s="170">
        <v>3</v>
      </c>
      <c r="H127" s="170">
        <v>3</v>
      </c>
      <c r="I127" s="170">
        <v>3</v>
      </c>
      <c r="J127" s="176">
        <f t="shared" si="241"/>
        <v>0.25</v>
      </c>
      <c r="K127" s="176">
        <f t="shared" si="242"/>
        <v>0.25</v>
      </c>
      <c r="L127" s="176">
        <f t="shared" si="243"/>
        <v>0.25</v>
      </c>
      <c r="M127" s="176">
        <f t="shared" si="244"/>
        <v>2.5000000000000001E-2</v>
      </c>
      <c r="N127" s="176">
        <f t="shared" si="245"/>
        <v>2.5000000000000001E-2</v>
      </c>
      <c r="O127" s="176"/>
      <c r="P127" s="236">
        <v>3</v>
      </c>
      <c r="Q127" s="541">
        <v>1</v>
      </c>
      <c r="R127" s="541">
        <v>1</v>
      </c>
      <c r="S127" s="541">
        <v>1</v>
      </c>
      <c r="T127" s="541"/>
      <c r="U127" s="541"/>
      <c r="V127" s="236">
        <f t="shared" si="173"/>
        <v>3</v>
      </c>
      <c r="W127" s="236">
        <f t="shared" si="219"/>
        <v>7</v>
      </c>
      <c r="X127" s="541">
        <v>1</v>
      </c>
      <c r="Y127" s="236"/>
      <c r="Z127" s="236"/>
      <c r="AA127" s="236"/>
      <c r="AB127" s="236">
        <f t="shared" si="246"/>
        <v>1</v>
      </c>
      <c r="AC127" s="194">
        <f>+(P127/G127)</f>
        <v>1</v>
      </c>
      <c r="AD127" s="194">
        <f t="shared" si="247"/>
        <v>1</v>
      </c>
      <c r="AE127" s="194">
        <f t="shared" si="248"/>
        <v>0.33333333333333331</v>
      </c>
      <c r="AF127" s="194">
        <f>+AC127*E127</f>
        <v>0.1</v>
      </c>
      <c r="AG127" s="194">
        <f t="shared" si="249"/>
        <v>0.1</v>
      </c>
      <c r="AH127" s="194">
        <f t="shared" si="250"/>
        <v>3.3333333333333333E-2</v>
      </c>
      <c r="AI127" s="194">
        <f>+P127/F127</f>
        <v>0.25</v>
      </c>
      <c r="AJ127" s="194">
        <v>0.5</v>
      </c>
      <c r="AK127" s="194">
        <f t="shared" si="251"/>
        <v>0.58333333333333337</v>
      </c>
      <c r="AL127" s="176">
        <f>+AI127*E127</f>
        <v>2.5000000000000001E-2</v>
      </c>
      <c r="AM127" s="176">
        <f>+AJ127*E127</f>
        <v>0.05</v>
      </c>
      <c r="AN127" s="176">
        <f t="shared" si="252"/>
        <v>5.8333333333333341E-2</v>
      </c>
      <c r="AO127" s="180" t="s">
        <v>1850</v>
      </c>
      <c r="AP127" s="571" t="s">
        <v>1892</v>
      </c>
      <c r="AQ127" s="571" t="s">
        <v>2269</v>
      </c>
      <c r="AR127" s="571" t="s">
        <v>2288</v>
      </c>
      <c r="AS127" s="792" t="s">
        <v>2402</v>
      </c>
      <c r="AT127" s="792" t="s">
        <v>2438</v>
      </c>
      <c r="AU127" s="571" t="s">
        <v>2493</v>
      </c>
      <c r="AV127" s="571" t="s">
        <v>1893</v>
      </c>
    </row>
    <row r="128" spans="1:48" ht="101.4" customHeight="1" thickBot="1" x14ac:dyDescent="0.4">
      <c r="A128" s="264"/>
      <c r="B128" s="1480" t="s">
        <v>1053</v>
      </c>
      <c r="C128" s="1504" t="s">
        <v>1251</v>
      </c>
      <c r="D128" s="266" t="s">
        <v>560</v>
      </c>
      <c r="E128" s="228">
        <v>0.1</v>
      </c>
      <c r="F128" s="226">
        <v>1</v>
      </c>
      <c r="G128" s="236">
        <v>0</v>
      </c>
      <c r="H128" s="236">
        <v>0.5</v>
      </c>
      <c r="I128" s="236">
        <v>0.55000000000000004</v>
      </c>
      <c r="J128" s="176"/>
      <c r="K128" s="176">
        <f t="shared" si="242"/>
        <v>0.5</v>
      </c>
      <c r="L128" s="176">
        <f t="shared" si="243"/>
        <v>0.55000000000000004</v>
      </c>
      <c r="M128" s="176"/>
      <c r="N128" s="176">
        <f t="shared" si="245"/>
        <v>0.05</v>
      </c>
      <c r="O128" s="176"/>
      <c r="P128" s="236"/>
      <c r="Q128" s="541">
        <v>0</v>
      </c>
      <c r="R128" s="541">
        <v>0.1</v>
      </c>
      <c r="S128" s="541">
        <v>0.1</v>
      </c>
      <c r="T128" s="541">
        <v>0</v>
      </c>
      <c r="U128" s="541">
        <v>0</v>
      </c>
      <c r="V128" s="236">
        <f t="shared" si="173"/>
        <v>0.2</v>
      </c>
      <c r="W128" s="236">
        <f t="shared" si="219"/>
        <v>0.25</v>
      </c>
      <c r="X128" s="541">
        <v>0.05</v>
      </c>
      <c r="Y128" s="236"/>
      <c r="Z128" s="236"/>
      <c r="AA128" s="236"/>
      <c r="AB128" s="236">
        <f t="shared" si="246"/>
        <v>0.05</v>
      </c>
      <c r="AC128" s="194"/>
      <c r="AD128" s="194">
        <f>+V128/H128</f>
        <v>0.4</v>
      </c>
      <c r="AE128" s="194">
        <f t="shared" si="248"/>
        <v>9.0909090909090912E-2</v>
      </c>
      <c r="AF128" s="194"/>
      <c r="AG128" s="194">
        <f t="shared" si="249"/>
        <v>4.0000000000000008E-2</v>
      </c>
      <c r="AH128" s="194">
        <f t="shared" si="250"/>
        <v>9.0909090909090922E-3</v>
      </c>
      <c r="AI128" s="802">
        <v>0</v>
      </c>
      <c r="AJ128" s="802">
        <v>0.2</v>
      </c>
      <c r="AK128" s="802">
        <f t="shared" si="251"/>
        <v>0.25</v>
      </c>
      <c r="AL128" s="176"/>
      <c r="AM128" s="176">
        <f t="shared" ref="AM128:AM130" si="253">+AJ128*E128</f>
        <v>2.0000000000000004E-2</v>
      </c>
      <c r="AN128" s="176">
        <f t="shared" si="252"/>
        <v>2.5000000000000001E-2</v>
      </c>
      <c r="AO128" s="180" t="s">
        <v>1850</v>
      </c>
      <c r="AP128" s="571" t="s">
        <v>1892</v>
      </c>
      <c r="AQ128" s="571" t="s">
        <v>2269</v>
      </c>
      <c r="AR128" s="571" t="s">
        <v>2288</v>
      </c>
      <c r="AS128" s="792" t="s">
        <v>2402</v>
      </c>
      <c r="AT128" s="792" t="s">
        <v>2438</v>
      </c>
      <c r="AU128" s="571" t="s">
        <v>2493</v>
      </c>
      <c r="AV128" s="571" t="s">
        <v>1893</v>
      </c>
    </row>
    <row r="129" spans="1:48" ht="67.2" customHeight="1" thickBot="1" x14ac:dyDescent="0.4">
      <c r="A129" s="264"/>
      <c r="B129" s="1480" t="s">
        <v>1054</v>
      </c>
      <c r="C129" s="1504" t="s">
        <v>1252</v>
      </c>
      <c r="D129" s="266" t="s">
        <v>560</v>
      </c>
      <c r="E129" s="228">
        <v>0.3</v>
      </c>
      <c r="F129" s="226">
        <f>21*4</f>
        <v>84</v>
      </c>
      <c r="G129" s="170">
        <v>21</v>
      </c>
      <c r="H129" s="170">
        <v>21</v>
      </c>
      <c r="I129" s="170">
        <v>21</v>
      </c>
      <c r="J129" s="176">
        <f t="shared" si="241"/>
        <v>0.25</v>
      </c>
      <c r="K129" s="176">
        <f t="shared" si="242"/>
        <v>0.25</v>
      </c>
      <c r="L129" s="176">
        <f t="shared" si="243"/>
        <v>0.25</v>
      </c>
      <c r="M129" s="176">
        <f t="shared" si="244"/>
        <v>7.4999999999999997E-2</v>
      </c>
      <c r="N129" s="176">
        <f t="shared" si="245"/>
        <v>7.4999999999999997E-2</v>
      </c>
      <c r="O129" s="176"/>
      <c r="P129" s="170">
        <v>21</v>
      </c>
      <c r="Q129" s="541">
        <v>21</v>
      </c>
      <c r="R129" s="541">
        <v>0</v>
      </c>
      <c r="S129" s="541">
        <v>0</v>
      </c>
      <c r="T129" s="541"/>
      <c r="U129" s="541"/>
      <c r="V129" s="170">
        <f t="shared" si="173"/>
        <v>21</v>
      </c>
      <c r="W129" s="236">
        <f t="shared" si="219"/>
        <v>47.25</v>
      </c>
      <c r="X129" s="541">
        <f>21/4</f>
        <v>5.25</v>
      </c>
      <c r="Y129" s="170"/>
      <c r="Z129" s="170"/>
      <c r="AA129" s="170"/>
      <c r="AB129" s="170">
        <f t="shared" si="246"/>
        <v>5.25</v>
      </c>
      <c r="AC129" s="194">
        <f>+(P129/G129)</f>
        <v>1</v>
      </c>
      <c r="AD129" s="194">
        <v>1</v>
      </c>
      <c r="AE129" s="194">
        <f t="shared" si="248"/>
        <v>0.25</v>
      </c>
      <c r="AF129" s="194">
        <f>+AC129*E129</f>
        <v>0.3</v>
      </c>
      <c r="AG129" s="194">
        <f t="shared" si="249"/>
        <v>0.3</v>
      </c>
      <c r="AH129" s="194">
        <f t="shared" si="250"/>
        <v>7.4999999999999997E-2</v>
      </c>
      <c r="AI129" s="194">
        <f>+P129/F129</f>
        <v>0.25</v>
      </c>
      <c r="AJ129" s="194">
        <v>0.5</v>
      </c>
      <c r="AK129" s="194">
        <f t="shared" si="251"/>
        <v>0.5625</v>
      </c>
      <c r="AL129" s="176">
        <f>+AI129*E129</f>
        <v>7.4999999999999997E-2</v>
      </c>
      <c r="AM129" s="176">
        <f t="shared" si="253"/>
        <v>0.15</v>
      </c>
      <c r="AN129" s="176">
        <f t="shared" si="252"/>
        <v>0.16874999999999998</v>
      </c>
      <c r="AO129" s="180" t="s">
        <v>1850</v>
      </c>
      <c r="AP129" s="571" t="s">
        <v>1892</v>
      </c>
      <c r="AQ129" s="571" t="s">
        <v>2269</v>
      </c>
      <c r="AR129" s="571" t="s">
        <v>2288</v>
      </c>
      <c r="AS129" s="925" t="s">
        <v>2402</v>
      </c>
      <c r="AT129" s="792" t="s">
        <v>2438</v>
      </c>
      <c r="AU129" s="571" t="s">
        <v>2493</v>
      </c>
      <c r="AV129" s="571" t="s">
        <v>1893</v>
      </c>
    </row>
    <row r="130" spans="1:48" ht="67.2" customHeight="1" thickBot="1" x14ac:dyDescent="0.4">
      <c r="A130" s="264"/>
      <c r="B130" s="1504" t="s">
        <v>1055</v>
      </c>
      <c r="C130" s="1504" t="s">
        <v>1253</v>
      </c>
      <c r="D130" s="266" t="s">
        <v>560</v>
      </c>
      <c r="E130" s="228">
        <v>0.1</v>
      </c>
      <c r="F130" s="226">
        <v>7</v>
      </c>
      <c r="G130" s="170">
        <v>0</v>
      </c>
      <c r="H130" s="170">
        <v>1</v>
      </c>
      <c r="I130" s="170">
        <v>3</v>
      </c>
      <c r="J130" s="176"/>
      <c r="K130" s="176">
        <f t="shared" si="242"/>
        <v>0.14285714285714285</v>
      </c>
      <c r="L130" s="176">
        <f t="shared" si="243"/>
        <v>0.42857142857142855</v>
      </c>
      <c r="M130" s="176"/>
      <c r="N130" s="176">
        <f t="shared" si="245"/>
        <v>1.4285714285714285E-2</v>
      </c>
      <c r="O130" s="176"/>
      <c r="P130" s="236"/>
      <c r="Q130" s="541">
        <v>0</v>
      </c>
      <c r="R130" s="541">
        <v>0</v>
      </c>
      <c r="S130" s="541">
        <v>0</v>
      </c>
      <c r="T130" s="541"/>
      <c r="U130" s="236"/>
      <c r="V130" s="236">
        <f t="shared" si="173"/>
        <v>0</v>
      </c>
      <c r="W130" s="236">
        <f t="shared" si="219"/>
        <v>0</v>
      </c>
      <c r="X130" s="541">
        <v>0</v>
      </c>
      <c r="Y130" s="236"/>
      <c r="Z130" s="236"/>
      <c r="AA130" s="236"/>
      <c r="AB130" s="236">
        <f t="shared" si="246"/>
        <v>0</v>
      </c>
      <c r="AC130" s="194"/>
      <c r="AD130" s="194">
        <f t="shared" si="247"/>
        <v>0</v>
      </c>
      <c r="AE130" s="194">
        <f t="shared" si="248"/>
        <v>0</v>
      </c>
      <c r="AF130" s="194"/>
      <c r="AG130" s="194">
        <f t="shared" si="249"/>
        <v>0</v>
      </c>
      <c r="AH130" s="194">
        <f t="shared" si="250"/>
        <v>0</v>
      </c>
      <c r="AI130" s="194"/>
      <c r="AJ130" s="194">
        <v>0</v>
      </c>
      <c r="AK130" s="194">
        <f t="shared" si="251"/>
        <v>0</v>
      </c>
      <c r="AL130" s="176"/>
      <c r="AM130" s="176">
        <f t="shared" si="253"/>
        <v>0</v>
      </c>
      <c r="AN130" s="176">
        <f t="shared" si="252"/>
        <v>0</v>
      </c>
      <c r="AO130" s="180" t="s">
        <v>1850</v>
      </c>
      <c r="AP130" s="571" t="s">
        <v>1892</v>
      </c>
      <c r="AQ130" s="571" t="s">
        <v>2269</v>
      </c>
      <c r="AR130" s="571" t="s">
        <v>2288</v>
      </c>
      <c r="AS130" s="792" t="s">
        <v>2402</v>
      </c>
      <c r="AT130" s="792" t="s">
        <v>2438</v>
      </c>
      <c r="AU130" s="571" t="s">
        <v>2493</v>
      </c>
      <c r="AV130" s="571" t="s">
        <v>1893</v>
      </c>
    </row>
    <row r="131" spans="1:48" ht="67.2" customHeight="1" thickBot="1" x14ac:dyDescent="0.4">
      <c r="A131" s="264"/>
      <c r="B131" s="1580" t="s">
        <v>1779</v>
      </c>
      <c r="C131" s="1562"/>
      <c r="D131" s="266"/>
      <c r="E131" s="232">
        <v>0.15</v>
      </c>
      <c r="F131" s="216"/>
      <c r="G131" s="163"/>
      <c r="H131" s="163"/>
      <c r="I131" s="163"/>
      <c r="J131" s="169">
        <f>+AVERAGE(J132:J133)</f>
        <v>0.41111111111111109</v>
      </c>
      <c r="K131" s="169">
        <f>+AVERAGE(K132:K133)</f>
        <v>0.41111111111111109</v>
      </c>
      <c r="L131" s="169">
        <f>+AVERAGE(L132:L133)</f>
        <v>0.41111111111111109</v>
      </c>
      <c r="M131" s="169">
        <f>+M132+M133</f>
        <v>0.37333333333333329</v>
      </c>
      <c r="N131" s="169">
        <f>+N132+N133</f>
        <v>0.37333333333333329</v>
      </c>
      <c r="O131" s="169"/>
      <c r="P131" s="168"/>
      <c r="Q131" s="168"/>
      <c r="R131" s="168"/>
      <c r="S131" s="168"/>
      <c r="T131" s="168"/>
      <c r="U131" s="987"/>
      <c r="V131" s="170"/>
      <c r="W131" s="236"/>
      <c r="X131" s="168"/>
      <c r="Y131" s="168"/>
      <c r="Z131" s="168"/>
      <c r="AA131" s="168"/>
      <c r="AB131" s="168"/>
      <c r="AC131" s="192">
        <f>+AVERAGE(AC132:AC133)</f>
        <v>1</v>
      </c>
      <c r="AD131" s="192">
        <f>+AVERAGE(AD132:AD133)</f>
        <v>1</v>
      </c>
      <c r="AE131" s="192">
        <f>+AVERAGE(AE132:AE133)</f>
        <v>0.41666666666666663</v>
      </c>
      <c r="AF131" s="192">
        <f>+(AF132+AF133)*E131</f>
        <v>0.15</v>
      </c>
      <c r="AG131" s="192">
        <f>+(AG132+AG133)*E131</f>
        <v>0.15</v>
      </c>
      <c r="AH131" s="192">
        <f>+(AH132+AH133)*E131</f>
        <v>6.5000000000000002E-2</v>
      </c>
      <c r="AI131" s="169">
        <f>+AVERAGE(AI132:AI133)</f>
        <v>0.31111111111111112</v>
      </c>
      <c r="AJ131" s="169">
        <v>0.72222222222222221</v>
      </c>
      <c r="AK131" s="169">
        <f>+AVERAGE(AK132:AK133)</f>
        <v>0.77777777777777779</v>
      </c>
      <c r="AL131" s="169">
        <f>+(AL132+AL133)*E131</f>
        <v>4.3999999999999997E-2</v>
      </c>
      <c r="AM131" s="169">
        <f>+(AM132+AM133)</f>
        <v>0.66666666666666674</v>
      </c>
      <c r="AN131" s="169">
        <f>+(AN132+AN133)</f>
        <v>0.73333333333333339</v>
      </c>
      <c r="AO131" s="163"/>
      <c r="AP131" s="163"/>
      <c r="AQ131" s="163"/>
      <c r="AR131" s="163"/>
      <c r="AS131" s="609"/>
      <c r="AT131" s="609"/>
      <c r="AU131" s="163"/>
      <c r="AV131" s="535"/>
    </row>
    <row r="132" spans="1:48" ht="67.2" customHeight="1" thickBot="1" x14ac:dyDescent="0.4">
      <c r="A132" s="264"/>
      <c r="B132" s="1480" t="s">
        <v>1056</v>
      </c>
      <c r="C132" s="1504" t="s">
        <v>1254</v>
      </c>
      <c r="D132" s="266" t="s">
        <v>560</v>
      </c>
      <c r="E132" s="228">
        <v>0.6</v>
      </c>
      <c r="F132" s="226">
        <v>9</v>
      </c>
      <c r="G132" s="170">
        <v>2</v>
      </c>
      <c r="H132" s="170">
        <v>2</v>
      </c>
      <c r="I132" s="170">
        <v>2</v>
      </c>
      <c r="J132" s="176">
        <f>+G132/F132</f>
        <v>0.22222222222222221</v>
      </c>
      <c r="K132" s="176">
        <f t="shared" ref="K132:K133" si="254">+H132/F132</f>
        <v>0.22222222222222221</v>
      </c>
      <c r="L132" s="176">
        <f t="shared" ref="L132:L133" si="255">+I132/F132</f>
        <v>0.22222222222222221</v>
      </c>
      <c r="M132" s="176">
        <f>+(G132/F132)*E132</f>
        <v>0.13333333333333333</v>
      </c>
      <c r="N132" s="176">
        <f t="shared" ref="N132:N133" si="256">+(H132/F132)*E132</f>
        <v>0.13333333333333333</v>
      </c>
      <c r="O132" s="176"/>
      <c r="P132" s="170">
        <v>2</v>
      </c>
      <c r="Q132" s="541">
        <v>0</v>
      </c>
      <c r="R132" s="541">
        <v>0</v>
      </c>
      <c r="S132" s="541">
        <v>2</v>
      </c>
      <c r="T132" s="541"/>
      <c r="U132" s="541"/>
      <c r="V132" s="170">
        <f t="shared" si="173"/>
        <v>2</v>
      </c>
      <c r="W132" s="236">
        <f t="shared" si="219"/>
        <v>5</v>
      </c>
      <c r="X132" s="541">
        <v>1</v>
      </c>
      <c r="Y132" s="170"/>
      <c r="Z132" s="170"/>
      <c r="AA132" s="170"/>
      <c r="AB132" s="170">
        <f t="shared" ref="AB132:AB138" si="257">+X132+Y132+Z132+AA132</f>
        <v>1</v>
      </c>
      <c r="AC132" s="176">
        <f>+(P132/G132)</f>
        <v>1</v>
      </c>
      <c r="AD132" s="176">
        <f t="shared" si="247"/>
        <v>1</v>
      </c>
      <c r="AE132" s="176">
        <f t="shared" ref="AE132:AE133" si="258">+AB132/I132</f>
        <v>0.5</v>
      </c>
      <c r="AF132" s="176">
        <f>+AC132*E132</f>
        <v>0.6</v>
      </c>
      <c r="AG132" s="176">
        <f t="shared" ref="AG132:AG133" si="259">+AD132*E132</f>
        <v>0.6</v>
      </c>
      <c r="AH132" s="176">
        <f t="shared" ref="AH132:AH133" si="260">+AE132*E132</f>
        <v>0.3</v>
      </c>
      <c r="AI132" s="176">
        <f>+P132/F132</f>
        <v>0.22222222222222221</v>
      </c>
      <c r="AJ132" s="176">
        <v>0.44444444444444442</v>
      </c>
      <c r="AK132" s="176">
        <f t="shared" ref="AK132" si="261">+W132/F132</f>
        <v>0.55555555555555558</v>
      </c>
      <c r="AL132" s="176">
        <f>+AI132*E132</f>
        <v>0.13333333333333333</v>
      </c>
      <c r="AM132" s="176">
        <f>+AJ132*E132</f>
        <v>0.26666666666666666</v>
      </c>
      <c r="AN132" s="176">
        <f t="shared" ref="AN132:AN133" si="262">+AK132*E132</f>
        <v>0.33333333333333331</v>
      </c>
      <c r="AO132" s="180" t="s">
        <v>1850</v>
      </c>
      <c r="AP132" s="571" t="s">
        <v>1892</v>
      </c>
      <c r="AQ132" s="571" t="s">
        <v>2269</v>
      </c>
      <c r="AR132" s="571" t="s">
        <v>2288</v>
      </c>
      <c r="AS132" s="792" t="s">
        <v>2402</v>
      </c>
      <c r="AT132" s="792" t="s">
        <v>2438</v>
      </c>
      <c r="AU132" s="571" t="s">
        <v>2493</v>
      </c>
      <c r="AV132" s="571" t="s">
        <v>1893</v>
      </c>
    </row>
    <row r="133" spans="1:48" ht="67.2" customHeight="1" thickBot="1" x14ac:dyDescent="0.4">
      <c r="A133" s="264"/>
      <c r="B133" s="1480" t="s">
        <v>1057</v>
      </c>
      <c r="C133" s="1504" t="s">
        <v>1255</v>
      </c>
      <c r="D133" s="266" t="s">
        <v>560</v>
      </c>
      <c r="E133" s="228">
        <v>0.4</v>
      </c>
      <c r="F133" s="226">
        <v>5</v>
      </c>
      <c r="G133" s="170">
        <v>3</v>
      </c>
      <c r="H133" s="170">
        <v>3</v>
      </c>
      <c r="I133" s="170">
        <v>3</v>
      </c>
      <c r="J133" s="176">
        <f>+G133/F133</f>
        <v>0.6</v>
      </c>
      <c r="K133" s="176">
        <f t="shared" si="254"/>
        <v>0.6</v>
      </c>
      <c r="L133" s="176">
        <f t="shared" si="255"/>
        <v>0.6</v>
      </c>
      <c r="M133" s="176">
        <f>+(G133/F133)*E133</f>
        <v>0.24</v>
      </c>
      <c r="N133" s="176">
        <f t="shared" si="256"/>
        <v>0.24</v>
      </c>
      <c r="O133" s="176"/>
      <c r="P133" s="170">
        <v>2</v>
      </c>
      <c r="Q133" s="541">
        <v>0</v>
      </c>
      <c r="R133" s="541">
        <v>3</v>
      </c>
      <c r="S133" s="541">
        <v>3</v>
      </c>
      <c r="T133" s="541">
        <v>1</v>
      </c>
      <c r="U133" s="541"/>
      <c r="V133" s="170">
        <f t="shared" si="173"/>
        <v>7</v>
      </c>
      <c r="W133" s="236">
        <f t="shared" si="219"/>
        <v>10</v>
      </c>
      <c r="X133" s="541">
        <v>1</v>
      </c>
      <c r="Y133" s="170"/>
      <c r="Z133" s="170"/>
      <c r="AA133" s="170"/>
      <c r="AB133" s="170">
        <f t="shared" si="257"/>
        <v>1</v>
      </c>
      <c r="AC133" s="176">
        <v>1</v>
      </c>
      <c r="AD133" s="176">
        <v>1</v>
      </c>
      <c r="AE133" s="176">
        <f t="shared" si="258"/>
        <v>0.33333333333333331</v>
      </c>
      <c r="AF133" s="176">
        <f>+AC133*E133</f>
        <v>0.4</v>
      </c>
      <c r="AG133" s="176">
        <f t="shared" si="259"/>
        <v>0.4</v>
      </c>
      <c r="AH133" s="176">
        <f t="shared" si="260"/>
        <v>0.13333333333333333</v>
      </c>
      <c r="AI133" s="176">
        <f>+P133/F133</f>
        <v>0.4</v>
      </c>
      <c r="AJ133" s="176">
        <v>1</v>
      </c>
      <c r="AK133" s="176">
        <v>1</v>
      </c>
      <c r="AL133" s="176">
        <f>+AI133*E133</f>
        <v>0.16000000000000003</v>
      </c>
      <c r="AM133" s="176">
        <f>+AJ133*E133</f>
        <v>0.4</v>
      </c>
      <c r="AN133" s="176">
        <f t="shared" si="262"/>
        <v>0.4</v>
      </c>
      <c r="AO133" s="180" t="s">
        <v>1850</v>
      </c>
      <c r="AP133" s="571" t="s">
        <v>1892</v>
      </c>
      <c r="AQ133" s="571" t="s">
        <v>1591</v>
      </c>
      <c r="AR133" s="571" t="s">
        <v>2288</v>
      </c>
      <c r="AS133" s="792" t="s">
        <v>2402</v>
      </c>
      <c r="AT133" s="792" t="s">
        <v>2438</v>
      </c>
      <c r="AU133" s="571" t="s">
        <v>2493</v>
      </c>
      <c r="AV133" s="571" t="s">
        <v>1893</v>
      </c>
    </row>
    <row r="134" spans="1:48" ht="67.2" customHeight="1" thickBot="1" x14ac:dyDescent="0.4">
      <c r="A134" s="264"/>
      <c r="B134" s="1580" t="s">
        <v>1836</v>
      </c>
      <c r="C134" s="1562"/>
      <c r="D134" s="266"/>
      <c r="E134" s="232">
        <v>0.2</v>
      </c>
      <c r="F134" s="216"/>
      <c r="G134" s="163"/>
      <c r="H134" s="163"/>
      <c r="I134" s="163"/>
      <c r="J134" s="169">
        <f>+AVERAGE(J135:J138)</f>
        <v>0.25</v>
      </c>
      <c r="K134" s="169">
        <f>+AVERAGE(K135:K138)</f>
        <v>0.25</v>
      </c>
      <c r="L134" s="169">
        <f>+AVERAGE(L135:L138)</f>
        <v>0.33333333333333331</v>
      </c>
      <c r="M134" s="169">
        <f>+M135+M136+M137+M138</f>
        <v>0.2</v>
      </c>
      <c r="N134" s="169">
        <f>+N135+N136+N137+N138</f>
        <v>0.27500000000000002</v>
      </c>
      <c r="O134" s="169"/>
      <c r="P134" s="168"/>
      <c r="Q134" s="168"/>
      <c r="R134" s="168"/>
      <c r="S134" s="168"/>
      <c r="T134" s="168"/>
      <c r="U134" s="987"/>
      <c r="V134" s="170"/>
      <c r="W134" s="236"/>
      <c r="X134" s="168"/>
      <c r="Y134" s="168"/>
      <c r="Z134" s="168"/>
      <c r="AA134" s="168"/>
      <c r="AB134" s="170"/>
      <c r="AC134" s="192">
        <f>+AVERAGE(AC135:AC138)</f>
        <v>0.625</v>
      </c>
      <c r="AD134" s="192">
        <f>+AVERAGE(AD135:AD138)</f>
        <v>0.72222222222222221</v>
      </c>
      <c r="AE134" s="192">
        <f>+AVERAGE(AE135:AE138)</f>
        <v>0.14444444444444446</v>
      </c>
      <c r="AF134" s="192">
        <f>+(AF135+AF136+AF137+AF138)*E134</f>
        <v>0.1</v>
      </c>
      <c r="AG134" s="192">
        <f>+(AG135+AG136+AG137+AG138)*F134</f>
        <v>0</v>
      </c>
      <c r="AH134" s="192">
        <f>+(AH135+AH136+AH137+AH138)*E134</f>
        <v>2.9666666666666664E-2</v>
      </c>
      <c r="AI134" s="169">
        <f>+AVERAGE(AI135:AI138)</f>
        <v>0.15625</v>
      </c>
      <c r="AJ134" s="169">
        <v>0.35416666666666669</v>
      </c>
      <c r="AK134" s="169">
        <f>+AJ134+((AK137-AJ137)/4)+((AK138-AJ138)/4)+((AK135-AJ135)/4)</f>
        <v>0.38750000000000001</v>
      </c>
      <c r="AL134" s="169">
        <f>+(AL135+AL136+AL137+AL138)*E134</f>
        <v>2.5000000000000001E-2</v>
      </c>
      <c r="AM134" s="169">
        <f>+(AM135+AM136+AM137+AM138)</f>
        <v>0.31666666666666665</v>
      </c>
      <c r="AN134" s="169">
        <f>+(AN135+AN136+AN137+AN138)</f>
        <v>0.35750000000000004</v>
      </c>
      <c r="AO134" s="163"/>
      <c r="AP134" s="163"/>
      <c r="AQ134" s="163"/>
      <c r="AR134" s="163"/>
      <c r="AS134" s="609"/>
      <c r="AT134" s="609"/>
      <c r="AU134" s="163"/>
      <c r="AV134" s="535"/>
    </row>
    <row r="135" spans="1:48" ht="95.4" customHeight="1" thickBot="1" x14ac:dyDescent="0.4">
      <c r="A135" s="264"/>
      <c r="B135" s="1504" t="s">
        <v>1058</v>
      </c>
      <c r="C135" s="1504" t="s">
        <v>1256</v>
      </c>
      <c r="D135" s="266" t="s">
        <v>1059</v>
      </c>
      <c r="E135" s="228">
        <v>0.15</v>
      </c>
      <c r="F135" s="226">
        <v>1</v>
      </c>
      <c r="G135" s="170">
        <v>0</v>
      </c>
      <c r="H135" s="170">
        <v>0.5</v>
      </c>
      <c r="I135" s="170">
        <v>0.5</v>
      </c>
      <c r="J135" s="176"/>
      <c r="K135" s="176">
        <f t="shared" ref="K135:K138" si="263">+H135/F135</f>
        <v>0.5</v>
      </c>
      <c r="L135" s="176">
        <f t="shared" ref="L135:L138" si="264">+I135/F135</f>
        <v>0.5</v>
      </c>
      <c r="M135" s="176"/>
      <c r="N135" s="176">
        <f t="shared" ref="N135:N138" si="265">+(H135/F135)*E135</f>
        <v>7.4999999999999997E-2</v>
      </c>
      <c r="O135" s="176"/>
      <c r="P135" s="170"/>
      <c r="Q135" s="541">
        <v>0</v>
      </c>
      <c r="R135" s="541">
        <v>0</v>
      </c>
      <c r="S135" s="541">
        <v>0.2</v>
      </c>
      <c r="T135" s="541">
        <v>0.1</v>
      </c>
      <c r="U135" s="541">
        <v>0.2</v>
      </c>
      <c r="V135" s="170">
        <f t="shared" si="173"/>
        <v>0.5</v>
      </c>
      <c r="W135" s="236">
        <f>+V135+P135+AB135</f>
        <v>0.55000000000000004</v>
      </c>
      <c r="X135" s="541">
        <v>0.05</v>
      </c>
      <c r="Y135" s="170"/>
      <c r="Z135" s="170"/>
      <c r="AA135" s="170"/>
      <c r="AB135" s="170">
        <f t="shared" si="257"/>
        <v>0.05</v>
      </c>
      <c r="AC135" s="194"/>
      <c r="AD135" s="194">
        <f t="shared" si="247"/>
        <v>1</v>
      </c>
      <c r="AE135" s="194">
        <f t="shared" ref="AE135:AE138" si="266">+AB135/I135</f>
        <v>0.1</v>
      </c>
      <c r="AF135" s="194"/>
      <c r="AG135" s="194"/>
      <c r="AH135" s="194">
        <f t="shared" ref="AH135:AH138" si="267">+AE135*E135</f>
        <v>1.4999999999999999E-2</v>
      </c>
      <c r="AI135" s="194"/>
      <c r="AJ135" s="194">
        <v>0.5</v>
      </c>
      <c r="AK135" s="194">
        <f t="shared" ref="AK135:AK138" si="268">+W135/F135</f>
        <v>0.55000000000000004</v>
      </c>
      <c r="AL135" s="194"/>
      <c r="AM135" s="194">
        <f>+AJ135*E135</f>
        <v>7.4999999999999997E-2</v>
      </c>
      <c r="AN135" s="194">
        <f t="shared" ref="AN135:AN138" si="269">+AK135*E135</f>
        <v>8.2500000000000004E-2</v>
      </c>
      <c r="AO135" s="180" t="s">
        <v>1850</v>
      </c>
      <c r="AP135" s="163"/>
      <c r="AQ135" s="571" t="s">
        <v>2269</v>
      </c>
      <c r="AR135" s="571" t="s">
        <v>2288</v>
      </c>
      <c r="AS135" s="924" t="s">
        <v>2377</v>
      </c>
      <c r="AT135" s="792" t="s">
        <v>2438</v>
      </c>
      <c r="AU135" s="571" t="s">
        <v>2493</v>
      </c>
      <c r="AV135" s="571" t="s">
        <v>1893</v>
      </c>
    </row>
    <row r="136" spans="1:48" ht="67.2" customHeight="1" thickBot="1" x14ac:dyDescent="0.4">
      <c r="A136" s="264"/>
      <c r="B136" s="1504" t="s">
        <v>1060</v>
      </c>
      <c r="C136" s="1504" t="s">
        <v>1257</v>
      </c>
      <c r="D136" s="266" t="s">
        <v>560</v>
      </c>
      <c r="E136" s="228">
        <v>0.05</v>
      </c>
      <c r="F136" s="226">
        <v>1</v>
      </c>
      <c r="G136" s="170">
        <v>0</v>
      </c>
      <c r="H136" s="170">
        <v>0</v>
      </c>
      <c r="I136" s="170">
        <v>0</v>
      </c>
      <c r="J136" s="176"/>
      <c r="K136" s="176">
        <f t="shared" si="263"/>
        <v>0</v>
      </c>
      <c r="L136" s="176"/>
      <c r="M136" s="176"/>
      <c r="N136" s="176">
        <f t="shared" si="265"/>
        <v>0</v>
      </c>
      <c r="O136" s="176"/>
      <c r="P136" s="170"/>
      <c r="Q136" s="541"/>
      <c r="R136" s="541"/>
      <c r="S136" s="541"/>
      <c r="T136" s="541"/>
      <c r="U136" s="541"/>
      <c r="V136" s="170">
        <f t="shared" si="173"/>
        <v>0</v>
      </c>
      <c r="W136" s="236">
        <f t="shared" si="219"/>
        <v>0</v>
      </c>
      <c r="X136" s="541"/>
      <c r="Y136" s="170"/>
      <c r="Z136" s="170"/>
      <c r="AA136" s="170"/>
      <c r="AB136" s="170">
        <f t="shared" si="257"/>
        <v>0</v>
      </c>
      <c r="AC136" s="194"/>
      <c r="AD136" s="194"/>
      <c r="AE136" s="194"/>
      <c r="AF136" s="194"/>
      <c r="AG136" s="194"/>
      <c r="AH136" s="194">
        <f t="shared" si="267"/>
        <v>0</v>
      </c>
      <c r="AI136" s="194"/>
      <c r="AJ136" s="194"/>
      <c r="AK136" s="194">
        <f t="shared" si="268"/>
        <v>0</v>
      </c>
      <c r="AL136" s="194"/>
      <c r="AM136" s="194">
        <f>+AJ136*E136</f>
        <v>0</v>
      </c>
      <c r="AN136" s="194">
        <f t="shared" si="269"/>
        <v>0</v>
      </c>
      <c r="AO136" s="180" t="s">
        <v>1850</v>
      </c>
      <c r="AP136" s="163"/>
      <c r="AQ136" s="571" t="s">
        <v>2269</v>
      </c>
      <c r="AR136" s="571" t="s">
        <v>2288</v>
      </c>
      <c r="AS136" s="792" t="s">
        <v>2402</v>
      </c>
      <c r="AT136" s="792" t="s">
        <v>2438</v>
      </c>
      <c r="AU136" s="571" t="s">
        <v>2493</v>
      </c>
      <c r="AV136" s="571" t="s">
        <v>1893</v>
      </c>
    </row>
    <row r="137" spans="1:48" ht="67.2" customHeight="1" thickBot="1" x14ac:dyDescent="0.4">
      <c r="A137" s="264"/>
      <c r="B137" s="1480" t="s">
        <v>1061</v>
      </c>
      <c r="C137" s="1504" t="s">
        <v>1258</v>
      </c>
      <c r="D137" s="266" t="s">
        <v>560</v>
      </c>
      <c r="E137" s="228">
        <v>0.4</v>
      </c>
      <c r="F137" s="226">
        <v>48</v>
      </c>
      <c r="G137" s="170">
        <v>12</v>
      </c>
      <c r="H137" s="170">
        <v>12</v>
      </c>
      <c r="I137" s="170">
        <v>12</v>
      </c>
      <c r="J137" s="176">
        <f>+G137/F137</f>
        <v>0.25</v>
      </c>
      <c r="K137" s="176">
        <f t="shared" si="263"/>
        <v>0.25</v>
      </c>
      <c r="L137" s="176">
        <f>+I137/F137</f>
        <v>0.25</v>
      </c>
      <c r="M137" s="176">
        <f>+(G137/F137)*E137</f>
        <v>0.1</v>
      </c>
      <c r="N137" s="176">
        <f t="shared" si="265"/>
        <v>0.1</v>
      </c>
      <c r="O137" s="176"/>
      <c r="P137" s="170">
        <v>11</v>
      </c>
      <c r="Q137" s="541">
        <v>0</v>
      </c>
      <c r="R137" s="541">
        <v>2</v>
      </c>
      <c r="S137" s="541">
        <v>3</v>
      </c>
      <c r="T137" s="541">
        <v>1</v>
      </c>
      <c r="U137" s="541"/>
      <c r="V137" s="170">
        <f t="shared" si="173"/>
        <v>6</v>
      </c>
      <c r="W137" s="236">
        <f t="shared" si="219"/>
        <v>17</v>
      </c>
      <c r="X137" s="541">
        <v>0</v>
      </c>
      <c r="Y137" s="170"/>
      <c r="Z137" s="170"/>
      <c r="AA137" s="170"/>
      <c r="AB137" s="170">
        <f t="shared" si="257"/>
        <v>0</v>
      </c>
      <c r="AC137" s="194">
        <f>+(P137/G137)</f>
        <v>0.91666666666666663</v>
      </c>
      <c r="AD137" s="194">
        <f t="shared" si="247"/>
        <v>0.5</v>
      </c>
      <c r="AE137" s="194">
        <f t="shared" si="266"/>
        <v>0</v>
      </c>
      <c r="AF137" s="194">
        <f>+AC137*E137</f>
        <v>0.3666666666666667</v>
      </c>
      <c r="AG137" s="194">
        <f t="shared" ref="AG137:AG138" si="270">+AD137*E137</f>
        <v>0.2</v>
      </c>
      <c r="AH137" s="194">
        <f t="shared" si="267"/>
        <v>0</v>
      </c>
      <c r="AI137" s="194">
        <f>+P137/F137</f>
        <v>0.22916666666666666</v>
      </c>
      <c r="AJ137" s="194">
        <v>0.35416666666666669</v>
      </c>
      <c r="AK137" s="194">
        <f t="shared" si="268"/>
        <v>0.35416666666666669</v>
      </c>
      <c r="AL137" s="194">
        <f>+AI137*E137</f>
        <v>9.1666666666666674E-2</v>
      </c>
      <c r="AM137" s="194">
        <f>+AJ137*E137</f>
        <v>0.14166666666666669</v>
      </c>
      <c r="AN137" s="194">
        <f t="shared" si="269"/>
        <v>0.14166666666666669</v>
      </c>
      <c r="AO137" s="180" t="s">
        <v>1850</v>
      </c>
      <c r="AP137" s="571" t="s">
        <v>1892</v>
      </c>
      <c r="AQ137" s="571" t="s">
        <v>2269</v>
      </c>
      <c r="AR137" s="571" t="s">
        <v>2288</v>
      </c>
      <c r="AS137" s="792" t="s">
        <v>2402</v>
      </c>
      <c r="AT137" s="792" t="s">
        <v>2438</v>
      </c>
      <c r="AU137" s="571" t="s">
        <v>2493</v>
      </c>
      <c r="AV137" s="571" t="s">
        <v>1893</v>
      </c>
    </row>
    <row r="138" spans="1:48" ht="148.94999999999999" customHeight="1" thickBot="1" x14ac:dyDescent="0.4">
      <c r="A138" s="264"/>
      <c r="B138" s="1480" t="s">
        <v>1062</v>
      </c>
      <c r="C138" s="1504" t="s">
        <v>1259</v>
      </c>
      <c r="D138" s="266" t="s">
        <v>560</v>
      </c>
      <c r="E138" s="228">
        <v>0.4</v>
      </c>
      <c r="F138" s="226">
        <v>12</v>
      </c>
      <c r="G138" s="170">
        <v>3</v>
      </c>
      <c r="H138" s="170">
        <v>3</v>
      </c>
      <c r="I138" s="170">
        <v>3</v>
      </c>
      <c r="J138" s="176">
        <f>+G138/F138</f>
        <v>0.25</v>
      </c>
      <c r="K138" s="176">
        <f t="shared" si="263"/>
        <v>0.25</v>
      </c>
      <c r="L138" s="176">
        <f t="shared" si="264"/>
        <v>0.25</v>
      </c>
      <c r="M138" s="176">
        <f>+(G138/F138)*E138</f>
        <v>0.1</v>
      </c>
      <c r="N138" s="176">
        <f t="shared" si="265"/>
        <v>0.1</v>
      </c>
      <c r="O138" s="176"/>
      <c r="P138" s="170">
        <v>1</v>
      </c>
      <c r="Q138" s="541">
        <v>1</v>
      </c>
      <c r="R138" s="541">
        <v>0</v>
      </c>
      <c r="S138" s="541">
        <v>0</v>
      </c>
      <c r="T138" s="541">
        <v>1</v>
      </c>
      <c r="U138" s="541">
        <v>0</v>
      </c>
      <c r="V138" s="170">
        <f t="shared" si="173"/>
        <v>2</v>
      </c>
      <c r="W138" s="236">
        <f t="shared" si="219"/>
        <v>4</v>
      </c>
      <c r="X138" s="541">
        <v>1</v>
      </c>
      <c r="Y138" s="170"/>
      <c r="Z138" s="170"/>
      <c r="AA138" s="170"/>
      <c r="AB138" s="170">
        <f t="shared" si="257"/>
        <v>1</v>
      </c>
      <c r="AC138" s="194">
        <f>+(P138/G138)</f>
        <v>0.33333333333333331</v>
      </c>
      <c r="AD138" s="194">
        <f t="shared" si="247"/>
        <v>0.66666666666666663</v>
      </c>
      <c r="AE138" s="194">
        <f t="shared" si="266"/>
        <v>0.33333333333333331</v>
      </c>
      <c r="AF138" s="194">
        <f>+AC138*E138</f>
        <v>0.13333333333333333</v>
      </c>
      <c r="AG138" s="194">
        <f t="shared" si="270"/>
        <v>0.26666666666666666</v>
      </c>
      <c r="AH138" s="194">
        <f t="shared" si="267"/>
        <v>0.13333333333333333</v>
      </c>
      <c r="AI138" s="194">
        <f>+P138/F138</f>
        <v>8.3333333333333329E-2</v>
      </c>
      <c r="AJ138" s="194">
        <v>0.25</v>
      </c>
      <c r="AK138" s="194">
        <f t="shared" si="268"/>
        <v>0.33333333333333331</v>
      </c>
      <c r="AL138" s="194">
        <f>+AI138*E138</f>
        <v>3.3333333333333333E-2</v>
      </c>
      <c r="AM138" s="194">
        <f>+AJ138*E138</f>
        <v>0.1</v>
      </c>
      <c r="AN138" s="194">
        <f t="shared" si="269"/>
        <v>0.13333333333333333</v>
      </c>
      <c r="AO138" s="283" t="s">
        <v>1850</v>
      </c>
      <c r="AP138" s="571" t="s">
        <v>1892</v>
      </c>
      <c r="AQ138" s="571" t="s">
        <v>2269</v>
      </c>
      <c r="AR138" s="571" t="s">
        <v>2288</v>
      </c>
      <c r="AS138" s="792" t="s">
        <v>2402</v>
      </c>
      <c r="AT138" s="792" t="s">
        <v>2438</v>
      </c>
      <c r="AU138" s="571" t="s">
        <v>2493</v>
      </c>
      <c r="AV138" s="571" t="s">
        <v>1893</v>
      </c>
    </row>
    <row r="139" spans="1:48" ht="67.2" customHeight="1" thickBot="1" x14ac:dyDescent="0.4">
      <c r="A139" s="264"/>
      <c r="B139" s="1580" t="s">
        <v>1781</v>
      </c>
      <c r="C139" s="1562"/>
      <c r="D139" s="266"/>
      <c r="E139" s="232">
        <v>0.05</v>
      </c>
      <c r="F139" s="216"/>
      <c r="G139" s="163"/>
      <c r="H139" s="163"/>
      <c r="I139" s="163"/>
      <c r="J139" s="169">
        <f>+AVERAGE(J140:J141)</f>
        <v>0.15625</v>
      </c>
      <c r="K139" s="169">
        <f>+AVERAGE(K140:K141)</f>
        <v>0.28125</v>
      </c>
      <c r="L139" s="169">
        <f>+AVERAGE(L140:L141)</f>
        <v>0.25624999999999998</v>
      </c>
      <c r="M139" s="169">
        <f>+M140+M141</f>
        <v>0.15625</v>
      </c>
      <c r="N139" s="169">
        <f>+N140+N141</f>
        <v>0.28125</v>
      </c>
      <c r="O139" s="169"/>
      <c r="P139" s="168"/>
      <c r="Q139" s="168"/>
      <c r="R139" s="168"/>
      <c r="S139" s="168"/>
      <c r="T139" s="168"/>
      <c r="U139" s="987"/>
      <c r="V139" s="170"/>
      <c r="W139" s="236"/>
      <c r="X139" s="168"/>
      <c r="Y139" s="168"/>
      <c r="Z139" s="168"/>
      <c r="AA139" s="168"/>
      <c r="AB139" s="168"/>
      <c r="AC139" s="192">
        <f>+AVERAGE(AC140:AC141)</f>
        <v>1</v>
      </c>
      <c r="AD139" s="192">
        <f>+AVERAGE(AD140:AD141)</f>
        <v>0.75600000000000001</v>
      </c>
      <c r="AE139" s="192">
        <f>+AVERAGE(AE140:AE141)</f>
        <v>0.44109756097560981</v>
      </c>
      <c r="AF139" s="192">
        <f>+(AF140+AF141)*E139</f>
        <v>0.05</v>
      </c>
      <c r="AG139" s="192">
        <f>+(AG140+AG141)*F139</f>
        <v>0</v>
      </c>
      <c r="AH139" s="192">
        <f>+(AH140+AH141)*E139</f>
        <v>2.2054878048780494E-2</v>
      </c>
      <c r="AI139" s="169">
        <f>+AVERAGE(AI140:AI141)</f>
        <v>0.15625</v>
      </c>
      <c r="AJ139" s="169">
        <v>0.46</v>
      </c>
      <c r="AK139" s="169">
        <f>+AVERAGE(AK140:AK141)</f>
        <v>0.64085000000000003</v>
      </c>
      <c r="AL139" s="222">
        <f>+(AL140+AL141)*E139</f>
        <v>7.8125E-3</v>
      </c>
      <c r="AM139" s="222">
        <f>+(AM140+AM141)</f>
        <v>0.46</v>
      </c>
      <c r="AN139" s="222">
        <f>+(AN140+AN141)</f>
        <v>0.64085000000000003</v>
      </c>
      <c r="AO139" s="163"/>
      <c r="AP139" s="163"/>
      <c r="AQ139" s="163"/>
      <c r="AR139" s="163"/>
      <c r="AS139" s="609"/>
      <c r="AT139" s="609"/>
      <c r="AU139" s="163"/>
      <c r="AV139" s="535"/>
    </row>
    <row r="140" spans="1:48" ht="95.4" customHeight="1" thickBot="1" x14ac:dyDescent="0.4">
      <c r="A140" s="264"/>
      <c r="B140" s="1480" t="s">
        <v>1063</v>
      </c>
      <c r="C140" s="1504" t="s">
        <v>1260</v>
      </c>
      <c r="D140" s="266" t="s">
        <v>1064</v>
      </c>
      <c r="E140" s="228">
        <v>0.5</v>
      </c>
      <c r="F140" s="996">
        <v>4</v>
      </c>
      <c r="G140" s="170">
        <v>0.25</v>
      </c>
      <c r="H140" s="170">
        <f>1+0.25</f>
        <v>1.25</v>
      </c>
      <c r="I140" s="170">
        <v>0.41</v>
      </c>
      <c r="J140" s="176">
        <f>+G140/F140</f>
        <v>6.25E-2</v>
      </c>
      <c r="K140" s="176">
        <f t="shared" ref="K140:K141" si="271">+H140/F140</f>
        <v>0.3125</v>
      </c>
      <c r="L140" s="176">
        <f t="shared" ref="L140:L141" si="272">+I140/F140</f>
        <v>0.10249999999999999</v>
      </c>
      <c r="M140" s="176">
        <f>+(G140/F140)*E140</f>
        <v>3.125E-2</v>
      </c>
      <c r="N140" s="176">
        <f t="shared" ref="N140:N141" si="273">+(H140/F140)*E140</f>
        <v>0.15625</v>
      </c>
      <c r="O140" s="176"/>
      <c r="P140" s="236">
        <v>0.25</v>
      </c>
      <c r="Q140" s="541">
        <v>0.05</v>
      </c>
      <c r="R140" s="541">
        <v>0.03</v>
      </c>
      <c r="S140" s="541">
        <v>0.08</v>
      </c>
      <c r="T140" s="541">
        <v>0.05</v>
      </c>
      <c r="U140" s="541">
        <v>0</v>
      </c>
      <c r="V140" s="236">
        <f t="shared" si="173"/>
        <v>0.21000000000000002</v>
      </c>
      <c r="W140" s="236">
        <f t="shared" si="219"/>
        <v>0.5484</v>
      </c>
      <c r="X140" s="541">
        <v>8.8400000000000006E-2</v>
      </c>
      <c r="Y140" s="236"/>
      <c r="Z140" s="236"/>
      <c r="AA140" s="236"/>
      <c r="AB140" s="236">
        <f t="shared" ref="AB140:AB141" si="274">+X140+Y140+Z140+AA140</f>
        <v>8.8400000000000006E-2</v>
      </c>
      <c r="AC140" s="176">
        <f>+(P140/G140)</f>
        <v>1</v>
      </c>
      <c r="AD140" s="176">
        <f>+V140/((H140/4))</f>
        <v>0.67200000000000004</v>
      </c>
      <c r="AE140" s="194">
        <f t="shared" ref="AE140" si="275">+AB140/I140</f>
        <v>0.215609756097561</v>
      </c>
      <c r="AF140" s="176">
        <f>+AC140*E140</f>
        <v>0.5</v>
      </c>
      <c r="AG140" s="176">
        <f t="shared" ref="AG140:AG141" si="276">+AD140*E140</f>
        <v>0.33600000000000002</v>
      </c>
      <c r="AH140" s="176">
        <f t="shared" ref="AH140:AH141" si="277">+AE140*E140</f>
        <v>0.1078048780487805</v>
      </c>
      <c r="AI140" s="176">
        <f>+P140/F140</f>
        <v>6.25E-2</v>
      </c>
      <c r="AJ140" s="194">
        <v>0.46</v>
      </c>
      <c r="AK140" s="802">
        <f>+W140/1</f>
        <v>0.5484</v>
      </c>
      <c r="AL140" s="176">
        <f>+AI140*E140</f>
        <v>3.125E-2</v>
      </c>
      <c r="AM140" s="176">
        <f>+AJ140*E140</f>
        <v>0.23</v>
      </c>
      <c r="AN140" s="176">
        <f t="shared" ref="AN140:AN141" si="278">+AK140*E140</f>
        <v>0.2742</v>
      </c>
      <c r="AO140" s="284" t="s">
        <v>1869</v>
      </c>
      <c r="AP140" s="571" t="s">
        <v>1904</v>
      </c>
      <c r="AQ140" s="571" t="s">
        <v>2269</v>
      </c>
      <c r="AR140" s="571" t="s">
        <v>2312</v>
      </c>
      <c r="AS140" s="792" t="s">
        <v>2416</v>
      </c>
      <c r="AT140" s="792" t="s">
        <v>2438</v>
      </c>
      <c r="AU140" s="674" t="s">
        <v>2505</v>
      </c>
      <c r="AV140" s="571" t="s">
        <v>1893</v>
      </c>
    </row>
    <row r="141" spans="1:48" ht="93" customHeight="1" thickBot="1" x14ac:dyDescent="0.4">
      <c r="A141" s="264"/>
      <c r="B141" s="1480" t="s">
        <v>1065</v>
      </c>
      <c r="C141" s="1504" t="s">
        <v>1261</v>
      </c>
      <c r="D141" s="266" t="s">
        <v>1064</v>
      </c>
      <c r="E141" s="270">
        <v>0.5</v>
      </c>
      <c r="F141" s="226">
        <v>1</v>
      </c>
      <c r="G141" s="170">
        <v>0.25</v>
      </c>
      <c r="H141" s="236">
        <v>0.25</v>
      </c>
      <c r="I141" s="236">
        <v>0.41</v>
      </c>
      <c r="J141" s="176">
        <f>+G141/F141</f>
        <v>0.25</v>
      </c>
      <c r="K141" s="176">
        <f t="shared" si="271"/>
        <v>0.25</v>
      </c>
      <c r="L141" s="176">
        <f t="shared" si="272"/>
        <v>0.41</v>
      </c>
      <c r="M141" s="176">
        <f>+(G141/F141)*E141</f>
        <v>0.125</v>
      </c>
      <c r="N141" s="176">
        <f t="shared" si="273"/>
        <v>0.125</v>
      </c>
      <c r="O141" s="176"/>
      <c r="P141" s="236">
        <v>0.25</v>
      </c>
      <c r="Q141" s="541">
        <v>0.05</v>
      </c>
      <c r="R141" s="541">
        <v>0.03</v>
      </c>
      <c r="S141" s="541">
        <v>0.08</v>
      </c>
      <c r="T141" s="541">
        <v>0.05</v>
      </c>
      <c r="U141" s="541">
        <v>0</v>
      </c>
      <c r="V141" s="236">
        <f t="shared" si="173"/>
        <v>0.21000000000000002</v>
      </c>
      <c r="W141" s="236">
        <f>+V141+P141+AB141</f>
        <v>0.73330000000000006</v>
      </c>
      <c r="X141" s="541">
        <v>0.27329999999999999</v>
      </c>
      <c r="Y141" s="236"/>
      <c r="Z141" s="236"/>
      <c r="AA141" s="236"/>
      <c r="AB141" s="236">
        <f t="shared" si="274"/>
        <v>0.27329999999999999</v>
      </c>
      <c r="AC141" s="176">
        <f>+(P141/G141)</f>
        <v>1</v>
      </c>
      <c r="AD141" s="176">
        <f t="shared" si="247"/>
        <v>0.84000000000000008</v>
      </c>
      <c r="AE141" s="194">
        <f>+AB141/I141</f>
        <v>0.66658536585365857</v>
      </c>
      <c r="AF141" s="176">
        <f>+AC141*E141</f>
        <v>0.5</v>
      </c>
      <c r="AG141" s="176">
        <f t="shared" si="276"/>
        <v>0.42000000000000004</v>
      </c>
      <c r="AH141" s="176">
        <f t="shared" si="277"/>
        <v>0.33329268292682929</v>
      </c>
      <c r="AI141" s="176">
        <f>+P141/F141</f>
        <v>0.25</v>
      </c>
      <c r="AJ141" s="194">
        <v>0.46</v>
      </c>
      <c r="AK141" s="802">
        <f>+W141/1</f>
        <v>0.73330000000000006</v>
      </c>
      <c r="AL141" s="176">
        <f>+AI141*E141</f>
        <v>0.125</v>
      </c>
      <c r="AM141" s="176">
        <f>+AJ141*E141</f>
        <v>0.23</v>
      </c>
      <c r="AN141" s="176">
        <f t="shared" si="278"/>
        <v>0.36665000000000003</v>
      </c>
      <c r="AO141" s="284" t="s">
        <v>1869</v>
      </c>
      <c r="AP141" s="571" t="s">
        <v>1905</v>
      </c>
      <c r="AQ141" s="571" t="s">
        <v>2269</v>
      </c>
      <c r="AR141" s="571" t="s">
        <v>2313</v>
      </c>
      <c r="AS141" s="792" t="s">
        <v>2418</v>
      </c>
      <c r="AT141" s="792" t="s">
        <v>2438</v>
      </c>
      <c r="AU141" s="571" t="s">
        <v>2493</v>
      </c>
      <c r="AV141" s="571" t="s">
        <v>2558</v>
      </c>
    </row>
    <row r="142" spans="1:48" ht="67.2" customHeight="1" thickBot="1" x14ac:dyDescent="0.4">
      <c r="A142" s="151"/>
      <c r="B142" s="151"/>
      <c r="C142" s="151"/>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c r="AJ142" s="209"/>
      <c r="AK142" s="209"/>
      <c r="AL142" s="209"/>
      <c r="AM142" s="209"/>
      <c r="AN142" s="209"/>
      <c r="AO142" s="209"/>
      <c r="AP142" s="209"/>
      <c r="AQ142" s="209"/>
      <c r="AR142" s="209"/>
      <c r="AS142" s="209"/>
      <c r="AT142" s="209"/>
      <c r="AU142" s="209"/>
    </row>
    <row r="143" spans="1:48" ht="67.2" customHeight="1" thickBot="1" x14ac:dyDescent="0.4">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row>
    <row r="144" spans="1:48" ht="67.2" customHeight="1" thickBot="1" x14ac:dyDescent="0.4">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row>
    <row r="145" spans="1:47" ht="67.2" customHeight="1" thickBot="1" x14ac:dyDescent="0.4">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row>
    <row r="146" spans="1:47" ht="67.2" customHeight="1" thickBot="1" x14ac:dyDescent="0.4">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row>
    <row r="147" spans="1:47" ht="67.2" customHeight="1" thickBot="1" x14ac:dyDescent="0.4">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151"/>
      <c r="AL147" s="151"/>
      <c r="AM147" s="151"/>
      <c r="AN147" s="151"/>
      <c r="AO147" s="151"/>
      <c r="AP147" s="151"/>
      <c r="AQ147" s="151"/>
      <c r="AR147" s="151"/>
      <c r="AS147" s="151"/>
      <c r="AT147" s="151"/>
      <c r="AU147" s="151"/>
    </row>
    <row r="148" spans="1:47" ht="67.2" customHeight="1" thickBot="1" x14ac:dyDescent="0.4">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row>
    <row r="149" spans="1:47" ht="67.2" customHeight="1" thickBot="1" x14ac:dyDescent="0.4">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row>
    <row r="150" spans="1:47" ht="67.2" customHeight="1" thickBot="1" x14ac:dyDescent="0.4">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row>
    <row r="151" spans="1:47" ht="67.2" customHeight="1" thickBot="1" x14ac:dyDescent="0.4">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row>
    <row r="152" spans="1:47" ht="67.2" customHeight="1" thickBot="1" x14ac:dyDescent="0.4">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row>
    <row r="153" spans="1:47" ht="67.2" customHeight="1" thickBot="1" x14ac:dyDescent="0.4">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row>
    <row r="154" spans="1:47" ht="67.2" customHeight="1" thickBot="1" x14ac:dyDescent="0.4">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c r="AU154" s="151"/>
    </row>
    <row r="155" spans="1:47" ht="67.2" customHeight="1" thickBot="1" x14ac:dyDescent="0.4">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151"/>
      <c r="AL155" s="151"/>
      <c r="AM155" s="151"/>
      <c r="AN155" s="151"/>
      <c r="AO155" s="151"/>
      <c r="AP155" s="151"/>
      <c r="AQ155" s="151"/>
      <c r="AR155" s="151"/>
      <c r="AS155" s="151"/>
      <c r="AT155" s="151"/>
      <c r="AU155" s="151"/>
    </row>
    <row r="156" spans="1:47" ht="67.2" customHeight="1" thickBot="1" x14ac:dyDescent="0.4">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c r="AI156" s="151"/>
      <c r="AJ156" s="151"/>
      <c r="AK156" s="151"/>
      <c r="AL156" s="151"/>
      <c r="AM156" s="151"/>
      <c r="AN156" s="151"/>
      <c r="AO156" s="151"/>
      <c r="AP156" s="151"/>
      <c r="AQ156" s="151"/>
      <c r="AR156" s="151"/>
      <c r="AS156" s="151"/>
      <c r="AT156" s="151"/>
      <c r="AU156" s="151"/>
    </row>
    <row r="157" spans="1:47" ht="67.2" customHeight="1" thickBot="1" x14ac:dyDescent="0.4">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1"/>
      <c r="AJ157" s="151"/>
      <c r="AK157" s="151"/>
      <c r="AL157" s="151"/>
      <c r="AM157" s="151"/>
      <c r="AN157" s="151"/>
      <c r="AO157" s="151"/>
      <c r="AP157" s="151"/>
      <c r="AQ157" s="151"/>
      <c r="AR157" s="151"/>
      <c r="AS157" s="151"/>
      <c r="AT157" s="151"/>
      <c r="AU157" s="151"/>
    </row>
    <row r="158" spans="1:47" ht="67.2" customHeight="1" thickBot="1" x14ac:dyDescent="0.4">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row>
    <row r="159" spans="1:47" ht="67.2" customHeight="1" thickBot="1" x14ac:dyDescent="0.4">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151"/>
      <c r="AL159" s="151"/>
      <c r="AM159" s="151"/>
      <c r="AN159" s="151"/>
      <c r="AO159" s="151"/>
      <c r="AP159" s="151"/>
      <c r="AQ159" s="151"/>
      <c r="AR159" s="151"/>
      <c r="AS159" s="151"/>
      <c r="AT159" s="151"/>
      <c r="AU159" s="151"/>
    </row>
    <row r="160" spans="1:47" ht="67.2" customHeight="1" thickBot="1" x14ac:dyDescent="0.4">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151"/>
      <c r="AG160" s="151"/>
      <c r="AH160" s="151"/>
      <c r="AI160" s="151"/>
      <c r="AJ160" s="151"/>
      <c r="AK160" s="151"/>
      <c r="AL160" s="151"/>
      <c r="AM160" s="151"/>
      <c r="AN160" s="151"/>
      <c r="AO160" s="151"/>
      <c r="AP160" s="151"/>
      <c r="AQ160" s="151"/>
      <c r="AR160" s="151"/>
      <c r="AS160" s="151"/>
      <c r="AT160" s="151"/>
      <c r="AU160" s="151"/>
    </row>
    <row r="161" spans="1:47" ht="67.2" customHeight="1" thickBot="1" x14ac:dyDescent="0.4">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151"/>
      <c r="AL161" s="151"/>
      <c r="AM161" s="151"/>
      <c r="AN161" s="151"/>
      <c r="AO161" s="151"/>
      <c r="AP161" s="151"/>
      <c r="AQ161" s="151"/>
      <c r="AR161" s="151"/>
      <c r="AS161" s="151"/>
      <c r="AT161" s="151"/>
      <c r="AU161" s="151"/>
    </row>
    <row r="162" spans="1:47" ht="67.2" customHeight="1" thickBot="1" x14ac:dyDescent="0.4">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1"/>
      <c r="AJ162" s="151"/>
      <c r="AK162" s="151"/>
      <c r="AL162" s="151"/>
      <c r="AM162" s="151"/>
      <c r="AN162" s="151"/>
      <c r="AO162" s="151"/>
      <c r="AP162" s="151"/>
      <c r="AQ162" s="151"/>
      <c r="AR162" s="151"/>
      <c r="AS162" s="151"/>
      <c r="AT162" s="151"/>
      <c r="AU162" s="151"/>
    </row>
    <row r="163" spans="1:47" ht="67.2" customHeight="1" thickBot="1" x14ac:dyDescent="0.4">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1"/>
      <c r="AJ163" s="151"/>
      <c r="AK163" s="151"/>
      <c r="AL163" s="151"/>
      <c r="AM163" s="151"/>
      <c r="AN163" s="151"/>
      <c r="AO163" s="151"/>
      <c r="AP163" s="151"/>
      <c r="AQ163" s="151"/>
      <c r="AR163" s="151"/>
      <c r="AS163" s="151"/>
      <c r="AT163" s="151"/>
      <c r="AU163" s="151"/>
    </row>
    <row r="164" spans="1:47" ht="67.2" customHeight="1" thickBot="1" x14ac:dyDescent="0.4">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1"/>
      <c r="AS164" s="151"/>
      <c r="AT164" s="151"/>
      <c r="AU164" s="151"/>
    </row>
    <row r="165" spans="1:47" ht="67.2" customHeight="1" thickBot="1" x14ac:dyDescent="0.4">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row>
    <row r="166" spans="1:47" ht="67.2" customHeight="1" thickBot="1" x14ac:dyDescent="0.4">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row>
    <row r="167" spans="1:47" ht="67.2" customHeight="1" thickBot="1" x14ac:dyDescent="0.4">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1"/>
      <c r="AS167" s="151"/>
      <c r="AT167" s="151"/>
      <c r="AU167" s="151"/>
    </row>
    <row r="168" spans="1:47" ht="67.2" customHeight="1" thickBot="1" x14ac:dyDescent="0.4">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row>
    <row r="169" spans="1:47" ht="67.2" customHeight="1" thickBot="1" x14ac:dyDescent="0.4">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row>
    <row r="170" spans="1:47" ht="67.2" customHeight="1" thickBot="1" x14ac:dyDescent="0.4">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row>
    <row r="171" spans="1:47" ht="67.2" customHeight="1" thickBot="1" x14ac:dyDescent="0.4">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row>
    <row r="172" spans="1:47" ht="67.2" customHeight="1" thickBot="1" x14ac:dyDescent="0.4">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1"/>
      <c r="AJ172" s="151"/>
      <c r="AK172" s="151"/>
      <c r="AL172" s="151"/>
      <c r="AM172" s="151"/>
      <c r="AN172" s="151"/>
      <c r="AO172" s="151"/>
      <c r="AP172" s="151"/>
      <c r="AQ172" s="151"/>
      <c r="AR172" s="151"/>
      <c r="AS172" s="151"/>
      <c r="AT172" s="151"/>
      <c r="AU172" s="151"/>
    </row>
    <row r="173" spans="1:47" ht="67.2" customHeight="1" thickBot="1" x14ac:dyDescent="0.4">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1"/>
      <c r="AK173" s="151"/>
      <c r="AL173" s="151"/>
      <c r="AM173" s="151"/>
      <c r="AN173" s="151"/>
      <c r="AO173" s="151"/>
      <c r="AP173" s="151"/>
      <c r="AQ173" s="151"/>
      <c r="AR173" s="151"/>
      <c r="AS173" s="151"/>
      <c r="AT173" s="151"/>
      <c r="AU173" s="151"/>
    </row>
    <row r="174" spans="1:47" ht="67.2" customHeight="1" thickBot="1" x14ac:dyDescent="0.4">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1"/>
      <c r="AS174" s="151"/>
      <c r="AT174" s="151"/>
      <c r="AU174" s="151"/>
    </row>
    <row r="175" spans="1:47" ht="67.2" customHeight="1" thickBot="1" x14ac:dyDescent="0.4">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1"/>
      <c r="AS175" s="151"/>
      <c r="AT175" s="151"/>
      <c r="AU175" s="151"/>
    </row>
    <row r="176" spans="1:47" ht="67.2" customHeight="1" thickBot="1" x14ac:dyDescent="0.4">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c r="AT176" s="151"/>
      <c r="AU176" s="151"/>
    </row>
    <row r="177" spans="1:47" ht="67.2" customHeight="1" thickBot="1" x14ac:dyDescent="0.4">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1"/>
      <c r="AK177" s="151"/>
      <c r="AL177" s="151"/>
      <c r="AM177" s="151"/>
      <c r="AN177" s="151"/>
      <c r="AO177" s="151"/>
      <c r="AP177" s="151"/>
      <c r="AQ177" s="151"/>
      <c r="AR177" s="151"/>
      <c r="AS177" s="151"/>
      <c r="AT177" s="151"/>
      <c r="AU177" s="151"/>
    </row>
    <row r="178" spans="1:47" ht="67.2" customHeight="1" thickBot="1" x14ac:dyDescent="0.4">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1"/>
      <c r="AS178" s="151"/>
      <c r="AT178" s="151"/>
      <c r="AU178" s="151"/>
    </row>
    <row r="179" spans="1:47" ht="67.2" customHeight="1" thickBot="1" x14ac:dyDescent="0.4">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1"/>
      <c r="AJ179" s="151"/>
      <c r="AK179" s="151"/>
      <c r="AL179" s="151"/>
      <c r="AM179" s="151"/>
      <c r="AN179" s="151"/>
      <c r="AO179" s="151"/>
      <c r="AP179" s="151"/>
      <c r="AQ179" s="151"/>
      <c r="AR179" s="151"/>
      <c r="AS179" s="151"/>
      <c r="AT179" s="151"/>
      <c r="AU179" s="151"/>
    </row>
    <row r="180" spans="1:47" ht="67.2" customHeight="1" thickBot="1" x14ac:dyDescent="0.4">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row>
    <row r="181" spans="1:47" ht="67.2" customHeight="1" thickBot="1" x14ac:dyDescent="0.4">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row>
    <row r="182" spans="1:47" ht="67.2" customHeight="1" thickBot="1" x14ac:dyDescent="0.4">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row>
    <row r="183" spans="1:47" ht="67.2" customHeight="1" thickBot="1" x14ac:dyDescent="0.4">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row>
    <row r="184" spans="1:47" ht="67.2" customHeight="1" thickBot="1" x14ac:dyDescent="0.4">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row>
    <row r="185" spans="1:47" ht="67.2" customHeight="1" thickBot="1" x14ac:dyDescent="0.4">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1"/>
      <c r="AJ185" s="151"/>
      <c r="AK185" s="151"/>
      <c r="AL185" s="151"/>
      <c r="AM185" s="151"/>
      <c r="AN185" s="151"/>
      <c r="AO185" s="151"/>
      <c r="AP185" s="151"/>
      <c r="AQ185" s="151"/>
      <c r="AR185" s="151"/>
      <c r="AS185" s="151"/>
      <c r="AT185" s="151"/>
      <c r="AU185" s="151"/>
    </row>
    <row r="186" spans="1:47" ht="67.2" customHeight="1" thickBot="1" x14ac:dyDescent="0.4">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1"/>
      <c r="AS186" s="151"/>
      <c r="AT186" s="151"/>
      <c r="AU186" s="151"/>
    </row>
    <row r="187" spans="1:47" ht="67.2" customHeight="1" thickBot="1" x14ac:dyDescent="0.4">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151"/>
      <c r="AL187" s="151"/>
      <c r="AM187" s="151"/>
      <c r="AN187" s="151"/>
      <c r="AO187" s="151"/>
      <c r="AP187" s="151"/>
      <c r="AQ187" s="151"/>
      <c r="AR187" s="151"/>
      <c r="AS187" s="151"/>
      <c r="AT187" s="151"/>
      <c r="AU187" s="151"/>
    </row>
    <row r="188" spans="1:47" ht="67.2" customHeight="1" thickBot="1" x14ac:dyDescent="0.4">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row>
    <row r="189" spans="1:47" ht="67.2" customHeight="1" thickBot="1" x14ac:dyDescent="0.4">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151"/>
      <c r="AL189" s="151"/>
      <c r="AM189" s="151"/>
      <c r="AN189" s="151"/>
      <c r="AO189" s="151"/>
      <c r="AP189" s="151"/>
      <c r="AQ189" s="151"/>
      <c r="AR189" s="151"/>
      <c r="AS189" s="151"/>
      <c r="AT189" s="151"/>
      <c r="AU189" s="151"/>
    </row>
    <row r="190" spans="1:47" ht="67.2" customHeight="1" thickBot="1" x14ac:dyDescent="0.4">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1"/>
      <c r="AK190" s="151"/>
      <c r="AL190" s="151"/>
      <c r="AM190" s="151"/>
      <c r="AN190" s="151"/>
      <c r="AO190" s="151"/>
      <c r="AP190" s="151"/>
      <c r="AQ190" s="151"/>
      <c r="AR190" s="151"/>
      <c r="AS190" s="151"/>
      <c r="AT190" s="151"/>
      <c r="AU190" s="151"/>
    </row>
    <row r="191" spans="1:47" ht="67.2" customHeight="1" thickBot="1" x14ac:dyDescent="0.4">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1"/>
      <c r="AK191" s="151"/>
      <c r="AL191" s="151"/>
      <c r="AM191" s="151"/>
      <c r="AN191" s="151"/>
      <c r="AO191" s="151"/>
      <c r="AP191" s="151"/>
      <c r="AQ191" s="151"/>
      <c r="AR191" s="151"/>
      <c r="AS191" s="151"/>
      <c r="AT191" s="151"/>
      <c r="AU191" s="151"/>
    </row>
    <row r="192" spans="1:47" ht="67.2" customHeight="1" thickBot="1" x14ac:dyDescent="0.4">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1"/>
      <c r="AK192" s="151"/>
      <c r="AL192" s="151"/>
      <c r="AM192" s="151"/>
      <c r="AN192" s="151"/>
      <c r="AO192" s="151"/>
      <c r="AP192" s="151"/>
      <c r="AQ192" s="151"/>
      <c r="AR192" s="151"/>
      <c r="AS192" s="151"/>
      <c r="AT192" s="151"/>
      <c r="AU192" s="151"/>
    </row>
    <row r="193" spans="1:47" ht="67.2" customHeight="1" thickBot="1" x14ac:dyDescent="0.4">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row>
    <row r="194" spans="1:47" ht="67.2" customHeight="1" thickBot="1" x14ac:dyDescent="0.4">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row>
    <row r="195" spans="1:47" ht="67.2" customHeight="1" thickBot="1" x14ac:dyDescent="0.4">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row>
    <row r="196" spans="1:47" ht="67.2" customHeight="1" thickBot="1" x14ac:dyDescent="0.4">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row>
    <row r="197" spans="1:47" ht="67.2" customHeight="1" thickBot="1" x14ac:dyDescent="0.4">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row>
    <row r="198" spans="1:47" ht="67.2" customHeight="1" thickBot="1" x14ac:dyDescent="0.4">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row>
    <row r="199" spans="1:47" ht="67.2" customHeight="1" thickBot="1" x14ac:dyDescent="0.4">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row>
    <row r="200" spans="1:47" ht="67.2" customHeight="1" thickBot="1" x14ac:dyDescent="0.4">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row>
    <row r="201" spans="1:47" ht="67.2" customHeight="1" thickBot="1" x14ac:dyDescent="0.4">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1"/>
      <c r="AK201" s="151"/>
      <c r="AL201" s="151"/>
      <c r="AM201" s="151"/>
      <c r="AN201" s="151"/>
      <c r="AO201" s="151"/>
      <c r="AP201" s="151"/>
      <c r="AQ201" s="151"/>
      <c r="AR201" s="151"/>
      <c r="AS201" s="151"/>
      <c r="AT201" s="151"/>
      <c r="AU201" s="151"/>
    </row>
    <row r="202" spans="1:47" ht="67.2" customHeight="1" thickBot="1" x14ac:dyDescent="0.4">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row>
    <row r="203" spans="1:47" ht="67.2" customHeight="1" thickBot="1" x14ac:dyDescent="0.4">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row>
    <row r="204" spans="1:47" ht="67.2" customHeight="1" thickBot="1" x14ac:dyDescent="0.4">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row>
    <row r="205" spans="1:47" ht="67.2" customHeight="1" thickBot="1" x14ac:dyDescent="0.4">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151"/>
      <c r="AL205" s="151"/>
      <c r="AM205" s="151"/>
      <c r="AN205" s="151"/>
      <c r="AO205" s="151"/>
      <c r="AP205" s="151"/>
      <c r="AQ205" s="151"/>
      <c r="AR205" s="151"/>
      <c r="AS205" s="151"/>
      <c r="AT205" s="151"/>
      <c r="AU205" s="151"/>
    </row>
    <row r="206" spans="1:47" ht="67.2" customHeight="1" thickBot="1" x14ac:dyDescent="0.4">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row>
    <row r="207" spans="1:47" ht="67.2" customHeight="1" thickBot="1" x14ac:dyDescent="0.4">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row>
    <row r="208" spans="1:47" ht="67.2" customHeight="1" thickBot="1" x14ac:dyDescent="0.4">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1"/>
      <c r="AK208" s="151"/>
      <c r="AL208" s="151"/>
      <c r="AM208" s="151"/>
      <c r="AN208" s="151"/>
      <c r="AO208" s="151"/>
      <c r="AP208" s="151"/>
      <c r="AQ208" s="151"/>
      <c r="AR208" s="151"/>
      <c r="AS208" s="151"/>
      <c r="AT208" s="151"/>
      <c r="AU208" s="151"/>
    </row>
    <row r="209" spans="1:47" ht="67.2" customHeight="1" thickBot="1" x14ac:dyDescent="0.4">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1"/>
      <c r="AK209" s="151"/>
      <c r="AL209" s="151"/>
      <c r="AM209" s="151"/>
      <c r="AN209" s="151"/>
      <c r="AO209" s="151"/>
      <c r="AP209" s="151"/>
      <c r="AQ209" s="151"/>
      <c r="AR209" s="151"/>
      <c r="AS209" s="151"/>
      <c r="AT209" s="151"/>
      <c r="AU209" s="151"/>
    </row>
    <row r="210" spans="1:47" ht="67.2" customHeight="1" thickBot="1" x14ac:dyDescent="0.4">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row>
    <row r="211" spans="1:47" ht="67.2" customHeight="1" thickBot="1" x14ac:dyDescent="0.4">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1"/>
      <c r="AK211" s="151"/>
      <c r="AL211" s="151"/>
      <c r="AM211" s="151"/>
      <c r="AN211" s="151"/>
      <c r="AO211" s="151"/>
      <c r="AP211" s="151"/>
      <c r="AQ211" s="151"/>
      <c r="AR211" s="151"/>
      <c r="AS211" s="151"/>
      <c r="AT211" s="151"/>
      <c r="AU211" s="151"/>
    </row>
    <row r="212" spans="1:47" ht="67.2" customHeight="1" thickBot="1" x14ac:dyDescent="0.4">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row>
    <row r="213" spans="1:47" ht="67.2" customHeight="1" thickBot="1" x14ac:dyDescent="0.4">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1"/>
      <c r="AS213" s="151"/>
      <c r="AT213" s="151"/>
      <c r="AU213" s="151"/>
    </row>
    <row r="214" spans="1:47" ht="67.2" customHeight="1" thickBot="1" x14ac:dyDescent="0.4">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row>
    <row r="215" spans="1:47" ht="67.2" customHeight="1" thickBot="1" x14ac:dyDescent="0.4">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1"/>
      <c r="AS215" s="151"/>
      <c r="AT215" s="151"/>
      <c r="AU215" s="151"/>
    </row>
    <row r="216" spans="1:47" ht="67.2" customHeight="1" thickBot="1" x14ac:dyDescent="0.4">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row>
    <row r="217" spans="1:47" ht="67.2" customHeight="1" thickBot="1" x14ac:dyDescent="0.4">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1"/>
      <c r="AJ217" s="151"/>
      <c r="AK217" s="151"/>
      <c r="AL217" s="151"/>
      <c r="AM217" s="151"/>
      <c r="AN217" s="151"/>
      <c r="AO217" s="151"/>
      <c r="AP217" s="151"/>
      <c r="AQ217" s="151"/>
      <c r="AR217" s="151"/>
      <c r="AS217" s="151"/>
      <c r="AT217" s="151"/>
      <c r="AU217" s="151"/>
    </row>
    <row r="218" spans="1:47" ht="67.2" customHeight="1" thickBot="1" x14ac:dyDescent="0.4">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1"/>
      <c r="AK218" s="151"/>
      <c r="AL218" s="151"/>
      <c r="AM218" s="151"/>
      <c r="AN218" s="151"/>
      <c r="AO218" s="151"/>
      <c r="AP218" s="151"/>
      <c r="AQ218" s="151"/>
      <c r="AR218" s="151"/>
      <c r="AS218" s="151"/>
      <c r="AT218" s="151"/>
      <c r="AU218" s="151"/>
    </row>
    <row r="219" spans="1:47" ht="67.2" customHeight="1" thickBot="1" x14ac:dyDescent="0.4">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row>
    <row r="220" spans="1:47" ht="67.2" customHeight="1" thickBot="1" x14ac:dyDescent="0.4">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row>
    <row r="221" spans="1:47" ht="67.2" customHeight="1" thickBot="1" x14ac:dyDescent="0.4">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1"/>
      <c r="AJ221" s="151"/>
      <c r="AK221" s="151"/>
      <c r="AL221" s="151"/>
      <c r="AM221" s="151"/>
      <c r="AN221" s="151"/>
      <c r="AO221" s="151"/>
      <c r="AP221" s="151"/>
      <c r="AQ221" s="151"/>
      <c r="AR221" s="151"/>
      <c r="AS221" s="151"/>
      <c r="AT221" s="151"/>
      <c r="AU221" s="151"/>
    </row>
    <row r="222" spans="1:47" ht="67.2" customHeight="1" thickBot="1" x14ac:dyDescent="0.4">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1"/>
      <c r="AI222" s="151"/>
      <c r="AJ222" s="151"/>
      <c r="AK222" s="151"/>
      <c r="AL222" s="151"/>
      <c r="AM222" s="151"/>
      <c r="AN222" s="151"/>
      <c r="AO222" s="151"/>
      <c r="AP222" s="151"/>
      <c r="AQ222" s="151"/>
      <c r="AR222" s="151"/>
      <c r="AS222" s="151"/>
      <c r="AT222" s="151"/>
      <c r="AU222" s="151"/>
    </row>
    <row r="223" spans="1:47" ht="67.2" customHeight="1" thickBot="1" x14ac:dyDescent="0.4">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row>
    <row r="224" spans="1:47" ht="67.2" customHeight="1" thickBot="1" x14ac:dyDescent="0.4">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1"/>
      <c r="AK224" s="151"/>
      <c r="AL224" s="151"/>
      <c r="AM224" s="151"/>
      <c r="AN224" s="151"/>
      <c r="AO224" s="151"/>
      <c r="AP224" s="151"/>
      <c r="AQ224" s="151"/>
      <c r="AR224" s="151"/>
      <c r="AS224" s="151"/>
      <c r="AT224" s="151"/>
      <c r="AU224" s="151"/>
    </row>
    <row r="225" spans="1:47" ht="67.2" customHeight="1" thickBot="1" x14ac:dyDescent="0.4">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1"/>
      <c r="AK225" s="151"/>
      <c r="AL225" s="151"/>
      <c r="AM225" s="151"/>
      <c r="AN225" s="151"/>
      <c r="AO225" s="151"/>
      <c r="AP225" s="151"/>
      <c r="AQ225" s="151"/>
      <c r="AR225" s="151"/>
      <c r="AS225" s="151"/>
      <c r="AT225" s="151"/>
      <c r="AU225" s="151"/>
    </row>
    <row r="226" spans="1:47" ht="67.2" customHeight="1" thickBot="1" x14ac:dyDescent="0.4">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1"/>
      <c r="AJ226" s="151"/>
      <c r="AK226" s="151"/>
      <c r="AL226" s="151"/>
      <c r="AM226" s="151"/>
      <c r="AN226" s="151"/>
      <c r="AO226" s="151"/>
      <c r="AP226" s="151"/>
      <c r="AQ226" s="151"/>
      <c r="AR226" s="151"/>
      <c r="AS226" s="151"/>
      <c r="AT226" s="151"/>
      <c r="AU226" s="151"/>
    </row>
    <row r="227" spans="1:47" ht="67.2" customHeight="1" thickBot="1" x14ac:dyDescent="0.4">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1"/>
      <c r="AS227" s="151"/>
      <c r="AT227" s="151"/>
      <c r="AU227" s="151"/>
    </row>
    <row r="228" spans="1:47" ht="67.2" customHeight="1" thickBot="1" x14ac:dyDescent="0.4">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1"/>
      <c r="AS228" s="151"/>
      <c r="AT228" s="151"/>
      <c r="AU228" s="151"/>
    </row>
    <row r="229" spans="1:47" ht="67.2" customHeight="1" thickBot="1" x14ac:dyDescent="0.4">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row>
    <row r="230" spans="1:47" ht="67.2" customHeight="1" thickBot="1" x14ac:dyDescent="0.4">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row>
    <row r="231" spans="1:47" ht="67.2" customHeight="1" thickBot="1" x14ac:dyDescent="0.4">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row>
    <row r="232" spans="1:47" ht="67.2" customHeight="1" thickBot="1" x14ac:dyDescent="0.4">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1"/>
      <c r="AI232" s="151"/>
      <c r="AJ232" s="151"/>
      <c r="AK232" s="151"/>
      <c r="AL232" s="151"/>
      <c r="AM232" s="151"/>
      <c r="AN232" s="151"/>
      <c r="AO232" s="151"/>
      <c r="AP232" s="151"/>
      <c r="AQ232" s="151"/>
      <c r="AR232" s="151"/>
      <c r="AS232" s="151"/>
      <c r="AT232" s="151"/>
      <c r="AU232" s="151"/>
    </row>
    <row r="233" spans="1:47" ht="67.2" customHeight="1" thickBot="1" x14ac:dyDescent="0.4">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1"/>
      <c r="AJ233" s="151"/>
      <c r="AK233" s="151"/>
      <c r="AL233" s="151"/>
      <c r="AM233" s="151"/>
      <c r="AN233" s="151"/>
      <c r="AO233" s="151"/>
      <c r="AP233" s="151"/>
      <c r="AQ233" s="151"/>
      <c r="AR233" s="151"/>
      <c r="AS233" s="151"/>
      <c r="AT233" s="151"/>
      <c r="AU233" s="151"/>
    </row>
    <row r="234" spans="1:47" ht="67.2" customHeight="1" thickBot="1" x14ac:dyDescent="0.4">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row>
    <row r="235" spans="1:47" ht="67.2" customHeight="1" thickBot="1" x14ac:dyDescent="0.4">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151"/>
      <c r="AL235" s="151"/>
      <c r="AM235" s="151"/>
      <c r="AN235" s="151"/>
      <c r="AO235" s="151"/>
      <c r="AP235" s="151"/>
      <c r="AQ235" s="151"/>
      <c r="AR235" s="151"/>
      <c r="AS235" s="151"/>
      <c r="AT235" s="151"/>
      <c r="AU235" s="151"/>
    </row>
    <row r="236" spans="1:47" ht="67.2" customHeight="1" thickBot="1" x14ac:dyDescent="0.4">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1"/>
      <c r="AI236" s="151"/>
      <c r="AJ236" s="151"/>
      <c r="AK236" s="151"/>
      <c r="AL236" s="151"/>
      <c r="AM236" s="151"/>
      <c r="AN236" s="151"/>
      <c r="AO236" s="151"/>
      <c r="AP236" s="151"/>
      <c r="AQ236" s="151"/>
      <c r="AR236" s="151"/>
      <c r="AS236" s="151"/>
      <c r="AT236" s="151"/>
      <c r="AU236" s="151"/>
    </row>
    <row r="237" spans="1:47" ht="67.2" customHeight="1" thickBot="1" x14ac:dyDescent="0.4">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151"/>
      <c r="AL237" s="151"/>
      <c r="AM237" s="151"/>
      <c r="AN237" s="151"/>
      <c r="AO237" s="151"/>
      <c r="AP237" s="151"/>
      <c r="AQ237" s="151"/>
      <c r="AR237" s="151"/>
      <c r="AS237" s="151"/>
      <c r="AT237" s="151"/>
      <c r="AU237" s="151"/>
    </row>
    <row r="238" spans="1:47" ht="67.2" customHeight="1" thickBot="1" x14ac:dyDescent="0.4">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1"/>
      <c r="AK238" s="151"/>
      <c r="AL238" s="151"/>
      <c r="AM238" s="151"/>
      <c r="AN238" s="151"/>
      <c r="AO238" s="151"/>
      <c r="AP238" s="151"/>
      <c r="AQ238" s="151"/>
      <c r="AR238" s="151"/>
      <c r="AS238" s="151"/>
      <c r="AT238" s="151"/>
      <c r="AU238" s="151"/>
    </row>
    <row r="239" spans="1:47" ht="67.2" customHeight="1" thickBot="1" x14ac:dyDescent="0.4">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51"/>
      <c r="AQ239" s="151"/>
      <c r="AR239" s="151"/>
      <c r="AS239" s="151"/>
      <c r="AT239" s="151"/>
      <c r="AU239" s="151"/>
    </row>
    <row r="240" spans="1:47" ht="67.2" customHeight="1" thickBot="1" x14ac:dyDescent="0.4">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1"/>
      <c r="AJ240" s="151"/>
      <c r="AK240" s="151"/>
      <c r="AL240" s="151"/>
      <c r="AM240" s="151"/>
      <c r="AN240" s="151"/>
      <c r="AO240" s="151"/>
      <c r="AP240" s="151"/>
      <c r="AQ240" s="151"/>
      <c r="AR240" s="151"/>
      <c r="AS240" s="151"/>
      <c r="AT240" s="151"/>
      <c r="AU240" s="151"/>
    </row>
    <row r="241" spans="1:47" ht="67.2" customHeight="1" thickBot="1" x14ac:dyDescent="0.4">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c r="AP241" s="151"/>
      <c r="AQ241" s="151"/>
      <c r="AR241" s="151"/>
      <c r="AS241" s="151"/>
      <c r="AT241" s="151"/>
      <c r="AU241" s="151"/>
    </row>
    <row r="242" spans="1:47" ht="67.2" customHeight="1" thickBot="1" x14ac:dyDescent="0.4">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1"/>
      <c r="AI242" s="151"/>
      <c r="AJ242" s="151"/>
      <c r="AK242" s="151"/>
      <c r="AL242" s="151"/>
      <c r="AM242" s="151"/>
      <c r="AN242" s="151"/>
      <c r="AO242" s="151"/>
      <c r="AP242" s="151"/>
      <c r="AQ242" s="151"/>
      <c r="AR242" s="151"/>
      <c r="AS242" s="151"/>
      <c r="AT242" s="151"/>
      <c r="AU242" s="151"/>
    </row>
    <row r="243" spans="1:47" ht="67.2" customHeight="1" thickBot="1" x14ac:dyDescent="0.4">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1"/>
      <c r="AJ243" s="151"/>
      <c r="AK243" s="151"/>
      <c r="AL243" s="151"/>
      <c r="AM243" s="151"/>
      <c r="AN243" s="151"/>
      <c r="AO243" s="151"/>
      <c r="AP243" s="151"/>
      <c r="AQ243" s="151"/>
      <c r="AR243" s="151"/>
      <c r="AS243" s="151"/>
      <c r="AT243" s="151"/>
      <c r="AU243" s="151"/>
    </row>
    <row r="244" spans="1:47" ht="67.2" customHeight="1" thickBot="1" x14ac:dyDescent="0.4">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1"/>
      <c r="AI244" s="151"/>
      <c r="AJ244" s="151"/>
      <c r="AK244" s="151"/>
      <c r="AL244" s="151"/>
      <c r="AM244" s="151"/>
      <c r="AN244" s="151"/>
      <c r="AO244" s="151"/>
      <c r="AP244" s="151"/>
      <c r="AQ244" s="151"/>
      <c r="AR244" s="151"/>
      <c r="AS244" s="151"/>
      <c r="AT244" s="151"/>
      <c r="AU244" s="151"/>
    </row>
    <row r="245" spans="1:47" ht="67.2" customHeight="1" thickBot="1" x14ac:dyDescent="0.4">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1"/>
      <c r="AS245" s="151"/>
      <c r="AT245" s="151"/>
      <c r="AU245" s="151"/>
    </row>
    <row r="246" spans="1:47" ht="67.2" customHeight="1" thickBot="1" x14ac:dyDescent="0.4">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row>
    <row r="247" spans="1:47" ht="67.2" customHeight="1" thickBot="1" x14ac:dyDescent="0.4">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1"/>
      <c r="AK247" s="151"/>
      <c r="AL247" s="151"/>
      <c r="AM247" s="151"/>
      <c r="AN247" s="151"/>
      <c r="AO247" s="151"/>
      <c r="AP247" s="151"/>
      <c r="AQ247" s="151"/>
      <c r="AR247" s="151"/>
      <c r="AS247" s="151"/>
      <c r="AT247" s="151"/>
      <c r="AU247" s="151"/>
    </row>
    <row r="248" spans="1:47" ht="67.2" customHeight="1" thickBot="1" x14ac:dyDescent="0.4">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row>
    <row r="249" spans="1:47" ht="67.2" customHeight="1" thickBot="1" x14ac:dyDescent="0.4">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row>
    <row r="250" spans="1:47" ht="67.2" customHeight="1" thickBot="1" x14ac:dyDescent="0.4">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row>
    <row r="251" spans="1:47" ht="67.2" customHeight="1" thickBot="1" x14ac:dyDescent="0.4">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row>
    <row r="252" spans="1:47" ht="67.2" customHeight="1" thickBot="1" x14ac:dyDescent="0.4">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row>
    <row r="253" spans="1:47" ht="67.2" customHeight="1" thickBot="1" x14ac:dyDescent="0.4">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row>
    <row r="254" spans="1:47" ht="67.2" customHeight="1" thickBot="1" x14ac:dyDescent="0.4">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c r="AS254" s="151"/>
      <c r="AT254" s="151"/>
      <c r="AU254" s="151"/>
    </row>
    <row r="255" spans="1:47" ht="67.2" customHeight="1" thickBot="1" x14ac:dyDescent="0.4">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row>
    <row r="256" spans="1:47" ht="67.2" customHeight="1" thickBot="1" x14ac:dyDescent="0.4">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row>
    <row r="257" spans="1:47" ht="67.2" customHeight="1" thickBot="1" x14ac:dyDescent="0.4">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1"/>
      <c r="AK257" s="151"/>
      <c r="AL257" s="151"/>
      <c r="AM257" s="151"/>
      <c r="AN257" s="151"/>
      <c r="AO257" s="151"/>
      <c r="AP257" s="151"/>
      <c r="AQ257" s="151"/>
      <c r="AR257" s="151"/>
      <c r="AS257" s="151"/>
      <c r="AT257" s="151"/>
      <c r="AU257" s="151"/>
    </row>
    <row r="258" spans="1:47" ht="67.2" customHeight="1" thickBot="1" x14ac:dyDescent="0.4">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1"/>
      <c r="AJ258" s="151"/>
      <c r="AK258" s="151"/>
      <c r="AL258" s="151"/>
      <c r="AM258" s="151"/>
      <c r="AN258" s="151"/>
      <c r="AO258" s="151"/>
      <c r="AP258" s="151"/>
      <c r="AQ258" s="151"/>
      <c r="AR258" s="151"/>
      <c r="AS258" s="151"/>
      <c r="AT258" s="151"/>
      <c r="AU258" s="151"/>
    </row>
    <row r="259" spans="1:47" ht="67.2" customHeight="1" thickBot="1" x14ac:dyDescent="0.4">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1"/>
      <c r="AK259" s="151"/>
      <c r="AL259" s="151"/>
      <c r="AM259" s="151"/>
      <c r="AN259" s="151"/>
      <c r="AO259" s="151"/>
      <c r="AP259" s="151"/>
      <c r="AQ259" s="151"/>
      <c r="AR259" s="151"/>
      <c r="AS259" s="151"/>
      <c r="AT259" s="151"/>
      <c r="AU259" s="151"/>
    </row>
    <row r="260" spans="1:47" ht="67.2" customHeight="1" thickBot="1" x14ac:dyDescent="0.4">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1"/>
      <c r="AI260" s="151"/>
      <c r="AJ260" s="151"/>
      <c r="AK260" s="151"/>
      <c r="AL260" s="151"/>
      <c r="AM260" s="151"/>
      <c r="AN260" s="151"/>
      <c r="AO260" s="151"/>
      <c r="AP260" s="151"/>
      <c r="AQ260" s="151"/>
      <c r="AR260" s="151"/>
      <c r="AS260" s="151"/>
      <c r="AT260" s="151"/>
      <c r="AU260" s="151"/>
    </row>
    <row r="261" spans="1:47" ht="67.2" customHeight="1" thickBot="1" x14ac:dyDescent="0.4">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1"/>
      <c r="AJ261" s="151"/>
      <c r="AK261" s="151"/>
      <c r="AL261" s="151"/>
      <c r="AM261" s="151"/>
      <c r="AN261" s="151"/>
      <c r="AO261" s="151"/>
      <c r="AP261" s="151"/>
      <c r="AQ261" s="151"/>
      <c r="AR261" s="151"/>
      <c r="AS261" s="151"/>
      <c r="AT261" s="151"/>
      <c r="AU261" s="151"/>
    </row>
    <row r="262" spans="1:47" ht="67.2" customHeight="1" thickBot="1" x14ac:dyDescent="0.4">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row>
    <row r="263" spans="1:47" ht="67.2" customHeight="1" thickBot="1" x14ac:dyDescent="0.4">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1"/>
      <c r="AJ263" s="151"/>
      <c r="AK263" s="151"/>
      <c r="AL263" s="151"/>
      <c r="AM263" s="151"/>
      <c r="AN263" s="151"/>
      <c r="AO263" s="151"/>
      <c r="AP263" s="151"/>
      <c r="AQ263" s="151"/>
      <c r="AR263" s="151"/>
      <c r="AS263" s="151"/>
      <c r="AT263" s="151"/>
      <c r="AU263" s="151"/>
    </row>
    <row r="264" spans="1:47" ht="67.2" customHeight="1" thickBot="1" x14ac:dyDescent="0.4">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1"/>
      <c r="AJ264" s="151"/>
      <c r="AK264" s="151"/>
      <c r="AL264" s="151"/>
      <c r="AM264" s="151"/>
      <c r="AN264" s="151"/>
      <c r="AO264" s="151"/>
      <c r="AP264" s="151"/>
      <c r="AQ264" s="151"/>
      <c r="AR264" s="151"/>
      <c r="AS264" s="151"/>
      <c r="AT264" s="151"/>
      <c r="AU264" s="151"/>
    </row>
    <row r="265" spans="1:47" ht="67.2" customHeight="1" thickBot="1" x14ac:dyDescent="0.4">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row>
    <row r="266" spans="1:47" ht="67.2" customHeight="1" thickBot="1" x14ac:dyDescent="0.4">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1"/>
      <c r="AI266" s="151"/>
      <c r="AJ266" s="151"/>
      <c r="AK266" s="151"/>
      <c r="AL266" s="151"/>
      <c r="AM266" s="151"/>
      <c r="AN266" s="151"/>
      <c r="AO266" s="151"/>
      <c r="AP266" s="151"/>
      <c r="AQ266" s="151"/>
      <c r="AR266" s="151"/>
      <c r="AS266" s="151"/>
      <c r="AT266" s="151"/>
      <c r="AU266" s="151"/>
    </row>
    <row r="267" spans="1:47" ht="67.2" customHeight="1" thickBot="1" x14ac:dyDescent="0.4">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1"/>
      <c r="AJ267" s="151"/>
      <c r="AK267" s="151"/>
      <c r="AL267" s="151"/>
      <c r="AM267" s="151"/>
      <c r="AN267" s="151"/>
      <c r="AO267" s="151"/>
      <c r="AP267" s="151"/>
      <c r="AQ267" s="151"/>
      <c r="AR267" s="151"/>
      <c r="AS267" s="151"/>
      <c r="AT267" s="151"/>
      <c r="AU267" s="151"/>
    </row>
    <row r="268" spans="1:47" ht="67.2" customHeight="1" thickBot="1" x14ac:dyDescent="0.4">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1"/>
      <c r="AJ268" s="151"/>
      <c r="AK268" s="151"/>
      <c r="AL268" s="151"/>
      <c r="AM268" s="151"/>
      <c r="AN268" s="151"/>
      <c r="AO268" s="151"/>
      <c r="AP268" s="151"/>
      <c r="AQ268" s="151"/>
      <c r="AR268" s="151"/>
      <c r="AS268" s="151"/>
      <c r="AT268" s="151"/>
      <c r="AU268" s="151"/>
    </row>
    <row r="269" spans="1:47" ht="67.2" customHeight="1" thickBot="1" x14ac:dyDescent="0.4">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1"/>
      <c r="AJ269" s="151"/>
      <c r="AK269" s="151"/>
      <c r="AL269" s="151"/>
      <c r="AM269" s="151"/>
      <c r="AN269" s="151"/>
      <c r="AO269" s="151"/>
      <c r="AP269" s="151"/>
      <c r="AQ269" s="151"/>
      <c r="AR269" s="151"/>
      <c r="AS269" s="151"/>
      <c r="AT269" s="151"/>
      <c r="AU269" s="151"/>
    </row>
    <row r="270" spans="1:47" ht="67.2" customHeight="1" thickBot="1" x14ac:dyDescent="0.4">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1"/>
      <c r="AI270" s="151"/>
      <c r="AJ270" s="151"/>
      <c r="AK270" s="151"/>
      <c r="AL270" s="151"/>
      <c r="AM270" s="151"/>
      <c r="AN270" s="151"/>
      <c r="AO270" s="151"/>
      <c r="AP270" s="151"/>
      <c r="AQ270" s="151"/>
      <c r="AR270" s="151"/>
      <c r="AS270" s="151"/>
      <c r="AT270" s="151"/>
      <c r="AU270" s="151"/>
    </row>
    <row r="271" spans="1:47" ht="67.2" customHeight="1" thickBot="1" x14ac:dyDescent="0.4">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1"/>
      <c r="AI271" s="151"/>
      <c r="AJ271" s="151"/>
      <c r="AK271" s="151"/>
      <c r="AL271" s="151"/>
      <c r="AM271" s="151"/>
      <c r="AN271" s="151"/>
      <c r="AO271" s="151"/>
      <c r="AP271" s="151"/>
      <c r="AQ271" s="151"/>
      <c r="AR271" s="151"/>
      <c r="AS271" s="151"/>
      <c r="AT271" s="151"/>
      <c r="AU271" s="151"/>
    </row>
    <row r="272" spans="1:47" ht="67.2" customHeight="1" thickBot="1" x14ac:dyDescent="0.4">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1"/>
      <c r="AI272" s="151"/>
      <c r="AJ272" s="151"/>
      <c r="AK272" s="151"/>
      <c r="AL272" s="151"/>
      <c r="AM272" s="151"/>
      <c r="AN272" s="151"/>
      <c r="AO272" s="151"/>
      <c r="AP272" s="151"/>
      <c r="AQ272" s="151"/>
      <c r="AR272" s="151"/>
      <c r="AS272" s="151"/>
      <c r="AT272" s="151"/>
      <c r="AU272" s="151"/>
    </row>
    <row r="273" spans="1:47" ht="67.2" customHeight="1" thickBot="1" x14ac:dyDescent="0.4">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1"/>
      <c r="AK273" s="151"/>
      <c r="AL273" s="151"/>
      <c r="AM273" s="151"/>
      <c r="AN273" s="151"/>
      <c r="AO273" s="151"/>
      <c r="AP273" s="151"/>
      <c r="AQ273" s="151"/>
      <c r="AR273" s="151"/>
      <c r="AS273" s="151"/>
      <c r="AT273" s="151"/>
      <c r="AU273" s="151"/>
    </row>
    <row r="274" spans="1:47" ht="67.2" customHeight="1" thickBot="1" x14ac:dyDescent="0.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1"/>
      <c r="AJ274" s="151"/>
      <c r="AK274" s="151"/>
      <c r="AL274" s="151"/>
      <c r="AM274" s="151"/>
      <c r="AN274" s="151"/>
      <c r="AO274" s="151"/>
      <c r="AP274" s="151"/>
      <c r="AQ274" s="151"/>
      <c r="AR274" s="151"/>
      <c r="AS274" s="151"/>
      <c r="AT274" s="151"/>
      <c r="AU274" s="151"/>
    </row>
    <row r="275" spans="1:47" ht="67.2" customHeight="1" thickBot="1" x14ac:dyDescent="0.4">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1"/>
      <c r="AK275" s="151"/>
      <c r="AL275" s="151"/>
      <c r="AM275" s="151"/>
      <c r="AN275" s="151"/>
      <c r="AO275" s="151"/>
      <c r="AP275" s="151"/>
      <c r="AQ275" s="151"/>
      <c r="AR275" s="151"/>
      <c r="AS275" s="151"/>
      <c r="AT275" s="151"/>
      <c r="AU275" s="151"/>
    </row>
    <row r="276" spans="1:47" ht="67.2" customHeight="1" thickBot="1" x14ac:dyDescent="0.4">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row>
    <row r="277" spans="1:47" ht="67.2" customHeight="1" thickBot="1" x14ac:dyDescent="0.4">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row>
    <row r="278" spans="1:47" ht="67.2" customHeight="1" thickBot="1" x14ac:dyDescent="0.4">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row>
    <row r="279" spans="1:47" ht="67.2" customHeight="1" thickBot="1" x14ac:dyDescent="0.4">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row>
    <row r="280" spans="1:47" ht="67.2" customHeight="1" thickBot="1" x14ac:dyDescent="0.4">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row>
    <row r="281" spans="1:47" ht="67.2" customHeight="1" thickBot="1" x14ac:dyDescent="0.4">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row>
    <row r="282" spans="1:47" ht="67.2" customHeight="1" thickBot="1" x14ac:dyDescent="0.4">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row>
    <row r="283" spans="1:47" ht="67.2" customHeight="1" thickBot="1" x14ac:dyDescent="0.4">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row>
    <row r="284" spans="1:47" ht="67.2" customHeight="1" thickBot="1" x14ac:dyDescent="0.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row>
    <row r="285" spans="1:47" ht="67.2" customHeight="1" thickBot="1" x14ac:dyDescent="0.4">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row>
    <row r="286" spans="1:47" ht="67.2" customHeight="1" thickBot="1" x14ac:dyDescent="0.4">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row>
    <row r="287" spans="1:47" ht="67.2" customHeight="1" thickBot="1" x14ac:dyDescent="0.4">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row>
    <row r="288" spans="1:47" ht="67.2" customHeight="1" thickBot="1" x14ac:dyDescent="0.4">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row>
    <row r="289" spans="1:47" ht="67.2" customHeight="1" thickBot="1" x14ac:dyDescent="0.4">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row>
    <row r="290" spans="1:47" ht="67.2" customHeight="1" thickBot="1" x14ac:dyDescent="0.4">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row>
    <row r="291" spans="1:47" ht="67.2" customHeight="1" thickBot="1" x14ac:dyDescent="0.4">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row>
    <row r="292" spans="1:47" ht="67.2" customHeight="1" thickBot="1" x14ac:dyDescent="0.4">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row>
    <row r="293" spans="1:47" ht="67.2" customHeight="1" thickBot="1" x14ac:dyDescent="0.4">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row>
    <row r="294" spans="1:47" ht="67.2" customHeight="1" thickBot="1" x14ac:dyDescent="0.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row>
    <row r="295" spans="1:47" ht="67.2" customHeight="1" thickBot="1" x14ac:dyDescent="0.4">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row>
    <row r="296" spans="1:47" ht="67.2" customHeight="1" thickBot="1" x14ac:dyDescent="0.4">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row>
    <row r="297" spans="1:47" ht="67.2" customHeight="1" thickBot="1" x14ac:dyDescent="0.4">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row>
    <row r="298" spans="1:47" ht="67.2" customHeight="1" thickBot="1" x14ac:dyDescent="0.4">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row>
    <row r="299" spans="1:47" ht="67.2" customHeight="1" thickBot="1" x14ac:dyDescent="0.4">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row>
    <row r="300" spans="1:47" ht="67.2" customHeight="1" thickBot="1" x14ac:dyDescent="0.4">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row>
    <row r="301" spans="1:47" ht="67.2" customHeight="1" thickBot="1" x14ac:dyDescent="0.4">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1"/>
      <c r="AK301" s="151"/>
      <c r="AL301" s="151"/>
      <c r="AM301" s="151"/>
      <c r="AN301" s="151"/>
      <c r="AO301" s="151"/>
      <c r="AP301" s="151"/>
      <c r="AQ301" s="151"/>
      <c r="AR301" s="151"/>
      <c r="AS301" s="151"/>
      <c r="AT301" s="151"/>
      <c r="AU301" s="151"/>
    </row>
    <row r="302" spans="1:47" ht="67.2" customHeight="1" thickBot="1" x14ac:dyDescent="0.4">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1"/>
      <c r="AI302" s="151"/>
      <c r="AJ302" s="151"/>
      <c r="AK302" s="151"/>
      <c r="AL302" s="151"/>
      <c r="AM302" s="151"/>
      <c r="AN302" s="151"/>
      <c r="AO302" s="151"/>
      <c r="AP302" s="151"/>
      <c r="AQ302" s="151"/>
      <c r="AR302" s="151"/>
      <c r="AS302" s="151"/>
      <c r="AT302" s="151"/>
      <c r="AU302" s="151"/>
    </row>
    <row r="303" spans="1:47" ht="67.2" customHeight="1" thickBot="1" x14ac:dyDescent="0.4">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1"/>
      <c r="AJ303" s="151"/>
      <c r="AK303" s="151"/>
      <c r="AL303" s="151"/>
      <c r="AM303" s="151"/>
      <c r="AN303" s="151"/>
      <c r="AO303" s="151"/>
      <c r="AP303" s="151"/>
      <c r="AQ303" s="151"/>
      <c r="AR303" s="151"/>
      <c r="AS303" s="151"/>
      <c r="AT303" s="151"/>
      <c r="AU303" s="151"/>
    </row>
    <row r="304" spans="1:47" ht="67.2" customHeight="1" thickBot="1" x14ac:dyDescent="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1"/>
      <c r="AJ304" s="151"/>
      <c r="AK304" s="151"/>
      <c r="AL304" s="151"/>
      <c r="AM304" s="151"/>
      <c r="AN304" s="151"/>
      <c r="AO304" s="151"/>
      <c r="AP304" s="151"/>
      <c r="AQ304" s="151"/>
      <c r="AR304" s="151"/>
      <c r="AS304" s="151"/>
      <c r="AT304" s="151"/>
      <c r="AU304" s="151"/>
    </row>
    <row r="305" spans="1:47" ht="67.2" customHeight="1" thickBot="1" x14ac:dyDescent="0.4">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1"/>
      <c r="AK305" s="151"/>
      <c r="AL305" s="151"/>
      <c r="AM305" s="151"/>
      <c r="AN305" s="151"/>
      <c r="AO305" s="151"/>
      <c r="AP305" s="151"/>
      <c r="AQ305" s="151"/>
      <c r="AR305" s="151"/>
      <c r="AS305" s="151"/>
      <c r="AT305" s="151"/>
      <c r="AU305" s="151"/>
    </row>
    <row r="306" spans="1:47" ht="67.2" customHeight="1" thickBot="1" x14ac:dyDescent="0.4">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1"/>
      <c r="AJ306" s="151"/>
      <c r="AK306" s="151"/>
      <c r="AL306" s="151"/>
      <c r="AM306" s="151"/>
      <c r="AN306" s="151"/>
      <c r="AO306" s="151"/>
      <c r="AP306" s="151"/>
      <c r="AQ306" s="151"/>
      <c r="AR306" s="151"/>
      <c r="AS306" s="151"/>
      <c r="AT306" s="151"/>
      <c r="AU306" s="151"/>
    </row>
    <row r="307" spans="1:47" ht="67.2" customHeight="1" thickBot="1" x14ac:dyDescent="0.4">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1"/>
      <c r="AS307" s="151"/>
      <c r="AT307" s="151"/>
      <c r="AU307" s="151"/>
    </row>
    <row r="308" spans="1:47" ht="67.2" customHeight="1" thickBot="1" x14ac:dyDescent="0.4">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1"/>
      <c r="AK308" s="151"/>
      <c r="AL308" s="151"/>
      <c r="AM308" s="151"/>
      <c r="AN308" s="151"/>
      <c r="AO308" s="151"/>
      <c r="AP308" s="151"/>
      <c r="AQ308" s="151"/>
      <c r="AR308" s="151"/>
      <c r="AS308" s="151"/>
      <c r="AT308" s="151"/>
      <c r="AU308" s="151"/>
    </row>
    <row r="309" spans="1:47" ht="67.2" customHeight="1" thickBot="1" x14ac:dyDescent="0.4">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1"/>
      <c r="AI309" s="151"/>
      <c r="AJ309" s="151"/>
      <c r="AK309" s="151"/>
      <c r="AL309" s="151"/>
      <c r="AM309" s="151"/>
      <c r="AN309" s="151"/>
      <c r="AO309" s="151"/>
      <c r="AP309" s="151"/>
      <c r="AQ309" s="151"/>
      <c r="AR309" s="151"/>
      <c r="AS309" s="151"/>
      <c r="AT309" s="151"/>
      <c r="AU309" s="151"/>
    </row>
    <row r="310" spans="1:47" ht="67.2" customHeight="1" thickBot="1" x14ac:dyDescent="0.4">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1"/>
      <c r="AJ310" s="151"/>
      <c r="AK310" s="151"/>
      <c r="AL310" s="151"/>
      <c r="AM310" s="151"/>
      <c r="AN310" s="151"/>
      <c r="AO310" s="151"/>
      <c r="AP310" s="151"/>
      <c r="AQ310" s="151"/>
      <c r="AR310" s="151"/>
      <c r="AS310" s="151"/>
      <c r="AT310" s="151"/>
      <c r="AU310" s="151"/>
    </row>
    <row r="311" spans="1:47" ht="67.2" customHeight="1" thickBot="1" x14ac:dyDescent="0.4">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1"/>
      <c r="AJ311" s="151"/>
      <c r="AK311" s="151"/>
      <c r="AL311" s="151"/>
      <c r="AM311" s="151"/>
      <c r="AN311" s="151"/>
      <c r="AO311" s="151"/>
      <c r="AP311" s="151"/>
      <c r="AQ311" s="151"/>
      <c r="AR311" s="151"/>
      <c r="AS311" s="151"/>
      <c r="AT311" s="151"/>
      <c r="AU311" s="151"/>
    </row>
    <row r="312" spans="1:47" ht="67.2" customHeight="1" thickBot="1" x14ac:dyDescent="0.4">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1"/>
      <c r="AJ312" s="151"/>
      <c r="AK312" s="151"/>
      <c r="AL312" s="151"/>
      <c r="AM312" s="151"/>
      <c r="AN312" s="151"/>
      <c r="AO312" s="151"/>
      <c r="AP312" s="151"/>
      <c r="AQ312" s="151"/>
      <c r="AR312" s="151"/>
      <c r="AS312" s="151"/>
      <c r="AT312" s="151"/>
      <c r="AU312" s="151"/>
    </row>
    <row r="313" spans="1:47" ht="67.2" customHeight="1" thickBot="1" x14ac:dyDescent="0.4">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1"/>
      <c r="AI313" s="151"/>
      <c r="AJ313" s="151"/>
      <c r="AK313" s="151"/>
      <c r="AL313" s="151"/>
      <c r="AM313" s="151"/>
      <c r="AN313" s="151"/>
      <c r="AO313" s="151"/>
      <c r="AP313" s="151"/>
      <c r="AQ313" s="151"/>
      <c r="AR313" s="151"/>
      <c r="AS313" s="151"/>
      <c r="AT313" s="151"/>
      <c r="AU313" s="151"/>
    </row>
    <row r="314" spans="1:47" ht="67.2" customHeight="1" thickBot="1" x14ac:dyDescent="0.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1"/>
      <c r="AI314" s="151"/>
      <c r="AJ314" s="151"/>
      <c r="AK314" s="151"/>
      <c r="AL314" s="151"/>
      <c r="AM314" s="151"/>
      <c r="AN314" s="151"/>
      <c r="AO314" s="151"/>
      <c r="AP314" s="151"/>
      <c r="AQ314" s="151"/>
      <c r="AR314" s="151"/>
      <c r="AS314" s="151"/>
      <c r="AT314" s="151"/>
      <c r="AU314" s="151"/>
    </row>
    <row r="315" spans="1:47" ht="67.2" customHeight="1" thickBot="1" x14ac:dyDescent="0.4">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1"/>
      <c r="AI315" s="151"/>
      <c r="AJ315" s="151"/>
      <c r="AK315" s="151"/>
      <c r="AL315" s="151"/>
      <c r="AM315" s="151"/>
      <c r="AN315" s="151"/>
      <c r="AO315" s="151"/>
      <c r="AP315" s="151"/>
      <c r="AQ315" s="151"/>
      <c r="AR315" s="151"/>
      <c r="AS315" s="151"/>
      <c r="AT315" s="151"/>
      <c r="AU315" s="151"/>
    </row>
    <row r="316" spans="1:47" ht="67.2" customHeight="1" thickBot="1" x14ac:dyDescent="0.4">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1"/>
      <c r="AK316" s="151"/>
      <c r="AL316" s="151"/>
      <c r="AM316" s="151"/>
      <c r="AN316" s="151"/>
      <c r="AO316" s="151"/>
      <c r="AP316" s="151"/>
      <c r="AQ316" s="151"/>
      <c r="AR316" s="151"/>
      <c r="AS316" s="151"/>
      <c r="AT316" s="151"/>
      <c r="AU316" s="151"/>
    </row>
    <row r="317" spans="1:47" ht="67.2" customHeight="1" thickBot="1" x14ac:dyDescent="0.4">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1"/>
      <c r="AI317" s="151"/>
      <c r="AJ317" s="151"/>
      <c r="AK317" s="151"/>
      <c r="AL317" s="151"/>
      <c r="AM317" s="151"/>
      <c r="AN317" s="151"/>
      <c r="AO317" s="151"/>
      <c r="AP317" s="151"/>
      <c r="AQ317" s="151"/>
      <c r="AR317" s="151"/>
      <c r="AS317" s="151"/>
      <c r="AT317" s="151"/>
      <c r="AU317" s="151"/>
    </row>
    <row r="318" spans="1:47" ht="67.2" customHeight="1" thickBot="1" x14ac:dyDescent="0.4">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1"/>
      <c r="AI318" s="151"/>
      <c r="AJ318" s="151"/>
      <c r="AK318" s="151"/>
      <c r="AL318" s="151"/>
      <c r="AM318" s="151"/>
      <c r="AN318" s="151"/>
      <c r="AO318" s="151"/>
      <c r="AP318" s="151"/>
      <c r="AQ318" s="151"/>
      <c r="AR318" s="151"/>
      <c r="AS318" s="151"/>
      <c r="AT318" s="151"/>
      <c r="AU318" s="151"/>
    </row>
    <row r="319" spans="1:47" ht="67.2" customHeight="1" thickBot="1" x14ac:dyDescent="0.4">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1"/>
      <c r="AJ319" s="151"/>
      <c r="AK319" s="151"/>
      <c r="AL319" s="151"/>
      <c r="AM319" s="151"/>
      <c r="AN319" s="151"/>
      <c r="AO319" s="151"/>
      <c r="AP319" s="151"/>
      <c r="AQ319" s="151"/>
      <c r="AR319" s="151"/>
      <c r="AS319" s="151"/>
      <c r="AT319" s="151"/>
      <c r="AU319" s="151"/>
    </row>
    <row r="320" spans="1:47" ht="67.2" customHeight="1" thickBot="1" x14ac:dyDescent="0.4">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1"/>
      <c r="AK320" s="151"/>
      <c r="AL320" s="151"/>
      <c r="AM320" s="151"/>
      <c r="AN320" s="151"/>
      <c r="AO320" s="151"/>
      <c r="AP320" s="151"/>
      <c r="AQ320" s="151"/>
      <c r="AR320" s="151"/>
      <c r="AS320" s="151"/>
      <c r="AT320" s="151"/>
      <c r="AU320" s="151"/>
    </row>
    <row r="321" spans="1:47" ht="67.2" customHeight="1" thickBot="1" x14ac:dyDescent="0.4">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1"/>
      <c r="AI321" s="151"/>
      <c r="AJ321" s="151"/>
      <c r="AK321" s="151"/>
      <c r="AL321" s="151"/>
      <c r="AM321" s="151"/>
      <c r="AN321" s="151"/>
      <c r="AO321" s="151"/>
      <c r="AP321" s="151"/>
      <c r="AQ321" s="151"/>
      <c r="AR321" s="151"/>
      <c r="AS321" s="151"/>
      <c r="AT321" s="151"/>
      <c r="AU321" s="151"/>
    </row>
    <row r="322" spans="1:47" ht="67.2" customHeight="1" thickBot="1" x14ac:dyDescent="0.4">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1"/>
      <c r="AJ322" s="151"/>
      <c r="AK322" s="151"/>
      <c r="AL322" s="151"/>
      <c r="AM322" s="151"/>
      <c r="AN322" s="151"/>
      <c r="AO322" s="151"/>
      <c r="AP322" s="151"/>
      <c r="AQ322" s="151"/>
      <c r="AR322" s="151"/>
      <c r="AS322" s="151"/>
      <c r="AT322" s="151"/>
      <c r="AU322" s="151"/>
    </row>
    <row r="323" spans="1:47" ht="67.2" customHeight="1" thickBot="1" x14ac:dyDescent="0.4">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1"/>
      <c r="AI323" s="151"/>
      <c r="AJ323" s="151"/>
      <c r="AK323" s="151"/>
      <c r="AL323" s="151"/>
      <c r="AM323" s="151"/>
      <c r="AN323" s="151"/>
      <c r="AO323" s="151"/>
      <c r="AP323" s="151"/>
      <c r="AQ323" s="151"/>
      <c r="AR323" s="151"/>
      <c r="AS323" s="151"/>
      <c r="AT323" s="151"/>
      <c r="AU323" s="151"/>
    </row>
    <row r="324" spans="1:47" ht="67.2" customHeight="1" thickBot="1" x14ac:dyDescent="0.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1"/>
      <c r="AI324" s="151"/>
      <c r="AJ324" s="151"/>
      <c r="AK324" s="151"/>
      <c r="AL324" s="151"/>
      <c r="AM324" s="151"/>
      <c r="AN324" s="151"/>
      <c r="AO324" s="151"/>
      <c r="AP324" s="151"/>
      <c r="AQ324" s="151"/>
      <c r="AR324" s="151"/>
      <c r="AS324" s="151"/>
      <c r="AT324" s="151"/>
      <c r="AU324" s="151"/>
    </row>
    <row r="325" spans="1:47" ht="67.2" customHeight="1" thickBot="1" x14ac:dyDescent="0.4">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1"/>
      <c r="AI325" s="151"/>
      <c r="AJ325" s="151"/>
      <c r="AK325" s="151"/>
      <c r="AL325" s="151"/>
      <c r="AM325" s="151"/>
      <c r="AN325" s="151"/>
      <c r="AO325" s="151"/>
      <c r="AP325" s="151"/>
      <c r="AQ325" s="151"/>
      <c r="AR325" s="151"/>
      <c r="AS325" s="151"/>
      <c r="AT325" s="151"/>
      <c r="AU325" s="151"/>
    </row>
    <row r="326" spans="1:47" ht="67.2" customHeight="1" thickBot="1" x14ac:dyDescent="0.4">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1"/>
      <c r="AI326" s="151"/>
      <c r="AJ326" s="151"/>
      <c r="AK326" s="151"/>
      <c r="AL326" s="151"/>
      <c r="AM326" s="151"/>
      <c r="AN326" s="151"/>
      <c r="AO326" s="151"/>
      <c r="AP326" s="151"/>
      <c r="AQ326" s="151"/>
      <c r="AR326" s="151"/>
      <c r="AS326" s="151"/>
      <c r="AT326" s="151"/>
      <c r="AU326" s="151"/>
    </row>
    <row r="327" spans="1:47" ht="67.2" customHeight="1" thickBot="1" x14ac:dyDescent="0.4">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1"/>
      <c r="AI327" s="151"/>
      <c r="AJ327" s="151"/>
      <c r="AK327" s="151"/>
      <c r="AL327" s="151"/>
      <c r="AM327" s="151"/>
      <c r="AN327" s="151"/>
      <c r="AO327" s="151"/>
      <c r="AP327" s="151"/>
      <c r="AQ327" s="151"/>
      <c r="AR327" s="151"/>
      <c r="AS327" s="151"/>
      <c r="AT327" s="151"/>
      <c r="AU327" s="151"/>
    </row>
    <row r="328" spans="1:47" ht="67.2" customHeight="1" thickBot="1" x14ac:dyDescent="0.4">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c r="AM328" s="151"/>
      <c r="AN328" s="151"/>
      <c r="AO328" s="151"/>
      <c r="AP328" s="151"/>
      <c r="AQ328" s="151"/>
      <c r="AR328" s="151"/>
      <c r="AS328" s="151"/>
      <c r="AT328" s="151"/>
      <c r="AU328" s="151"/>
    </row>
    <row r="329" spans="1:47" ht="67.2" customHeight="1" thickBot="1" x14ac:dyDescent="0.4">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1"/>
      <c r="AI329" s="151"/>
      <c r="AJ329" s="151"/>
      <c r="AK329" s="151"/>
      <c r="AL329" s="151"/>
      <c r="AM329" s="151"/>
      <c r="AN329" s="151"/>
      <c r="AO329" s="151"/>
      <c r="AP329" s="151"/>
      <c r="AQ329" s="151"/>
      <c r="AR329" s="151"/>
      <c r="AS329" s="151"/>
      <c r="AT329" s="151"/>
      <c r="AU329" s="151"/>
    </row>
    <row r="330" spans="1:47" ht="67.2" customHeight="1" thickBot="1" x14ac:dyDescent="0.4">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1"/>
      <c r="AJ330" s="151"/>
      <c r="AK330" s="151"/>
      <c r="AL330" s="151"/>
      <c r="AM330" s="151"/>
      <c r="AN330" s="151"/>
      <c r="AO330" s="151"/>
      <c r="AP330" s="151"/>
      <c r="AQ330" s="151"/>
      <c r="AR330" s="151"/>
      <c r="AS330" s="151"/>
      <c r="AT330" s="151"/>
      <c r="AU330" s="151"/>
    </row>
    <row r="331" spans="1:47" ht="67.2" customHeight="1" thickBot="1" x14ac:dyDescent="0.4">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1"/>
      <c r="AI331" s="151"/>
      <c r="AJ331" s="151"/>
      <c r="AK331" s="151"/>
      <c r="AL331" s="151"/>
      <c r="AM331" s="151"/>
      <c r="AN331" s="151"/>
      <c r="AO331" s="151"/>
      <c r="AP331" s="151"/>
      <c r="AQ331" s="151"/>
      <c r="AR331" s="151"/>
      <c r="AS331" s="151"/>
      <c r="AT331" s="151"/>
      <c r="AU331" s="151"/>
    </row>
    <row r="332" spans="1:47" ht="67.2" customHeight="1" thickBot="1" x14ac:dyDescent="0.4">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1"/>
      <c r="AI332" s="151"/>
      <c r="AJ332" s="151"/>
      <c r="AK332" s="151"/>
      <c r="AL332" s="151"/>
      <c r="AM332" s="151"/>
      <c r="AN332" s="151"/>
      <c r="AO332" s="151"/>
      <c r="AP332" s="151"/>
      <c r="AQ332" s="151"/>
      <c r="AR332" s="151"/>
      <c r="AS332" s="151"/>
      <c r="AT332" s="151"/>
      <c r="AU332" s="151"/>
    </row>
    <row r="333" spans="1:47" ht="67.2" customHeight="1" thickBot="1" x14ac:dyDescent="0.4">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1"/>
      <c r="AI333" s="151"/>
      <c r="AJ333" s="151"/>
      <c r="AK333" s="151"/>
      <c r="AL333" s="151"/>
      <c r="AM333" s="151"/>
      <c r="AN333" s="151"/>
      <c r="AO333" s="151"/>
      <c r="AP333" s="151"/>
      <c r="AQ333" s="151"/>
      <c r="AR333" s="151"/>
      <c r="AS333" s="151"/>
      <c r="AT333" s="151"/>
      <c r="AU333" s="151"/>
    </row>
    <row r="334" spans="1:47" ht="67.2" customHeight="1" thickBot="1" x14ac:dyDescent="0.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1"/>
      <c r="AI334" s="151"/>
      <c r="AJ334" s="151"/>
      <c r="AK334" s="151"/>
      <c r="AL334" s="151"/>
      <c r="AM334" s="151"/>
      <c r="AN334" s="151"/>
      <c r="AO334" s="151"/>
      <c r="AP334" s="151"/>
      <c r="AQ334" s="151"/>
      <c r="AR334" s="151"/>
      <c r="AS334" s="151"/>
      <c r="AT334" s="151"/>
      <c r="AU334" s="151"/>
    </row>
    <row r="335" spans="1:47" ht="67.2" customHeight="1" thickBot="1" x14ac:dyDescent="0.4">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1"/>
      <c r="AI335" s="151"/>
      <c r="AJ335" s="151"/>
      <c r="AK335" s="151"/>
      <c r="AL335" s="151"/>
      <c r="AM335" s="151"/>
      <c r="AN335" s="151"/>
      <c r="AO335" s="151"/>
      <c r="AP335" s="151"/>
      <c r="AQ335" s="151"/>
      <c r="AR335" s="151"/>
      <c r="AS335" s="151"/>
      <c r="AT335" s="151"/>
      <c r="AU335" s="151"/>
    </row>
    <row r="336" spans="1:47" ht="67.2" customHeight="1" thickBot="1" x14ac:dyDescent="0.4">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1"/>
      <c r="AI336" s="151"/>
      <c r="AJ336" s="151"/>
      <c r="AK336" s="151"/>
      <c r="AL336" s="151"/>
      <c r="AM336" s="151"/>
      <c r="AN336" s="151"/>
      <c r="AO336" s="151"/>
      <c r="AP336" s="151"/>
      <c r="AQ336" s="151"/>
      <c r="AR336" s="151"/>
      <c r="AS336" s="151"/>
      <c r="AT336" s="151"/>
      <c r="AU336" s="151"/>
    </row>
    <row r="337" spans="1:47" ht="67.2" customHeight="1" thickBot="1" x14ac:dyDescent="0.4">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151"/>
      <c r="AG337" s="151"/>
      <c r="AH337" s="151"/>
      <c r="AI337" s="151"/>
      <c r="AJ337" s="151"/>
      <c r="AK337" s="151"/>
      <c r="AL337" s="151"/>
      <c r="AM337" s="151"/>
      <c r="AN337" s="151"/>
      <c r="AO337" s="151"/>
      <c r="AP337" s="151"/>
      <c r="AQ337" s="151"/>
      <c r="AR337" s="151"/>
      <c r="AS337" s="151"/>
      <c r="AT337" s="151"/>
      <c r="AU337" s="151"/>
    </row>
    <row r="338" spans="1:47" ht="67.2" customHeight="1" thickBot="1" x14ac:dyDescent="0.4">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1"/>
      <c r="AI338" s="151"/>
      <c r="AJ338" s="151"/>
      <c r="AK338" s="151"/>
      <c r="AL338" s="151"/>
      <c r="AM338" s="151"/>
      <c r="AN338" s="151"/>
      <c r="AO338" s="151"/>
      <c r="AP338" s="151"/>
      <c r="AQ338" s="151"/>
      <c r="AR338" s="151"/>
      <c r="AS338" s="151"/>
      <c r="AT338" s="151"/>
      <c r="AU338" s="151"/>
    </row>
    <row r="339" spans="1:47" ht="67.2" customHeight="1" thickBot="1" x14ac:dyDescent="0.4">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151"/>
      <c r="AG339" s="151"/>
      <c r="AH339" s="151"/>
      <c r="AI339" s="151"/>
      <c r="AJ339" s="151"/>
      <c r="AK339" s="151"/>
      <c r="AL339" s="151"/>
      <c r="AM339" s="151"/>
      <c r="AN339" s="151"/>
      <c r="AO339" s="151"/>
      <c r="AP339" s="151"/>
      <c r="AQ339" s="151"/>
      <c r="AR339" s="151"/>
      <c r="AS339" s="151"/>
      <c r="AT339" s="151"/>
      <c r="AU339" s="151"/>
    </row>
    <row r="340" spans="1:47" ht="67.2" customHeight="1" thickBot="1" x14ac:dyDescent="0.4">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151"/>
      <c r="AG340" s="151"/>
      <c r="AH340" s="151"/>
      <c r="AI340" s="151"/>
      <c r="AJ340" s="151"/>
      <c r="AK340" s="151"/>
      <c r="AL340" s="151"/>
      <c r="AM340" s="151"/>
      <c r="AN340" s="151"/>
      <c r="AO340" s="151"/>
      <c r="AP340" s="151"/>
      <c r="AQ340" s="151"/>
      <c r="AR340" s="151"/>
      <c r="AS340" s="151"/>
      <c r="AT340" s="151"/>
      <c r="AU340" s="151"/>
    </row>
    <row r="341" spans="1:47" ht="67.2" customHeight="1" thickBot="1" x14ac:dyDescent="0.4">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151"/>
      <c r="AG341" s="151"/>
      <c r="AH341" s="151"/>
      <c r="AI341" s="151"/>
      <c r="AJ341" s="151"/>
      <c r="AK341" s="151"/>
      <c r="AL341" s="151"/>
      <c r="AM341" s="151"/>
      <c r="AN341" s="151"/>
      <c r="AO341" s="151"/>
      <c r="AP341" s="151"/>
      <c r="AQ341" s="151"/>
      <c r="AR341" s="151"/>
      <c r="AS341" s="151"/>
      <c r="AT341" s="151"/>
      <c r="AU341" s="151"/>
    </row>
  </sheetData>
  <sheetProtection password="DF7C" sheet="1" objects="1" scenarios="1"/>
  <autoFilter ref="A2:AV141">
    <sortState ref="A3:S141">
      <sortCondition sortBy="cellColor" ref="B2" dxfId="0"/>
    </sortState>
  </autoFilter>
  <mergeCells count="38">
    <mergeCell ref="B139:C139"/>
    <mergeCell ref="B109:C109"/>
    <mergeCell ref="B110:C110"/>
    <mergeCell ref="B116:C116"/>
    <mergeCell ref="B123:C123"/>
    <mergeCell ref="B131:C131"/>
    <mergeCell ref="B134:C134"/>
    <mergeCell ref="B105:C105"/>
    <mergeCell ref="B58:C58"/>
    <mergeCell ref="B61:C61"/>
    <mergeCell ref="B66:C66"/>
    <mergeCell ref="B68:C68"/>
    <mergeCell ref="B74:C74"/>
    <mergeCell ref="B77:C77"/>
    <mergeCell ref="B78:C78"/>
    <mergeCell ref="B85:C85"/>
    <mergeCell ref="B92:C92"/>
    <mergeCell ref="B94:C94"/>
    <mergeCell ref="B99:C99"/>
    <mergeCell ref="B57:C57"/>
    <mergeCell ref="B18:C18"/>
    <mergeCell ref="B23:C23"/>
    <mergeCell ref="B26:C26"/>
    <mergeCell ref="B30:C30"/>
    <mergeCell ref="B32:C32"/>
    <mergeCell ref="B36:C36"/>
    <mergeCell ref="B40:C40"/>
    <mergeCell ref="B43:C43"/>
    <mergeCell ref="B48:C48"/>
    <mergeCell ref="B49:C49"/>
    <mergeCell ref="B55:C55"/>
    <mergeCell ref="B17:C17"/>
    <mergeCell ref="B2:C2"/>
    <mergeCell ref="B3:C3"/>
    <mergeCell ref="B4:C4"/>
    <mergeCell ref="B5:C5"/>
    <mergeCell ref="B9:C9"/>
    <mergeCell ref="B12:C12"/>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000"/>
  <sheetViews>
    <sheetView zoomScale="32" zoomScaleNormal="32" workbookViewId="0">
      <pane xSplit="3" ySplit="4" topLeftCell="D5" activePane="bottomRight" state="frozen"/>
      <selection pane="topRight" activeCell="D1" sqref="D1"/>
      <selection pane="bottomLeft" activeCell="A5" sqref="A5"/>
      <selection pane="bottomRight" activeCell="AO1" sqref="AO1:AV1048576"/>
    </sheetView>
  </sheetViews>
  <sheetFormatPr baseColWidth="10" defaultColWidth="14.44140625" defaultRowHeight="15" customHeight="1" x14ac:dyDescent="0.4"/>
  <cols>
    <col min="1" max="1" width="7.88671875" style="111" hidden="1" customWidth="1"/>
    <col min="2" max="2" width="64.5546875" style="111" customWidth="1"/>
    <col min="3" max="3" width="73.33203125" style="111" customWidth="1"/>
    <col min="4" max="4" width="57.5546875" style="111" customWidth="1"/>
    <col min="5" max="5" width="34" style="111" customWidth="1"/>
    <col min="6" max="6" width="43.109375" style="111" customWidth="1"/>
    <col min="7" max="7" width="36.6640625" style="111" customWidth="1"/>
    <col min="8" max="9" width="33.109375" style="111" customWidth="1"/>
    <col min="10" max="10" width="42.6640625" style="111" customWidth="1"/>
    <col min="11" max="12" width="40.33203125" style="111" customWidth="1"/>
    <col min="13" max="13" width="47.77734375" style="111" hidden="1" customWidth="1"/>
    <col min="14" max="15" width="50" style="111" hidden="1" customWidth="1"/>
    <col min="16" max="16" width="35.77734375" style="111" customWidth="1"/>
    <col min="17" max="17" width="36.77734375" style="111" hidden="1" customWidth="1"/>
    <col min="18" max="18" width="34" style="111" hidden="1" customWidth="1"/>
    <col min="19" max="19" width="34.21875" style="111" hidden="1" customWidth="1"/>
    <col min="20" max="20" width="35" style="111" hidden="1" customWidth="1"/>
    <col min="21" max="21" width="30.33203125" style="111" customWidth="1"/>
    <col min="22" max="22" width="27.5546875" style="111" customWidth="1"/>
    <col min="23" max="24" width="31.6640625" style="111" customWidth="1"/>
    <col min="25" max="25" width="39.88671875" style="111" customWidth="1"/>
    <col min="26" max="26" width="35.109375" style="111" customWidth="1"/>
    <col min="27" max="27" width="31.21875" style="111" customWidth="1"/>
    <col min="28" max="28" width="31.6640625" style="111" customWidth="1"/>
    <col min="29" max="29" width="39.109375" style="111" customWidth="1"/>
    <col min="30" max="31" width="39.33203125" style="111" customWidth="1"/>
    <col min="32" max="32" width="38.5546875" style="111" hidden="1" customWidth="1"/>
    <col min="33" max="34" width="39.6640625" style="111" hidden="1" customWidth="1"/>
    <col min="35" max="35" width="37.44140625" style="111" customWidth="1"/>
    <col min="36" max="37" width="39.88671875" style="111" customWidth="1"/>
    <col min="38" max="38" width="39" style="111" customWidth="1"/>
    <col min="39" max="40" width="42.44140625" style="111" customWidth="1"/>
    <col min="41" max="41" width="48.109375" style="139" hidden="1" customWidth="1"/>
    <col min="42" max="42" width="68.88671875" style="111" hidden="1" customWidth="1"/>
    <col min="43" max="43" width="46.6640625" style="111" hidden="1" customWidth="1"/>
    <col min="44" max="44" width="54.6640625" style="111" hidden="1" customWidth="1"/>
    <col min="45" max="45" width="56.21875" style="111" hidden="1" customWidth="1"/>
    <col min="46" max="46" width="66.6640625" style="111" hidden="1" customWidth="1"/>
    <col min="47" max="47" width="56.77734375" style="111" hidden="1" customWidth="1"/>
    <col min="48" max="48" width="71.5546875" style="111" hidden="1" customWidth="1"/>
    <col min="49" max="53" width="10.6640625" style="111" customWidth="1"/>
    <col min="54" max="16384" width="14.44140625" style="111"/>
  </cols>
  <sheetData>
    <row r="1" spans="1:125" ht="21.6" thickBot="1" x14ac:dyDescent="0.45">
      <c r="A1" s="110"/>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3"/>
      <c r="AP1" s="552"/>
      <c r="AQ1" s="552"/>
      <c r="AR1" s="552"/>
      <c r="AS1" s="552"/>
      <c r="AT1" s="552"/>
      <c r="AU1" s="552"/>
    </row>
    <row r="2" spans="1:125" s="300" customFormat="1" ht="222.6" customHeight="1" thickBot="1" x14ac:dyDescent="0.45">
      <c r="A2" s="294"/>
      <c r="B2" s="1529" t="s">
        <v>0</v>
      </c>
      <c r="C2" s="1530"/>
      <c r="D2" s="295" t="s">
        <v>1</v>
      </c>
      <c r="E2" s="296" t="s">
        <v>2</v>
      </c>
      <c r="F2" s="297" t="s">
        <v>3</v>
      </c>
      <c r="G2" s="297" t="s">
        <v>4</v>
      </c>
      <c r="H2" s="297" t="s">
        <v>1873</v>
      </c>
      <c r="I2" s="1009" t="s">
        <v>2527</v>
      </c>
      <c r="J2" s="297" t="s">
        <v>5</v>
      </c>
      <c r="K2" s="297" t="s">
        <v>1874</v>
      </c>
      <c r="L2" s="1009" t="s">
        <v>2526</v>
      </c>
      <c r="M2" s="1015" t="s">
        <v>6</v>
      </c>
      <c r="N2" s="1015" t="s">
        <v>1875</v>
      </c>
      <c r="O2" s="1421" t="s">
        <v>2549</v>
      </c>
      <c r="P2" s="1016" t="s">
        <v>1847</v>
      </c>
      <c r="Q2" s="1017" t="s">
        <v>1876</v>
      </c>
      <c r="R2" s="1017" t="s">
        <v>1878</v>
      </c>
      <c r="S2" s="1017" t="s">
        <v>1877</v>
      </c>
      <c r="T2" s="1017" t="s">
        <v>2431</v>
      </c>
      <c r="U2" s="1017" t="s">
        <v>2473</v>
      </c>
      <c r="V2" s="1017" t="s">
        <v>1879</v>
      </c>
      <c r="W2" s="1422" t="s">
        <v>2529</v>
      </c>
      <c r="X2" s="1009" t="s">
        <v>2528</v>
      </c>
      <c r="Y2" s="1009" t="s">
        <v>2530</v>
      </c>
      <c r="Z2" s="1009" t="s">
        <v>2531</v>
      </c>
      <c r="AA2" s="1018" t="s">
        <v>2532</v>
      </c>
      <c r="AB2" s="1019" t="s">
        <v>2533</v>
      </c>
      <c r="AC2" s="296" t="s">
        <v>7</v>
      </c>
      <c r="AD2" s="1150" t="s">
        <v>2534</v>
      </c>
      <c r="AE2" s="1019" t="s">
        <v>2546</v>
      </c>
      <c r="AF2" s="959" t="s">
        <v>8</v>
      </c>
      <c r="AG2" s="1022" t="s">
        <v>2535</v>
      </c>
      <c r="AH2" s="1421" t="s">
        <v>2547</v>
      </c>
      <c r="AI2" s="413" t="s">
        <v>1881</v>
      </c>
      <c r="AJ2" s="413" t="s">
        <v>2536</v>
      </c>
      <c r="AK2" s="1423" t="s">
        <v>2539</v>
      </c>
      <c r="AL2" s="1022" t="s">
        <v>1849</v>
      </c>
      <c r="AM2" s="959" t="s">
        <v>2550</v>
      </c>
      <c r="AN2" s="1421" t="s">
        <v>2541</v>
      </c>
      <c r="AO2" s="298" t="s">
        <v>2474</v>
      </c>
      <c r="AP2" s="1022" t="s">
        <v>1882</v>
      </c>
      <c r="AQ2" s="959" t="s">
        <v>2290</v>
      </c>
      <c r="AR2" s="1112" t="s">
        <v>2291</v>
      </c>
      <c r="AS2" s="298" t="s">
        <v>2342</v>
      </c>
      <c r="AT2" s="298" t="s">
        <v>2432</v>
      </c>
      <c r="AU2" s="298" t="s">
        <v>1880</v>
      </c>
      <c r="AV2" s="1151" t="s">
        <v>2540</v>
      </c>
      <c r="AW2" s="1141"/>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row>
    <row r="3" spans="1:125" ht="93" customHeight="1" thickBot="1" x14ac:dyDescent="0.9">
      <c r="A3" s="112"/>
      <c r="B3" s="1583" t="s">
        <v>1842</v>
      </c>
      <c r="C3" s="1584"/>
      <c r="D3" s="554"/>
      <c r="E3" s="555">
        <v>0.02</v>
      </c>
      <c r="F3" s="556"/>
      <c r="G3" s="554"/>
      <c r="H3" s="554"/>
      <c r="I3" s="554"/>
      <c r="J3" s="549">
        <f>(J4+J30)/2</f>
        <v>0.25509259259259259</v>
      </c>
      <c r="K3" s="549">
        <f>(K4+K30)/2</f>
        <v>0.26321869488536154</v>
      </c>
      <c r="L3" s="549">
        <f>(L4+L30)/2</f>
        <v>0.39634171075837743</v>
      </c>
      <c r="M3" s="550">
        <f>(M4+M30)/2</f>
        <v>6.9222222222222241E-2</v>
      </c>
      <c r="N3" s="550">
        <f>(N4+N30)/2</f>
        <v>0.24656944444444442</v>
      </c>
      <c r="O3" s="550"/>
      <c r="P3" s="557"/>
      <c r="Q3" s="557"/>
      <c r="R3" s="557"/>
      <c r="S3" s="557"/>
      <c r="T3" s="557"/>
      <c r="U3" s="557"/>
      <c r="V3" s="557"/>
      <c r="W3" s="557"/>
      <c r="X3" s="557"/>
      <c r="Y3" s="557"/>
      <c r="Z3" s="557"/>
      <c r="AA3" s="557"/>
      <c r="AB3" s="557"/>
      <c r="AC3" s="693">
        <f>(AC4+AC30)/2</f>
        <v>0.40277777777777779</v>
      </c>
      <c r="AD3" s="693">
        <f>(AD4+AD30)/2</f>
        <v>0.92347222222222225</v>
      </c>
      <c r="AE3" s="693">
        <f>(AE4+AE30)/2</f>
        <v>3.8722256579399435E-2</v>
      </c>
      <c r="AF3" s="694">
        <f>+F4+F30</f>
        <v>0.13582500000000003</v>
      </c>
      <c r="AG3" s="694">
        <f>+H4+H30</f>
        <v>0.57532500000000009</v>
      </c>
      <c r="AH3" s="694">
        <f>+I4+I30</f>
        <v>6.0234788359788349E-2</v>
      </c>
      <c r="AI3" s="693">
        <f>(AI4+AI30)/2</f>
        <v>5.5588624338624326E-2</v>
      </c>
      <c r="AJ3" s="693">
        <v>0.36192553511303516</v>
      </c>
      <c r="AK3" s="693">
        <f>(AK4+AK30)/2</f>
        <v>0.37655873466810963</v>
      </c>
      <c r="AL3" s="694">
        <f>(AL4*E5+AL30*E30)</f>
        <v>3.0192916666666677E-2</v>
      </c>
      <c r="AM3" s="694">
        <f>(AM4*E4+AM30*E30)</f>
        <v>0.33027767045454548</v>
      </c>
      <c r="AN3" s="694">
        <f>(AN4*E4+AN30*E30)</f>
        <v>0.36127683238636366</v>
      </c>
      <c r="AO3" s="927"/>
      <c r="AP3" s="554"/>
      <c r="AQ3" s="554"/>
      <c r="AR3" s="554"/>
      <c r="AS3" s="554"/>
      <c r="AT3" s="554"/>
      <c r="AU3" s="554"/>
      <c r="AV3" s="556"/>
    </row>
    <row r="4" spans="1:125" ht="106.95" customHeight="1" thickBot="1" x14ac:dyDescent="0.45">
      <c r="A4" s="112"/>
      <c r="B4" s="1585" t="s">
        <v>1837</v>
      </c>
      <c r="C4" s="1582"/>
      <c r="D4" s="129"/>
      <c r="E4" s="130">
        <v>0.75</v>
      </c>
      <c r="F4" s="131">
        <f>+E4*AF4</f>
        <v>0.12300000000000003</v>
      </c>
      <c r="G4" s="114"/>
      <c r="H4" s="131">
        <f>+E4*AG4</f>
        <v>0.3922500000000001</v>
      </c>
      <c r="I4" s="131">
        <f>+E4*AI4</f>
        <v>4.8660714285714279E-2</v>
      </c>
      <c r="J4" s="116">
        <f>+(J5+J14+J22)/3</f>
        <v>0.28333333333333333</v>
      </c>
      <c r="K4" s="116">
        <f>+(K5+K14+K22)/3</f>
        <v>0.21841269841269842</v>
      </c>
      <c r="L4" s="116">
        <f>+(L5+L14+L22)/3</f>
        <v>0.38562169312169309</v>
      </c>
      <c r="M4" s="117">
        <f>+(M5+M14+M22)/3</f>
        <v>5.4833333333333345E-2</v>
      </c>
      <c r="N4" s="117">
        <f>+(N5+N14+N22)/3</f>
        <v>0.20013888888888887</v>
      </c>
      <c r="O4" s="117"/>
      <c r="P4" s="114"/>
      <c r="Q4" s="114"/>
      <c r="R4" s="114"/>
      <c r="S4" s="114"/>
      <c r="T4" s="114"/>
      <c r="U4" s="994"/>
      <c r="V4" s="114"/>
      <c r="W4" s="114"/>
      <c r="X4" s="114"/>
      <c r="Y4" s="114"/>
      <c r="Z4" s="114"/>
      <c r="AA4" s="114"/>
      <c r="AB4" s="114"/>
      <c r="AC4" s="116">
        <f>+(AC5+AC14+AC22)/3</f>
        <v>0.58333333333333337</v>
      </c>
      <c r="AD4" s="116">
        <f>+(AD5+AD14+AD22)/3</f>
        <v>0.9458333333333333</v>
      </c>
      <c r="AE4" s="116">
        <f>+(AE5+AE14+AE22)/3</f>
        <v>4.5037105751391464E-2</v>
      </c>
      <c r="AF4" s="117">
        <f>+AF5+AF14+AF22</f>
        <v>0.16400000000000003</v>
      </c>
      <c r="AG4" s="117">
        <f>+AG5+AG14+AG22</f>
        <v>0.52300000000000013</v>
      </c>
      <c r="AH4" s="117">
        <f>+AH5+AH14+AH22</f>
        <v>7.8692640692640703E-2</v>
      </c>
      <c r="AI4" s="116">
        <f>(AI5+AI14+AI22)/3</f>
        <v>6.4880952380952372E-2</v>
      </c>
      <c r="AJ4" s="116">
        <v>0.35168903318903322</v>
      </c>
      <c r="AK4" s="116">
        <f>(AK5+AK14+AK22)/3</f>
        <v>0.36015103415103411</v>
      </c>
      <c r="AL4" s="117">
        <f>(AL5+AL14+AL22)</f>
        <v>6.946666666666669E-2</v>
      </c>
      <c r="AM4" s="117">
        <f>(AM5*E5+AM14*E14+AM22*E22)</f>
        <v>0.32727939393939398</v>
      </c>
      <c r="AN4" s="117">
        <f>(AN5*E5+AN14*E14+AN22*E22)</f>
        <v>0.36487348484848486</v>
      </c>
      <c r="AO4" s="928"/>
      <c r="AP4" s="114"/>
      <c r="AQ4" s="114"/>
      <c r="AR4" s="114"/>
      <c r="AS4" s="114"/>
      <c r="AT4" s="114"/>
      <c r="AU4" s="114"/>
      <c r="AV4" s="1149"/>
    </row>
    <row r="5" spans="1:125" ht="98.4" customHeight="1" thickBot="1" x14ac:dyDescent="0.45">
      <c r="A5" s="112"/>
      <c r="B5" s="1581" t="s">
        <v>1782</v>
      </c>
      <c r="C5" s="1582"/>
      <c r="D5" s="129"/>
      <c r="E5" s="89">
        <v>0.4</v>
      </c>
      <c r="F5" s="118"/>
      <c r="G5" s="114"/>
      <c r="H5" s="114"/>
      <c r="I5" s="114"/>
      <c r="J5" s="119">
        <f>+AVERAGE(J6:J13)</f>
        <v>0.19999999999999998</v>
      </c>
      <c r="K5" s="119">
        <f>+AVERAGE(K6:K13)</f>
        <v>0.22666666666666666</v>
      </c>
      <c r="L5" s="119">
        <f>+AVERAGE(L6:L13)</f>
        <v>0.45514285714285718</v>
      </c>
      <c r="M5" s="119">
        <f>+M6+M7+M8+M9+M10+M11+M12+M13</f>
        <v>8.7000000000000008E-2</v>
      </c>
      <c r="N5" s="119">
        <f>+N6+N7+N8+N9+N10+N11+N12+N13</f>
        <v>0.16666666666666663</v>
      </c>
      <c r="O5" s="119"/>
      <c r="P5" s="120"/>
      <c r="Q5" s="120"/>
      <c r="R5" s="120"/>
      <c r="S5" s="120"/>
      <c r="T5" s="120"/>
      <c r="U5" s="993"/>
      <c r="V5" s="120"/>
      <c r="W5" s="120"/>
      <c r="X5" s="120"/>
      <c r="Y5" s="120"/>
      <c r="Z5" s="120"/>
      <c r="AA5" s="120"/>
      <c r="AB5" s="120"/>
      <c r="AC5" s="559">
        <f>+AVERAGE(AC6:AC13)</f>
        <v>0.75</v>
      </c>
      <c r="AD5" s="559">
        <f>+AVERAGE(AD6:AD13)</f>
        <v>1</v>
      </c>
      <c r="AE5" s="559">
        <f>+AVERAGE(AE6:AE13)</f>
        <v>5.9353741496598632E-2</v>
      </c>
      <c r="AF5" s="559">
        <f>+(AF6+AF7+AF8+AF9+AF10+AF11+AF12+AF13)*E5</f>
        <v>0.14400000000000002</v>
      </c>
      <c r="AG5" s="559">
        <f>+(AG6+AG7+AG8+AG9+AG10+AG11+AG12+AG13)*E5</f>
        <v>0.22400000000000003</v>
      </c>
      <c r="AH5" s="559">
        <f>+(AH6+AH7+AH8+AH9+AH10+AH11+AH12+AH13)*E5</f>
        <v>3.323809523809524E-2</v>
      </c>
      <c r="AI5" s="119">
        <f>+AVERAGE(AI6:AI13)</f>
        <v>0.13749999999999998</v>
      </c>
      <c r="AJ5" s="119">
        <v>0.30019696969696968</v>
      </c>
      <c r="AK5" s="119">
        <f>+AVERAGE(AK6:AK13)</f>
        <v>0.30754545454545457</v>
      </c>
      <c r="AL5" s="119">
        <f>+(AL6+AL7+AL8+AL9+AL10+AL11+AL12+AL13)*E5</f>
        <v>6.1466666666666683E-2</v>
      </c>
      <c r="AM5" s="119">
        <f>+(AM6+AM7+AM8+AM9+AM10+AM11+AM12+AM13)</f>
        <v>0.29172121212121216</v>
      </c>
      <c r="AN5" s="119">
        <f>+(AN6+AN7+AN8+AN9+AN10+AN11+AN12+AN13)</f>
        <v>0.3525151515151515</v>
      </c>
      <c r="AO5" s="929"/>
      <c r="AP5" s="931" t="s">
        <v>1992</v>
      </c>
      <c r="AQ5" s="114"/>
      <c r="AR5" s="114"/>
      <c r="AS5" s="114"/>
      <c r="AT5" s="114"/>
      <c r="AU5" s="114"/>
      <c r="AV5" s="1149"/>
    </row>
    <row r="6" spans="1:125" ht="148.94999999999999" customHeight="1" thickBot="1" x14ac:dyDescent="0.45">
      <c r="A6" s="112"/>
      <c r="B6" s="1506" t="s">
        <v>1066</v>
      </c>
      <c r="C6" s="1507" t="s">
        <v>1067</v>
      </c>
      <c r="D6" s="129" t="s">
        <v>1068</v>
      </c>
      <c r="E6" s="125">
        <v>0.2</v>
      </c>
      <c r="F6" s="121">
        <v>60</v>
      </c>
      <c r="G6" s="132">
        <v>0</v>
      </c>
      <c r="H6" s="132">
        <v>20</v>
      </c>
      <c r="I6" s="132">
        <v>15</v>
      </c>
      <c r="J6" s="122"/>
      <c r="K6" s="122">
        <f>+H6/F6</f>
        <v>0.33333333333333331</v>
      </c>
      <c r="L6" s="122">
        <f>+I6/F6</f>
        <v>0.25</v>
      </c>
      <c r="M6" s="122"/>
      <c r="N6" s="122">
        <f>+(H6/F6)*E6</f>
        <v>6.6666666666666666E-2</v>
      </c>
      <c r="O6" s="122"/>
      <c r="P6" s="558"/>
      <c r="Q6" s="1152">
        <v>4</v>
      </c>
      <c r="R6" s="1152">
        <v>7</v>
      </c>
      <c r="S6" s="1152">
        <v>4</v>
      </c>
      <c r="T6" s="1152">
        <v>14</v>
      </c>
      <c r="U6" s="1152">
        <v>1</v>
      </c>
      <c r="V6" s="558">
        <f>+Q6+R6+S6+T6+U6</f>
        <v>30</v>
      </c>
      <c r="W6" s="558">
        <f>+V6+P6+AB6</f>
        <v>34</v>
      </c>
      <c r="X6" s="1152">
        <v>4</v>
      </c>
      <c r="Y6" s="558"/>
      <c r="Z6" s="558"/>
      <c r="AA6" s="558"/>
      <c r="AB6" s="558">
        <f>+X6+Y6+Z6+AA6</f>
        <v>4</v>
      </c>
      <c r="AC6" s="123"/>
      <c r="AD6" s="123">
        <v>1</v>
      </c>
      <c r="AE6" s="123">
        <f>+AB6/I6</f>
        <v>0.26666666666666666</v>
      </c>
      <c r="AF6" s="123"/>
      <c r="AG6" s="123">
        <f>+AD6*E6</f>
        <v>0.2</v>
      </c>
      <c r="AH6" s="123">
        <f>+AE6*E6</f>
        <v>5.3333333333333337E-2</v>
      </c>
      <c r="AI6" s="123"/>
      <c r="AJ6" s="123">
        <v>0.48333333333333334</v>
      </c>
      <c r="AK6" s="123">
        <f>+W6/F6</f>
        <v>0.56666666666666665</v>
      </c>
      <c r="AL6" s="122">
        <f>+AJ6*E6</f>
        <v>9.6666666666666679E-2</v>
      </c>
      <c r="AM6" s="122">
        <f t="shared" ref="AM6:AM13" si="0">+AJ6*E6</f>
        <v>9.6666666666666679E-2</v>
      </c>
      <c r="AN6" s="1508">
        <f>+AK6*E6</f>
        <v>0.11333333333333334</v>
      </c>
      <c r="AO6" s="586" t="s">
        <v>1850</v>
      </c>
      <c r="AP6" s="897" t="s">
        <v>1892</v>
      </c>
      <c r="AQ6" s="114"/>
      <c r="AR6" s="897" t="s">
        <v>2289</v>
      </c>
      <c r="AS6" s="897" t="s">
        <v>2402</v>
      </c>
      <c r="AT6" s="897" t="s">
        <v>2437</v>
      </c>
      <c r="AU6" s="932" t="s">
        <v>2469</v>
      </c>
      <c r="AV6" s="897" t="s">
        <v>1893</v>
      </c>
    </row>
    <row r="7" spans="1:125" ht="142.19999999999999" customHeight="1" thickBot="1" x14ac:dyDescent="0.45">
      <c r="A7" s="112"/>
      <c r="B7" s="113" t="s">
        <v>1069</v>
      </c>
      <c r="C7" s="126" t="s">
        <v>1070</v>
      </c>
      <c r="D7" s="129" t="s">
        <v>1071</v>
      </c>
      <c r="E7" s="90">
        <v>0.2</v>
      </c>
      <c r="F7" s="121">
        <v>500</v>
      </c>
      <c r="G7" s="132">
        <v>50</v>
      </c>
      <c r="H7" s="132">
        <v>150</v>
      </c>
      <c r="I7" s="132">
        <v>168</v>
      </c>
      <c r="J7" s="122">
        <f t="shared" ref="J7:J13" si="1">+G7/F7</f>
        <v>0.1</v>
      </c>
      <c r="K7" s="122">
        <f t="shared" ref="K7:K29" si="2">+H7/F7</f>
        <v>0.3</v>
      </c>
      <c r="L7" s="122">
        <f t="shared" ref="L7:L29" si="3">+I7/F7</f>
        <v>0.33600000000000002</v>
      </c>
      <c r="M7" s="122">
        <f t="shared" ref="M7:M13" si="4">+(G7/F7)*E7</f>
        <v>2.0000000000000004E-2</v>
      </c>
      <c r="N7" s="122">
        <f>+(H7/F7)*E7</f>
        <v>0.06</v>
      </c>
      <c r="O7" s="122"/>
      <c r="P7" s="558">
        <v>50</v>
      </c>
      <c r="Q7" s="1152">
        <v>25</v>
      </c>
      <c r="R7" s="1152">
        <v>50</v>
      </c>
      <c r="S7" s="1152">
        <v>119</v>
      </c>
      <c r="T7" s="1152">
        <v>88</v>
      </c>
      <c r="U7" s="1152">
        <v>0</v>
      </c>
      <c r="V7" s="558">
        <f t="shared" ref="V7:V52" si="5">+Q7+R7+S7+T7+U7</f>
        <v>282</v>
      </c>
      <c r="W7" s="558">
        <f t="shared" ref="W7:W28" si="6">+V7+P7+AB7</f>
        <v>357</v>
      </c>
      <c r="X7" s="1152">
        <v>25</v>
      </c>
      <c r="Y7" s="558"/>
      <c r="Z7" s="558"/>
      <c r="AA7" s="558"/>
      <c r="AB7" s="558">
        <f t="shared" ref="AB7:AB29" si="7">+X7+Y7+Z7+AA7</f>
        <v>25</v>
      </c>
      <c r="AC7" s="123">
        <f>+(P7/G7)</f>
        <v>1</v>
      </c>
      <c r="AD7" s="123">
        <v>1</v>
      </c>
      <c r="AE7" s="123">
        <f t="shared" ref="AE7:AE29" si="8">+AB7/I7</f>
        <v>0.14880952380952381</v>
      </c>
      <c r="AF7" s="123">
        <f>+AC7*E7</f>
        <v>0.2</v>
      </c>
      <c r="AG7" s="123">
        <f>+AD7*E7</f>
        <v>0.2</v>
      </c>
      <c r="AH7" s="123">
        <f t="shared" ref="AH7:AH13" si="9">+AE7*E7</f>
        <v>2.9761904761904764E-2</v>
      </c>
      <c r="AI7" s="123">
        <f>+P7/F7</f>
        <v>0.1</v>
      </c>
      <c r="AJ7" s="123">
        <v>0.66400000000000003</v>
      </c>
      <c r="AK7" s="123">
        <f t="shared" ref="AK7:AK29" si="10">+W7/F7</f>
        <v>0.71399999999999997</v>
      </c>
      <c r="AL7" s="122">
        <f>+AI7*E7</f>
        <v>2.0000000000000004E-2</v>
      </c>
      <c r="AM7" s="122">
        <f t="shared" si="0"/>
        <v>0.1328</v>
      </c>
      <c r="AN7" s="1508">
        <f t="shared" ref="AN7:AN29" si="11">+AK7*E7</f>
        <v>0.14280000000000001</v>
      </c>
      <c r="AO7" s="586" t="s">
        <v>1850</v>
      </c>
      <c r="AP7" s="897" t="s">
        <v>1892</v>
      </c>
      <c r="AQ7" s="114"/>
      <c r="AR7" s="897" t="s">
        <v>2289</v>
      </c>
      <c r="AS7" s="897" t="s">
        <v>2402</v>
      </c>
      <c r="AT7" s="897" t="s">
        <v>2437</v>
      </c>
      <c r="AU7" s="897" t="s">
        <v>2497</v>
      </c>
      <c r="AV7" s="932" t="s">
        <v>1865</v>
      </c>
    </row>
    <row r="8" spans="1:125" ht="187.2" customHeight="1" thickBot="1" x14ac:dyDescent="0.45">
      <c r="A8" s="112"/>
      <c r="B8" s="1506" t="s">
        <v>1072</v>
      </c>
      <c r="C8" s="1507" t="s">
        <v>1073</v>
      </c>
      <c r="D8" s="129" t="s">
        <v>1071</v>
      </c>
      <c r="E8" s="90">
        <v>0.1</v>
      </c>
      <c r="F8" s="121">
        <v>1</v>
      </c>
      <c r="G8" s="132">
        <v>0.25</v>
      </c>
      <c r="H8" s="132">
        <v>0.25</v>
      </c>
      <c r="I8" s="132">
        <v>0.25</v>
      </c>
      <c r="J8" s="122">
        <f t="shared" si="1"/>
        <v>0.25</v>
      </c>
      <c r="K8" s="122">
        <f t="shared" si="2"/>
        <v>0.25</v>
      </c>
      <c r="L8" s="122">
        <f t="shared" si="3"/>
        <v>0.25</v>
      </c>
      <c r="M8" s="122">
        <f t="shared" si="4"/>
        <v>2.5000000000000001E-2</v>
      </c>
      <c r="N8" s="122">
        <f>+(H8/F8)*E8</f>
        <v>2.5000000000000001E-2</v>
      </c>
      <c r="O8" s="122"/>
      <c r="P8" s="558">
        <v>0.25</v>
      </c>
      <c r="Q8" s="1152">
        <v>0</v>
      </c>
      <c r="R8" s="1152">
        <v>0.12</v>
      </c>
      <c r="S8" s="1152">
        <v>7.0000000000000007E-2</v>
      </c>
      <c r="T8" s="1152">
        <v>0.06</v>
      </c>
      <c r="U8" s="1152">
        <v>0.14000000000000001</v>
      </c>
      <c r="V8" s="558">
        <f t="shared" si="5"/>
        <v>0.39</v>
      </c>
      <c r="W8" s="558">
        <f t="shared" si="6"/>
        <v>0.64</v>
      </c>
      <c r="X8" s="1152">
        <v>0</v>
      </c>
      <c r="Y8" s="558"/>
      <c r="Z8" s="558"/>
      <c r="AA8" s="558"/>
      <c r="AB8" s="558">
        <f t="shared" si="7"/>
        <v>0</v>
      </c>
      <c r="AC8" s="123">
        <f>+(P8/G8)</f>
        <v>1</v>
      </c>
      <c r="AD8" s="123">
        <v>1</v>
      </c>
      <c r="AE8" s="123">
        <f t="shared" si="8"/>
        <v>0</v>
      </c>
      <c r="AF8" s="123">
        <f>+AC8*E8</f>
        <v>0.1</v>
      </c>
      <c r="AG8" s="123">
        <f>+AD8*E8</f>
        <v>0.1</v>
      </c>
      <c r="AH8" s="123">
        <f t="shared" si="9"/>
        <v>0</v>
      </c>
      <c r="AI8" s="123">
        <f>+P8/F8</f>
        <v>0.25</v>
      </c>
      <c r="AJ8" s="123">
        <v>0.5</v>
      </c>
      <c r="AK8" s="123">
        <f t="shared" si="10"/>
        <v>0.64</v>
      </c>
      <c r="AL8" s="122">
        <f>+AI8*E8</f>
        <v>2.5000000000000001E-2</v>
      </c>
      <c r="AM8" s="122">
        <f t="shared" si="0"/>
        <v>0.05</v>
      </c>
      <c r="AN8" s="1508">
        <f t="shared" si="11"/>
        <v>6.4000000000000001E-2</v>
      </c>
      <c r="AO8" s="586" t="s">
        <v>1850</v>
      </c>
      <c r="AP8" s="897" t="s">
        <v>1892</v>
      </c>
      <c r="AQ8" s="114"/>
      <c r="AR8" s="897" t="s">
        <v>2289</v>
      </c>
      <c r="AS8" s="897" t="s">
        <v>2402</v>
      </c>
      <c r="AT8" s="897" t="s">
        <v>2437</v>
      </c>
      <c r="AU8" s="932" t="s">
        <v>2469</v>
      </c>
      <c r="AV8" s="897" t="s">
        <v>1893</v>
      </c>
    </row>
    <row r="9" spans="1:125" ht="174.6" customHeight="1" thickBot="1" x14ac:dyDescent="0.45">
      <c r="A9" s="112"/>
      <c r="B9" s="1509" t="s">
        <v>1074</v>
      </c>
      <c r="C9" s="1510" t="s">
        <v>1075</v>
      </c>
      <c r="D9" s="129" t="s">
        <v>1071</v>
      </c>
      <c r="E9" s="90">
        <v>0.1</v>
      </c>
      <c r="F9" s="121">
        <v>1</v>
      </c>
      <c r="G9" s="132">
        <v>0</v>
      </c>
      <c r="H9" s="132">
        <v>1</v>
      </c>
      <c r="I9" s="132">
        <v>1</v>
      </c>
      <c r="J9" s="122"/>
      <c r="K9" s="122"/>
      <c r="L9" s="122">
        <f t="shared" si="3"/>
        <v>1</v>
      </c>
      <c r="M9" s="122"/>
      <c r="N9" s="122"/>
      <c r="O9" s="122"/>
      <c r="P9" s="558"/>
      <c r="Q9" s="1152"/>
      <c r="R9" s="1152"/>
      <c r="S9" s="1152"/>
      <c r="T9" s="1152"/>
      <c r="U9" s="1153"/>
      <c r="V9" s="558">
        <f t="shared" si="5"/>
        <v>0</v>
      </c>
      <c r="W9" s="558">
        <f t="shared" si="6"/>
        <v>0</v>
      </c>
      <c r="X9" s="1152">
        <v>0</v>
      </c>
      <c r="Y9" s="558"/>
      <c r="Z9" s="558"/>
      <c r="AA9" s="558"/>
      <c r="AB9" s="558">
        <f t="shared" si="7"/>
        <v>0</v>
      </c>
      <c r="AC9" s="123"/>
      <c r="AD9" s="123"/>
      <c r="AE9" s="123">
        <f>+AB9/I9</f>
        <v>0</v>
      </c>
      <c r="AF9" s="123"/>
      <c r="AG9" s="123"/>
      <c r="AH9" s="123">
        <f t="shared" si="9"/>
        <v>0</v>
      </c>
      <c r="AI9" s="123"/>
      <c r="AJ9" s="123"/>
      <c r="AK9" s="123">
        <f t="shared" si="10"/>
        <v>0</v>
      </c>
      <c r="AL9" s="122">
        <v>0</v>
      </c>
      <c r="AM9" s="122">
        <f t="shared" si="0"/>
        <v>0</v>
      </c>
      <c r="AN9" s="1508">
        <f t="shared" si="11"/>
        <v>0</v>
      </c>
      <c r="AO9" s="586" t="s">
        <v>1850</v>
      </c>
      <c r="AP9" s="897" t="s">
        <v>1892</v>
      </c>
      <c r="AQ9" s="114"/>
      <c r="AR9" s="897" t="s">
        <v>2289</v>
      </c>
      <c r="AS9" s="897" t="s">
        <v>2402</v>
      </c>
      <c r="AT9" s="897" t="s">
        <v>2437</v>
      </c>
      <c r="AU9" s="897" t="s">
        <v>2497</v>
      </c>
      <c r="AV9" s="897" t="s">
        <v>1893</v>
      </c>
    </row>
    <row r="10" spans="1:125" ht="150" customHeight="1" thickBot="1" x14ac:dyDescent="0.45">
      <c r="A10" s="112"/>
      <c r="B10" s="1509" t="s">
        <v>1076</v>
      </c>
      <c r="C10" s="1510" t="s">
        <v>1077</v>
      </c>
      <c r="D10" s="129" t="s">
        <v>1071</v>
      </c>
      <c r="E10" s="90">
        <v>0.1</v>
      </c>
      <c r="F10" s="121">
        <v>1</v>
      </c>
      <c r="G10" s="132">
        <v>0</v>
      </c>
      <c r="H10" s="132">
        <v>0</v>
      </c>
      <c r="I10" s="132"/>
      <c r="J10" s="122"/>
      <c r="K10" s="122"/>
      <c r="L10" s="122"/>
      <c r="M10" s="122"/>
      <c r="N10" s="122"/>
      <c r="O10" s="122"/>
      <c r="P10" s="558"/>
      <c r="Q10" s="1152"/>
      <c r="R10" s="1152"/>
      <c r="S10" s="1152"/>
      <c r="T10" s="1152"/>
      <c r="U10" s="1153"/>
      <c r="V10" s="558">
        <f t="shared" si="5"/>
        <v>0</v>
      </c>
      <c r="W10" s="558">
        <f t="shared" si="6"/>
        <v>0</v>
      </c>
      <c r="X10" s="1152"/>
      <c r="Y10" s="558"/>
      <c r="Z10" s="558"/>
      <c r="AA10" s="558"/>
      <c r="AB10" s="558">
        <f t="shared" si="7"/>
        <v>0</v>
      </c>
      <c r="AC10" s="123"/>
      <c r="AD10" s="123"/>
      <c r="AE10" s="123"/>
      <c r="AF10" s="123"/>
      <c r="AG10" s="123"/>
      <c r="AH10" s="123"/>
      <c r="AI10" s="123"/>
      <c r="AJ10" s="123"/>
      <c r="AK10" s="123">
        <f t="shared" si="10"/>
        <v>0</v>
      </c>
      <c r="AL10" s="122">
        <v>0</v>
      </c>
      <c r="AM10" s="122">
        <f t="shared" si="0"/>
        <v>0</v>
      </c>
      <c r="AN10" s="1508">
        <f t="shared" si="11"/>
        <v>0</v>
      </c>
      <c r="AO10" s="586" t="s">
        <v>1850</v>
      </c>
      <c r="AP10" s="897" t="s">
        <v>1892</v>
      </c>
      <c r="AQ10" s="114"/>
      <c r="AR10" s="932" t="s">
        <v>2315</v>
      </c>
      <c r="AS10" s="897" t="s">
        <v>2402</v>
      </c>
      <c r="AT10" s="897" t="s">
        <v>2437</v>
      </c>
      <c r="AU10" s="897" t="s">
        <v>2497</v>
      </c>
      <c r="AV10" s="897" t="s">
        <v>1893</v>
      </c>
    </row>
    <row r="11" spans="1:125" ht="136.94999999999999" customHeight="1" thickBot="1" x14ac:dyDescent="0.45">
      <c r="A11" s="112"/>
      <c r="B11" s="1509" t="s">
        <v>1078</v>
      </c>
      <c r="C11" s="1510" t="s">
        <v>1079</v>
      </c>
      <c r="D11" s="129" t="s">
        <v>1071</v>
      </c>
      <c r="E11" s="90">
        <v>0.12</v>
      </c>
      <c r="F11" s="121">
        <v>4</v>
      </c>
      <c r="G11" s="132">
        <v>1</v>
      </c>
      <c r="H11" s="132">
        <v>0</v>
      </c>
      <c r="I11" s="132">
        <v>2</v>
      </c>
      <c r="J11" s="122">
        <f t="shared" si="1"/>
        <v>0.25</v>
      </c>
      <c r="K11" s="122"/>
      <c r="L11" s="122">
        <f t="shared" si="3"/>
        <v>0.5</v>
      </c>
      <c r="M11" s="122">
        <f t="shared" si="4"/>
        <v>0.03</v>
      </c>
      <c r="N11" s="122"/>
      <c r="O11" s="122"/>
      <c r="P11" s="558">
        <v>0</v>
      </c>
      <c r="Q11" s="1152"/>
      <c r="R11" s="1152"/>
      <c r="S11" s="1152"/>
      <c r="T11" s="1152"/>
      <c r="U11" s="1153"/>
      <c r="V11" s="558">
        <f t="shared" si="5"/>
        <v>0</v>
      </c>
      <c r="W11" s="558">
        <f t="shared" si="6"/>
        <v>0</v>
      </c>
      <c r="X11" s="1152">
        <v>0</v>
      </c>
      <c r="Y11" s="558"/>
      <c r="Z11" s="558"/>
      <c r="AA11" s="558"/>
      <c r="AB11" s="558">
        <f t="shared" si="7"/>
        <v>0</v>
      </c>
      <c r="AC11" s="123">
        <f>+(P11/G11)</f>
        <v>0</v>
      </c>
      <c r="AD11" s="123"/>
      <c r="AE11" s="123">
        <f t="shared" si="8"/>
        <v>0</v>
      </c>
      <c r="AF11" s="123">
        <f>+AC11*E11</f>
        <v>0</v>
      </c>
      <c r="AG11" s="123"/>
      <c r="AH11" s="123">
        <f t="shared" si="9"/>
        <v>0</v>
      </c>
      <c r="AI11" s="123">
        <f>+P11/F11</f>
        <v>0</v>
      </c>
      <c r="AJ11" s="123">
        <v>0</v>
      </c>
      <c r="AK11" s="123">
        <f t="shared" si="10"/>
        <v>0</v>
      </c>
      <c r="AL11" s="122">
        <f>+AI11*E11</f>
        <v>0</v>
      </c>
      <c r="AM11" s="122">
        <f t="shared" si="0"/>
        <v>0</v>
      </c>
      <c r="AN11" s="1508">
        <f t="shared" si="11"/>
        <v>0</v>
      </c>
      <c r="AO11" s="586" t="s">
        <v>1850</v>
      </c>
      <c r="AP11" s="897" t="s">
        <v>1892</v>
      </c>
      <c r="AQ11" s="114"/>
      <c r="AR11" s="897" t="s">
        <v>2289</v>
      </c>
      <c r="AS11" s="897" t="s">
        <v>2402</v>
      </c>
      <c r="AT11" s="897" t="s">
        <v>2437</v>
      </c>
      <c r="AU11" s="897" t="s">
        <v>2497</v>
      </c>
      <c r="AV11" s="897" t="s">
        <v>1893</v>
      </c>
    </row>
    <row r="12" spans="1:125" ht="136.94999999999999" customHeight="1" thickBot="1" x14ac:dyDescent="0.45">
      <c r="A12" s="112"/>
      <c r="B12" s="1509" t="s">
        <v>1080</v>
      </c>
      <c r="C12" s="1510" t="s">
        <v>1081</v>
      </c>
      <c r="D12" s="129" t="s">
        <v>1071</v>
      </c>
      <c r="E12" s="90">
        <v>0.12</v>
      </c>
      <c r="F12" s="121">
        <v>6</v>
      </c>
      <c r="G12" s="132">
        <v>0</v>
      </c>
      <c r="H12" s="132">
        <v>0</v>
      </c>
      <c r="I12" s="132">
        <v>3</v>
      </c>
      <c r="J12" s="122"/>
      <c r="K12" s="122">
        <f t="shared" si="2"/>
        <v>0</v>
      </c>
      <c r="L12" s="122">
        <f t="shared" si="3"/>
        <v>0.5</v>
      </c>
      <c r="M12" s="122"/>
      <c r="N12" s="122">
        <f t="shared" ref="N12:N29" si="12">+(H12/F12)*E12</f>
        <v>0</v>
      </c>
      <c r="O12" s="122"/>
      <c r="P12" s="558"/>
      <c r="Q12" s="1152"/>
      <c r="R12" s="1152"/>
      <c r="S12" s="1152"/>
      <c r="T12" s="1152"/>
      <c r="U12" s="1153"/>
      <c r="V12" s="558">
        <f t="shared" si="5"/>
        <v>0</v>
      </c>
      <c r="W12" s="558">
        <f t="shared" si="6"/>
        <v>0</v>
      </c>
      <c r="X12" s="1152">
        <v>0</v>
      </c>
      <c r="Y12" s="558"/>
      <c r="Z12" s="558"/>
      <c r="AA12" s="558"/>
      <c r="AB12" s="558">
        <f t="shared" si="7"/>
        <v>0</v>
      </c>
      <c r="AC12" s="122"/>
      <c r="AD12" s="122"/>
      <c r="AE12" s="123">
        <f t="shared" si="8"/>
        <v>0</v>
      </c>
      <c r="AF12" s="122"/>
      <c r="AG12" s="122"/>
      <c r="AH12" s="123">
        <f t="shared" si="9"/>
        <v>0</v>
      </c>
      <c r="AI12" s="122"/>
      <c r="AJ12" s="122"/>
      <c r="AK12" s="123">
        <f t="shared" si="10"/>
        <v>0</v>
      </c>
      <c r="AL12" s="122"/>
      <c r="AM12" s="122">
        <f t="shared" si="0"/>
        <v>0</v>
      </c>
      <c r="AN12" s="1508">
        <f t="shared" si="11"/>
        <v>0</v>
      </c>
      <c r="AO12" s="586" t="s">
        <v>1850</v>
      </c>
      <c r="AP12" s="897" t="s">
        <v>1892</v>
      </c>
      <c r="AQ12" s="114"/>
      <c r="AR12" s="897" t="s">
        <v>2289</v>
      </c>
      <c r="AS12" s="897" t="s">
        <v>2402</v>
      </c>
      <c r="AT12" s="897" t="s">
        <v>2437</v>
      </c>
      <c r="AU12" s="897" t="s">
        <v>2497</v>
      </c>
      <c r="AV12" s="897" t="s">
        <v>1893</v>
      </c>
    </row>
    <row r="13" spans="1:125" ht="184.95" customHeight="1" thickBot="1" x14ac:dyDescent="0.45">
      <c r="A13" s="112"/>
      <c r="B13" s="1506" t="s">
        <v>1082</v>
      </c>
      <c r="C13" s="1507" t="s">
        <v>1083</v>
      </c>
      <c r="D13" s="129" t="s">
        <v>1071</v>
      </c>
      <c r="E13" s="90">
        <v>0.06</v>
      </c>
      <c r="F13" s="121">
        <v>33</v>
      </c>
      <c r="G13" s="132">
        <v>6.6</v>
      </c>
      <c r="H13" s="132">
        <v>8.25</v>
      </c>
      <c r="I13" s="132">
        <f>0.35*33</f>
        <v>11.549999999999999</v>
      </c>
      <c r="J13" s="122">
        <f t="shared" si="1"/>
        <v>0.19999999999999998</v>
      </c>
      <c r="K13" s="122">
        <f t="shared" si="2"/>
        <v>0.25</v>
      </c>
      <c r="L13" s="122">
        <f t="shared" si="3"/>
        <v>0.35</v>
      </c>
      <c r="M13" s="122">
        <f t="shared" si="4"/>
        <v>1.1999999999999999E-2</v>
      </c>
      <c r="N13" s="122">
        <f t="shared" si="12"/>
        <v>1.4999999999999999E-2</v>
      </c>
      <c r="O13" s="122"/>
      <c r="P13" s="558">
        <v>6.6</v>
      </c>
      <c r="Q13" s="1152">
        <v>0</v>
      </c>
      <c r="R13" s="1154">
        <v>0.1</v>
      </c>
      <c r="S13" s="1152">
        <v>0.04</v>
      </c>
      <c r="T13" s="1201">
        <v>11.07</v>
      </c>
      <c r="U13" s="1153"/>
      <c r="V13" s="558">
        <f t="shared" si="5"/>
        <v>11.21</v>
      </c>
      <c r="W13" s="558">
        <f t="shared" si="6"/>
        <v>17.810000000000002</v>
      </c>
      <c r="X13" s="1152">
        <v>0</v>
      </c>
      <c r="Y13" s="558"/>
      <c r="Z13" s="558"/>
      <c r="AA13" s="558"/>
      <c r="AB13" s="558">
        <f t="shared" si="7"/>
        <v>0</v>
      </c>
      <c r="AC13" s="122">
        <f>+(P13/G13)</f>
        <v>1</v>
      </c>
      <c r="AD13" s="122">
        <v>1</v>
      </c>
      <c r="AE13" s="123">
        <f t="shared" si="8"/>
        <v>0</v>
      </c>
      <c r="AF13" s="122">
        <f>+AC13*E13</f>
        <v>0.06</v>
      </c>
      <c r="AG13" s="122">
        <f>+AD13*E13</f>
        <v>0.06</v>
      </c>
      <c r="AH13" s="123">
        <f t="shared" si="9"/>
        <v>0</v>
      </c>
      <c r="AI13" s="122">
        <f>+P13/F13</f>
        <v>0.19999999999999998</v>
      </c>
      <c r="AJ13" s="122">
        <v>0.20424242424242423</v>
      </c>
      <c r="AK13" s="123">
        <f t="shared" si="10"/>
        <v>0.53969696969696979</v>
      </c>
      <c r="AL13" s="122">
        <f>+AI13*E13</f>
        <v>1.1999999999999999E-2</v>
      </c>
      <c r="AM13" s="122">
        <f t="shared" si="0"/>
        <v>1.2254545454545454E-2</v>
      </c>
      <c r="AN13" s="1508">
        <f t="shared" si="11"/>
        <v>3.2381818181818185E-2</v>
      </c>
      <c r="AO13" s="586" t="s">
        <v>1850</v>
      </c>
      <c r="AP13" s="932" t="s">
        <v>1916</v>
      </c>
      <c r="AQ13" s="114"/>
      <c r="AR13" s="932" t="s">
        <v>2316</v>
      </c>
      <c r="AS13" s="932" t="s">
        <v>2316</v>
      </c>
      <c r="AT13" s="932" t="s">
        <v>1975</v>
      </c>
      <c r="AU13" s="932" t="s">
        <v>2469</v>
      </c>
      <c r="AV13" s="897" t="s">
        <v>1893</v>
      </c>
    </row>
    <row r="14" spans="1:125" ht="84" customHeight="1" thickBot="1" x14ac:dyDescent="0.45">
      <c r="A14" s="112"/>
      <c r="B14" s="1581" t="s">
        <v>1783</v>
      </c>
      <c r="C14" s="1582"/>
      <c r="D14" s="129"/>
      <c r="E14" s="89">
        <v>0.4</v>
      </c>
      <c r="F14" s="121"/>
      <c r="G14" s="132"/>
      <c r="H14" s="132"/>
      <c r="I14" s="132"/>
      <c r="J14" s="119">
        <f>+AVERAGE(J15:J21)</f>
        <v>0.25</v>
      </c>
      <c r="K14" s="119">
        <f>+AVERAGE(K15:K21)</f>
        <v>9.6428571428571433E-2</v>
      </c>
      <c r="L14" s="119">
        <f>+AVERAGE(L15:L21)</f>
        <v>0.24922222222222218</v>
      </c>
      <c r="M14" s="119">
        <f>+M15+M16+M17+M18+M19+M20+M21</f>
        <v>3.7500000000000006E-2</v>
      </c>
      <c r="N14" s="119">
        <f>+N15+N16+N17+N18+N19+N20+N21</f>
        <v>0.1075</v>
      </c>
      <c r="O14" s="119"/>
      <c r="P14" s="120"/>
      <c r="Q14" s="120"/>
      <c r="R14" s="120"/>
      <c r="S14" s="120"/>
      <c r="T14" s="120"/>
      <c r="U14" s="993"/>
      <c r="V14" s="120"/>
      <c r="W14" s="558">
        <f t="shared" si="6"/>
        <v>0</v>
      </c>
      <c r="X14" s="120"/>
      <c r="Y14" s="120"/>
      <c r="Z14" s="120"/>
      <c r="AA14" s="120"/>
      <c r="AB14" s="120"/>
      <c r="AC14" s="559">
        <f>+AVERAGE(AC15:AC21)</f>
        <v>0</v>
      </c>
      <c r="AD14" s="559">
        <f>+AVERAGE(AD15:AD21)</f>
        <v>1</v>
      </c>
      <c r="AE14" s="559">
        <f>+AVERAGE(AE15:AE21)</f>
        <v>7.575757575757576E-2</v>
      </c>
      <c r="AF14" s="559">
        <f>+(AF15+AF16+AF17+AF18+AF19+AF20+AF21)*E14</f>
        <v>0</v>
      </c>
      <c r="AG14" s="559">
        <f>+(AG15+AG16+AG17+AG18+AG19+AG20+AG21)*E14</f>
        <v>0.22000000000000003</v>
      </c>
      <c r="AH14" s="559">
        <f>+(AH15+AH16+AH17+AH18+AH19+AH20+AH21)*E14</f>
        <v>4.5454545454545456E-2</v>
      </c>
      <c r="AI14" s="119">
        <f>+AVERAGE(AI15:AI21)</f>
        <v>0</v>
      </c>
      <c r="AJ14" s="119">
        <v>0.40487012987012988</v>
      </c>
      <c r="AK14" s="119">
        <f>+AVERAGE(AK15:AK21)</f>
        <v>0.4229076479076479</v>
      </c>
      <c r="AL14" s="119">
        <f>+(AL15+AL16+AL17+AL18+AL19+AL20+AL21)*E14</f>
        <v>0</v>
      </c>
      <c r="AM14" s="119">
        <f>+(AM15+AM16+AM17+AM18+AM19+AM20+AM21)</f>
        <v>0.25522727272727275</v>
      </c>
      <c r="AN14" s="119">
        <f>+(AN15+AN16+AN17+AN18+AN19+AN20+AN21)</f>
        <v>0.29310606060606059</v>
      </c>
      <c r="AO14" s="929"/>
      <c r="AP14" s="114"/>
      <c r="AQ14" s="114"/>
      <c r="AR14" s="114"/>
      <c r="AS14" s="114"/>
      <c r="AT14" s="114"/>
      <c r="AU14" s="114"/>
      <c r="AV14" s="1149"/>
    </row>
    <row r="15" spans="1:125" ht="116.4" customHeight="1" thickBot="1" x14ac:dyDescent="0.45">
      <c r="A15" s="112"/>
      <c r="B15" s="1506" t="s">
        <v>1084</v>
      </c>
      <c r="C15" s="1507" t="s">
        <v>1085</v>
      </c>
      <c r="D15" s="786" t="s">
        <v>162</v>
      </c>
      <c r="E15" s="127">
        <v>0.05</v>
      </c>
      <c r="F15" s="121">
        <v>4</v>
      </c>
      <c r="G15" s="132">
        <v>0</v>
      </c>
      <c r="H15" s="132"/>
      <c r="I15" s="132">
        <v>0</v>
      </c>
      <c r="J15" s="122"/>
      <c r="K15" s="122">
        <f t="shared" si="2"/>
        <v>0</v>
      </c>
      <c r="L15" s="122"/>
      <c r="M15" s="122"/>
      <c r="N15" s="122">
        <f t="shared" si="12"/>
        <v>0</v>
      </c>
      <c r="O15" s="122"/>
      <c r="P15" s="558"/>
      <c r="Q15" s="1152"/>
      <c r="R15" s="1152"/>
      <c r="S15" s="1152"/>
      <c r="T15" s="1152"/>
      <c r="U15" s="1152"/>
      <c r="V15" s="558">
        <f t="shared" si="5"/>
        <v>0</v>
      </c>
      <c r="W15" s="558">
        <v>4</v>
      </c>
      <c r="X15" s="558"/>
      <c r="Y15" s="558"/>
      <c r="Z15" s="558"/>
      <c r="AA15" s="558"/>
      <c r="AB15" s="558"/>
      <c r="AC15" s="122"/>
      <c r="AD15" s="122"/>
      <c r="AE15" s="122"/>
      <c r="AF15" s="122"/>
      <c r="AG15" s="122">
        <f t="shared" ref="AG15:AG21" si="13">+AD15*E15</f>
        <v>0</v>
      </c>
      <c r="AH15" s="122">
        <f t="shared" ref="AH15:AH21" si="14">+AE15*E15</f>
        <v>0</v>
      </c>
      <c r="AI15" s="122"/>
      <c r="AJ15" s="122">
        <v>1</v>
      </c>
      <c r="AK15" s="122">
        <f t="shared" si="10"/>
        <v>1</v>
      </c>
      <c r="AL15" s="122"/>
      <c r="AM15" s="122">
        <f t="shared" ref="AM15:AM21" si="15">+AJ15*E15</f>
        <v>0.05</v>
      </c>
      <c r="AN15" s="1148">
        <f t="shared" si="11"/>
        <v>0.05</v>
      </c>
      <c r="AO15" s="930" t="s">
        <v>1863</v>
      </c>
      <c r="AP15" s="932" t="s">
        <v>1865</v>
      </c>
      <c r="AQ15" s="932" t="s">
        <v>1865</v>
      </c>
      <c r="AR15" s="897" t="s">
        <v>2325</v>
      </c>
      <c r="AS15" s="897" t="s">
        <v>2325</v>
      </c>
      <c r="AT15" s="897" t="s">
        <v>2325</v>
      </c>
      <c r="AU15" s="897" t="s">
        <v>2497</v>
      </c>
      <c r="AV15" s="897" t="s">
        <v>1893</v>
      </c>
    </row>
    <row r="16" spans="1:125" ht="133.19999999999999" customHeight="1" thickBot="1" x14ac:dyDescent="0.45">
      <c r="A16" s="112"/>
      <c r="B16" s="113" t="s">
        <v>1086</v>
      </c>
      <c r="C16" s="126" t="s">
        <v>1087</v>
      </c>
      <c r="D16" s="786" t="s">
        <v>162</v>
      </c>
      <c r="E16" s="127">
        <v>0.05</v>
      </c>
      <c r="F16" s="121">
        <v>1</v>
      </c>
      <c r="G16" s="132">
        <v>0</v>
      </c>
      <c r="H16" s="132"/>
      <c r="I16" s="132"/>
      <c r="J16" s="122"/>
      <c r="K16" s="122">
        <f t="shared" si="2"/>
        <v>0</v>
      </c>
      <c r="L16" s="122">
        <f t="shared" si="3"/>
        <v>0</v>
      </c>
      <c r="M16" s="122"/>
      <c r="N16" s="122">
        <f t="shared" si="12"/>
        <v>0</v>
      </c>
      <c r="O16" s="122"/>
      <c r="P16" s="558"/>
      <c r="Q16" s="1152"/>
      <c r="R16" s="558"/>
      <c r="S16" s="558"/>
      <c r="T16" s="558"/>
      <c r="U16" s="1153"/>
      <c r="V16" s="558">
        <f t="shared" si="5"/>
        <v>0</v>
      </c>
      <c r="W16" s="558">
        <f t="shared" si="6"/>
        <v>0</v>
      </c>
      <c r="X16" s="558"/>
      <c r="Y16" s="558"/>
      <c r="Z16" s="558"/>
      <c r="AA16" s="558"/>
      <c r="AB16" s="558">
        <f t="shared" si="7"/>
        <v>0</v>
      </c>
      <c r="AC16" s="122"/>
      <c r="AD16" s="122"/>
      <c r="AE16" s="122"/>
      <c r="AF16" s="122"/>
      <c r="AG16" s="122">
        <f t="shared" si="13"/>
        <v>0</v>
      </c>
      <c r="AH16" s="122">
        <f t="shared" si="14"/>
        <v>0</v>
      </c>
      <c r="AI16" s="122"/>
      <c r="AJ16" s="122">
        <v>0</v>
      </c>
      <c r="AK16" s="122">
        <f t="shared" si="10"/>
        <v>0</v>
      </c>
      <c r="AL16" s="122"/>
      <c r="AM16" s="122">
        <f t="shared" si="15"/>
        <v>0</v>
      </c>
      <c r="AN16" s="1148">
        <f t="shared" si="11"/>
        <v>0</v>
      </c>
      <c r="AO16" s="930" t="s">
        <v>1863</v>
      </c>
      <c r="AP16" s="932" t="s">
        <v>1865</v>
      </c>
      <c r="AQ16" s="114"/>
      <c r="AR16" s="932" t="s">
        <v>2319</v>
      </c>
      <c r="AS16" s="932" t="s">
        <v>2319</v>
      </c>
      <c r="AT16" s="932" t="s">
        <v>2319</v>
      </c>
      <c r="AU16" s="114"/>
      <c r="AV16" s="1149"/>
    </row>
    <row r="17" spans="1:48" ht="109.95" customHeight="1" thickBot="1" x14ac:dyDescent="0.45">
      <c r="A17" s="112"/>
      <c r="B17" s="1509" t="s">
        <v>1088</v>
      </c>
      <c r="C17" s="1510" t="s">
        <v>1089</v>
      </c>
      <c r="D17" s="129" t="s">
        <v>620</v>
      </c>
      <c r="E17" s="90">
        <v>0.05</v>
      </c>
      <c r="F17" s="121">
        <v>4</v>
      </c>
      <c r="G17" s="132">
        <v>1</v>
      </c>
      <c r="H17" s="132">
        <v>1</v>
      </c>
      <c r="I17" s="132">
        <v>1</v>
      </c>
      <c r="J17" s="122">
        <f>+G17/F17</f>
        <v>0.25</v>
      </c>
      <c r="K17" s="122">
        <f t="shared" si="2"/>
        <v>0.25</v>
      </c>
      <c r="L17" s="122">
        <f t="shared" si="3"/>
        <v>0.25</v>
      </c>
      <c r="M17" s="122">
        <f>+(G17/F17)*E17</f>
        <v>1.2500000000000001E-2</v>
      </c>
      <c r="N17" s="122">
        <f t="shared" si="12"/>
        <v>1.2500000000000001E-2</v>
      </c>
      <c r="O17" s="122"/>
      <c r="P17" s="558">
        <v>0</v>
      </c>
      <c r="Q17" s="1152">
        <v>0</v>
      </c>
      <c r="R17" s="1152">
        <v>1</v>
      </c>
      <c r="S17" s="1152">
        <v>0</v>
      </c>
      <c r="T17" s="1152">
        <v>0</v>
      </c>
      <c r="U17" s="1152">
        <v>0</v>
      </c>
      <c r="V17" s="558">
        <f t="shared" si="5"/>
        <v>1</v>
      </c>
      <c r="W17" s="558">
        <f t="shared" si="6"/>
        <v>1</v>
      </c>
      <c r="X17" s="1152">
        <v>0</v>
      </c>
      <c r="Y17" s="558"/>
      <c r="Z17" s="558"/>
      <c r="AA17" s="558"/>
      <c r="AB17" s="558">
        <f t="shared" si="7"/>
        <v>0</v>
      </c>
      <c r="AC17" s="122">
        <f>+(P17/G17)</f>
        <v>0</v>
      </c>
      <c r="AD17" s="122">
        <f>+V17/H17</f>
        <v>1</v>
      </c>
      <c r="AE17" s="122">
        <f t="shared" si="8"/>
        <v>0</v>
      </c>
      <c r="AF17" s="122">
        <f>+AC17*E17</f>
        <v>0</v>
      </c>
      <c r="AG17" s="122">
        <f t="shared" si="13"/>
        <v>0.05</v>
      </c>
      <c r="AH17" s="122">
        <f t="shared" si="14"/>
        <v>0</v>
      </c>
      <c r="AI17" s="122">
        <f>+P17/F17</f>
        <v>0</v>
      </c>
      <c r="AJ17" s="122">
        <v>0.25</v>
      </c>
      <c r="AK17" s="122">
        <f t="shared" si="10"/>
        <v>0.25</v>
      </c>
      <c r="AL17" s="122">
        <f>+AI17*E17</f>
        <v>0</v>
      </c>
      <c r="AM17" s="122">
        <f t="shared" si="15"/>
        <v>1.2500000000000001E-2</v>
      </c>
      <c r="AN17" s="1508">
        <f t="shared" si="11"/>
        <v>1.2500000000000001E-2</v>
      </c>
      <c r="AO17" s="586" t="s">
        <v>1850</v>
      </c>
      <c r="AP17" s="897" t="s">
        <v>1892</v>
      </c>
      <c r="AQ17" s="897" t="s">
        <v>2270</v>
      </c>
      <c r="AR17" s="897" t="s">
        <v>2289</v>
      </c>
      <c r="AS17" s="897" t="s">
        <v>2402</v>
      </c>
      <c r="AT17" s="897" t="s">
        <v>2436</v>
      </c>
      <c r="AU17" s="897" t="s">
        <v>2493</v>
      </c>
      <c r="AV17" s="897" t="s">
        <v>1893</v>
      </c>
    </row>
    <row r="18" spans="1:48" ht="133.19999999999999" customHeight="1" thickBot="1" x14ac:dyDescent="0.45">
      <c r="A18" s="112"/>
      <c r="B18" s="1509" t="s">
        <v>1090</v>
      </c>
      <c r="C18" s="1510" t="s">
        <v>1091</v>
      </c>
      <c r="D18" s="129" t="s">
        <v>620</v>
      </c>
      <c r="E18" s="90">
        <v>0.1</v>
      </c>
      <c r="F18" s="121">
        <v>4</v>
      </c>
      <c r="G18" s="132">
        <v>1</v>
      </c>
      <c r="H18" s="132">
        <v>1</v>
      </c>
      <c r="I18" s="132">
        <v>1</v>
      </c>
      <c r="J18" s="122">
        <f>+G18/F18</f>
        <v>0.25</v>
      </c>
      <c r="K18" s="122">
        <f t="shared" si="2"/>
        <v>0.25</v>
      </c>
      <c r="L18" s="122">
        <f t="shared" si="3"/>
        <v>0.25</v>
      </c>
      <c r="M18" s="122">
        <f>+(G18/F18)*E18</f>
        <v>2.5000000000000001E-2</v>
      </c>
      <c r="N18" s="122">
        <f t="shared" si="12"/>
        <v>2.5000000000000001E-2</v>
      </c>
      <c r="O18" s="122"/>
      <c r="P18" s="558">
        <v>0</v>
      </c>
      <c r="Q18" s="1152">
        <v>0</v>
      </c>
      <c r="R18" s="1152">
        <v>0</v>
      </c>
      <c r="S18" s="1152">
        <v>0</v>
      </c>
      <c r="T18" s="1152">
        <v>1</v>
      </c>
      <c r="U18" s="1152">
        <v>0</v>
      </c>
      <c r="V18" s="558">
        <f t="shared" si="5"/>
        <v>1</v>
      </c>
      <c r="W18" s="558">
        <f t="shared" si="6"/>
        <v>1</v>
      </c>
      <c r="X18" s="1152">
        <v>0</v>
      </c>
      <c r="Y18" s="558"/>
      <c r="Z18" s="558"/>
      <c r="AA18" s="558"/>
      <c r="AB18" s="558">
        <f t="shared" si="7"/>
        <v>0</v>
      </c>
      <c r="AC18" s="122">
        <f>+(P18/G18)</f>
        <v>0</v>
      </c>
      <c r="AD18" s="122">
        <f>+V18/H18</f>
        <v>1</v>
      </c>
      <c r="AE18" s="122">
        <f t="shared" si="8"/>
        <v>0</v>
      </c>
      <c r="AF18" s="122">
        <f>+AC18*E18</f>
        <v>0</v>
      </c>
      <c r="AG18" s="122">
        <f t="shared" si="13"/>
        <v>0.1</v>
      </c>
      <c r="AH18" s="122">
        <f t="shared" si="14"/>
        <v>0</v>
      </c>
      <c r="AI18" s="122">
        <f>+P18/F18</f>
        <v>0</v>
      </c>
      <c r="AJ18" s="122">
        <v>0.25</v>
      </c>
      <c r="AK18" s="122">
        <f t="shared" si="10"/>
        <v>0.25</v>
      </c>
      <c r="AL18" s="122">
        <f>+AI18*E18</f>
        <v>0</v>
      </c>
      <c r="AM18" s="122">
        <f t="shared" si="15"/>
        <v>2.5000000000000001E-2</v>
      </c>
      <c r="AN18" s="1508">
        <f t="shared" si="11"/>
        <v>2.5000000000000001E-2</v>
      </c>
      <c r="AO18" s="586" t="s">
        <v>1850</v>
      </c>
      <c r="AP18" s="897" t="s">
        <v>1892</v>
      </c>
      <c r="AQ18" s="897" t="s">
        <v>2270</v>
      </c>
      <c r="AR18" s="897" t="s">
        <v>2289</v>
      </c>
      <c r="AS18" s="897" t="s">
        <v>2402</v>
      </c>
      <c r="AT18" s="897" t="s">
        <v>2436</v>
      </c>
      <c r="AU18" s="897" t="s">
        <v>2493</v>
      </c>
      <c r="AV18" s="897" t="s">
        <v>1893</v>
      </c>
    </row>
    <row r="19" spans="1:48" ht="175.2" customHeight="1" thickBot="1" x14ac:dyDescent="0.45">
      <c r="A19" s="112"/>
      <c r="B19" s="1509" t="s">
        <v>1092</v>
      </c>
      <c r="C19" s="1510" t="s">
        <v>1093</v>
      </c>
      <c r="D19" s="129" t="s">
        <v>707</v>
      </c>
      <c r="E19" s="90">
        <v>0.05</v>
      </c>
      <c r="F19" s="121">
        <v>1</v>
      </c>
      <c r="G19" s="132">
        <v>0</v>
      </c>
      <c r="H19" s="132">
        <v>0</v>
      </c>
      <c r="I19" s="132">
        <v>0.35</v>
      </c>
      <c r="J19" s="122"/>
      <c r="K19" s="122">
        <f t="shared" si="2"/>
        <v>0</v>
      </c>
      <c r="L19" s="122"/>
      <c r="M19" s="122"/>
      <c r="N19" s="122">
        <f t="shared" si="12"/>
        <v>0</v>
      </c>
      <c r="O19" s="122"/>
      <c r="P19" s="558"/>
      <c r="Q19" s="1152"/>
      <c r="R19" s="1152"/>
      <c r="S19" s="1152"/>
      <c r="T19" s="1152"/>
      <c r="U19" s="1152">
        <v>1</v>
      </c>
      <c r="V19" s="558">
        <f t="shared" si="5"/>
        <v>1</v>
      </c>
      <c r="W19" s="558">
        <f t="shared" si="6"/>
        <v>1</v>
      </c>
      <c r="X19" s="1152">
        <v>0</v>
      </c>
      <c r="Y19" s="558"/>
      <c r="Z19" s="558"/>
      <c r="AA19" s="558"/>
      <c r="AB19" s="558">
        <f t="shared" si="7"/>
        <v>0</v>
      </c>
      <c r="AC19" s="122"/>
      <c r="AD19" s="122"/>
      <c r="AE19" s="122">
        <f t="shared" si="8"/>
        <v>0</v>
      </c>
      <c r="AF19" s="122"/>
      <c r="AG19" s="123">
        <f t="shared" si="13"/>
        <v>0</v>
      </c>
      <c r="AH19" s="123">
        <f t="shared" si="14"/>
        <v>0</v>
      </c>
      <c r="AI19" s="123"/>
      <c r="AJ19" s="123">
        <v>1</v>
      </c>
      <c r="AK19" s="123">
        <f t="shared" si="10"/>
        <v>1</v>
      </c>
      <c r="AL19" s="123"/>
      <c r="AM19" s="123">
        <f t="shared" si="15"/>
        <v>0.05</v>
      </c>
      <c r="AN19" s="1511">
        <f t="shared" si="11"/>
        <v>0.05</v>
      </c>
      <c r="AO19" s="586" t="s">
        <v>1850</v>
      </c>
      <c r="AP19" s="932" t="s">
        <v>1913</v>
      </c>
      <c r="AQ19" s="114"/>
      <c r="AR19" s="933" t="s">
        <v>2301</v>
      </c>
      <c r="AS19" s="897" t="s">
        <v>2402</v>
      </c>
      <c r="AT19" s="897" t="s">
        <v>2436</v>
      </c>
      <c r="AU19" s="897" t="s">
        <v>2493</v>
      </c>
      <c r="AV19" s="897" t="s">
        <v>1893</v>
      </c>
    </row>
    <row r="20" spans="1:48" ht="137.4" customHeight="1" thickBot="1" x14ac:dyDescent="0.45">
      <c r="A20" s="112"/>
      <c r="B20" s="1509" t="s">
        <v>1094</v>
      </c>
      <c r="C20" s="1510" t="s">
        <v>1095</v>
      </c>
      <c r="D20" s="129" t="s">
        <v>707</v>
      </c>
      <c r="E20" s="90">
        <v>0.3</v>
      </c>
      <c r="F20" s="121">
        <v>396</v>
      </c>
      <c r="G20" s="132">
        <v>0</v>
      </c>
      <c r="H20" s="132">
        <v>0</v>
      </c>
      <c r="I20" s="132">
        <v>132</v>
      </c>
      <c r="J20" s="122"/>
      <c r="K20" s="122">
        <f t="shared" si="2"/>
        <v>0</v>
      </c>
      <c r="L20" s="122">
        <f t="shared" si="3"/>
        <v>0.33333333333333331</v>
      </c>
      <c r="M20" s="122"/>
      <c r="N20" s="122">
        <f t="shared" si="12"/>
        <v>0</v>
      </c>
      <c r="O20" s="122"/>
      <c r="P20" s="558"/>
      <c r="Q20" s="1152"/>
      <c r="R20" s="1152"/>
      <c r="S20" s="1152"/>
      <c r="T20" s="1152">
        <v>63</v>
      </c>
      <c r="U20" s="1152"/>
      <c r="V20" s="558">
        <f t="shared" si="5"/>
        <v>63</v>
      </c>
      <c r="W20" s="558">
        <f t="shared" si="6"/>
        <v>113</v>
      </c>
      <c r="X20" s="1152">
        <v>50</v>
      </c>
      <c r="Y20" s="558"/>
      <c r="Z20" s="558"/>
      <c r="AA20" s="558"/>
      <c r="AB20" s="558">
        <f t="shared" si="7"/>
        <v>50</v>
      </c>
      <c r="AC20" s="122"/>
      <c r="AD20" s="122"/>
      <c r="AE20" s="122">
        <f t="shared" si="8"/>
        <v>0.37878787878787878</v>
      </c>
      <c r="AF20" s="122"/>
      <c r="AG20" s="123">
        <f t="shared" si="13"/>
        <v>0</v>
      </c>
      <c r="AH20" s="123">
        <f t="shared" si="14"/>
        <v>0.11363636363636363</v>
      </c>
      <c r="AI20" s="123"/>
      <c r="AJ20" s="123">
        <v>0.15909090909090909</v>
      </c>
      <c r="AK20" s="123">
        <f t="shared" si="10"/>
        <v>0.28535353535353536</v>
      </c>
      <c r="AL20" s="123"/>
      <c r="AM20" s="123">
        <f t="shared" si="15"/>
        <v>4.7727272727272722E-2</v>
      </c>
      <c r="AN20" s="1511">
        <f t="shared" si="11"/>
        <v>8.5606060606060602E-2</v>
      </c>
      <c r="AO20" s="586" t="s">
        <v>1850</v>
      </c>
      <c r="AP20" s="932" t="s">
        <v>1913</v>
      </c>
      <c r="AQ20" s="114"/>
      <c r="AR20" s="933" t="s">
        <v>2301</v>
      </c>
      <c r="AS20" s="897" t="s">
        <v>2402</v>
      </c>
      <c r="AT20" s="897" t="s">
        <v>2436</v>
      </c>
      <c r="AU20" s="897" t="s">
        <v>2493</v>
      </c>
      <c r="AV20" s="897" t="s">
        <v>1893</v>
      </c>
    </row>
    <row r="21" spans="1:48" ht="118.2" customHeight="1" thickBot="1" x14ac:dyDescent="0.45">
      <c r="A21" s="112"/>
      <c r="B21" s="1506" t="s">
        <v>1096</v>
      </c>
      <c r="C21" s="1507" t="s">
        <v>1097</v>
      </c>
      <c r="D21" s="129" t="s">
        <v>551</v>
      </c>
      <c r="E21" s="90">
        <v>0.4</v>
      </c>
      <c r="F21" s="121">
        <f>450*4</f>
        <v>1800</v>
      </c>
      <c r="G21" s="132">
        <v>0</v>
      </c>
      <c r="H21" s="132">
        <v>315</v>
      </c>
      <c r="I21" s="132">
        <v>743</v>
      </c>
      <c r="J21" s="122"/>
      <c r="K21" s="122">
        <f t="shared" si="2"/>
        <v>0.17499999999999999</v>
      </c>
      <c r="L21" s="122">
        <f t="shared" si="3"/>
        <v>0.4127777777777778</v>
      </c>
      <c r="M21" s="122"/>
      <c r="N21" s="122">
        <f t="shared" si="12"/>
        <v>6.9999999999999993E-2</v>
      </c>
      <c r="O21" s="122"/>
      <c r="P21" s="558"/>
      <c r="Q21" s="1152"/>
      <c r="R21" s="1152">
        <v>275</v>
      </c>
      <c r="S21" s="1152">
        <v>40</v>
      </c>
      <c r="T21" s="1152">
        <v>0</v>
      </c>
      <c r="U21" s="1152">
        <v>0</v>
      </c>
      <c r="V21" s="558">
        <f t="shared" si="5"/>
        <v>315</v>
      </c>
      <c r="W21" s="558">
        <f t="shared" si="6"/>
        <v>315</v>
      </c>
      <c r="X21" s="1152">
        <v>0</v>
      </c>
      <c r="Y21" s="558"/>
      <c r="Z21" s="558"/>
      <c r="AA21" s="558"/>
      <c r="AB21" s="558">
        <f t="shared" si="7"/>
        <v>0</v>
      </c>
      <c r="AC21" s="122"/>
      <c r="AD21" s="123">
        <f>+V21/H21</f>
        <v>1</v>
      </c>
      <c r="AE21" s="123">
        <f t="shared" si="8"/>
        <v>0</v>
      </c>
      <c r="AF21" s="122"/>
      <c r="AG21" s="122">
        <f t="shared" si="13"/>
        <v>0.4</v>
      </c>
      <c r="AH21" s="122">
        <f t="shared" si="14"/>
        <v>0</v>
      </c>
      <c r="AI21" s="122"/>
      <c r="AJ21" s="123">
        <v>0.17499999999999999</v>
      </c>
      <c r="AK21" s="123">
        <f t="shared" si="10"/>
        <v>0.17499999999999999</v>
      </c>
      <c r="AL21" s="122"/>
      <c r="AM21" s="122">
        <f t="shared" si="15"/>
        <v>6.9999999999999993E-2</v>
      </c>
      <c r="AN21" s="1148">
        <f t="shared" si="11"/>
        <v>6.9999999999999993E-2</v>
      </c>
      <c r="AO21" s="592" t="s">
        <v>1580</v>
      </c>
      <c r="AP21" s="932" t="s">
        <v>1919</v>
      </c>
      <c r="AQ21" s="897" t="s">
        <v>2270</v>
      </c>
      <c r="AR21" s="897" t="s">
        <v>2289</v>
      </c>
      <c r="AS21" s="897" t="s">
        <v>2348</v>
      </c>
      <c r="AT21" s="897" t="s">
        <v>2436</v>
      </c>
      <c r="AU21" s="897" t="s">
        <v>2493</v>
      </c>
      <c r="AV21" s="897" t="s">
        <v>1893</v>
      </c>
    </row>
    <row r="22" spans="1:48" ht="75" customHeight="1" thickBot="1" x14ac:dyDescent="0.45">
      <c r="A22" s="112"/>
      <c r="B22" s="1581" t="s">
        <v>1784</v>
      </c>
      <c r="C22" s="1582"/>
      <c r="D22" s="129"/>
      <c r="E22" s="89">
        <v>0.2</v>
      </c>
      <c r="F22" s="121"/>
      <c r="G22" s="132"/>
      <c r="H22" s="132"/>
      <c r="I22" s="132"/>
      <c r="J22" s="119">
        <f>+AVERAGE(J23:J29)</f>
        <v>0.4</v>
      </c>
      <c r="K22" s="119">
        <f>+AVERAGE(K23:K29)</f>
        <v>0.33214285714285718</v>
      </c>
      <c r="L22" s="119">
        <f>+AVERAGE(L23:L29)</f>
        <v>0.45250000000000001</v>
      </c>
      <c r="M22" s="119">
        <f>+M23+M24+M25+M26+M27+M28+M29</f>
        <v>4.0000000000000008E-2</v>
      </c>
      <c r="N22" s="119">
        <f>+N23+N24+N25+N26+N27+N28+N29</f>
        <v>0.32625000000000004</v>
      </c>
      <c r="O22" s="119"/>
      <c r="P22" s="120"/>
      <c r="Q22" s="120"/>
      <c r="R22" s="120"/>
      <c r="S22" s="120"/>
      <c r="T22" s="120"/>
      <c r="U22" s="993"/>
      <c r="V22" s="120"/>
      <c r="W22" s="558">
        <f t="shared" si="6"/>
        <v>0</v>
      </c>
      <c r="X22" s="120"/>
      <c r="Y22" s="120"/>
      <c r="Z22" s="120"/>
      <c r="AA22" s="120"/>
      <c r="AB22" s="120"/>
      <c r="AC22" s="559">
        <f>+AVERAGE(AC23:AC29)</f>
        <v>1</v>
      </c>
      <c r="AD22" s="559">
        <f>+AVERAGE(AD23:AD29)</f>
        <v>0.83750000000000002</v>
      </c>
      <c r="AE22" s="559">
        <f>+AVERAGE(AE23:AE29)</f>
        <v>0</v>
      </c>
      <c r="AF22" s="559">
        <f>+(AF23+AF24+AF25+AF26+AF27+AF28+AF29)*E22</f>
        <v>2.0000000000000004E-2</v>
      </c>
      <c r="AG22" s="559">
        <f>+(AG23+AG24+AG25+AG26+AG27+AG28+AG29)*E22</f>
        <v>7.9000000000000015E-2</v>
      </c>
      <c r="AH22" s="559">
        <f>+(AH23+AH24+AH25+AH26+AH27+AH28+AH29)*E22</f>
        <v>0</v>
      </c>
      <c r="AI22" s="119">
        <f>+AVERAGE(AI23:AI29)*(1/7)</f>
        <v>5.7142857142857141E-2</v>
      </c>
      <c r="AJ22" s="119">
        <v>0.35</v>
      </c>
      <c r="AK22" s="119">
        <f>+AJ22+((AK23-AJ23)/7)+((AK25-AJ25)/7)+((AK26-AJ26)/7)</f>
        <v>0.35</v>
      </c>
      <c r="AL22" s="119">
        <f>+(AL23+AL24+AL25+AL26+AL27+AL28+AL29)*E22</f>
        <v>8.0000000000000019E-3</v>
      </c>
      <c r="AM22" s="119">
        <f>+(AM23+AM24+AM25+AM26+AM27+AM28+AM29)</f>
        <v>0.54249999999999998</v>
      </c>
      <c r="AN22" s="119">
        <f>+(AN23+AN24+AN25+AN26+AN27+AN28+AN29)</f>
        <v>0.53312500000000007</v>
      </c>
      <c r="AO22" s="929"/>
      <c r="AP22" s="114"/>
      <c r="AQ22" s="114"/>
      <c r="AR22" s="114"/>
      <c r="AS22" s="114"/>
      <c r="AT22" s="114"/>
      <c r="AU22" s="114"/>
      <c r="AV22" s="1149"/>
    </row>
    <row r="23" spans="1:48" ht="139.94999999999999" customHeight="1" thickBot="1" x14ac:dyDescent="0.45">
      <c r="A23" s="112"/>
      <c r="B23" s="1506" t="s">
        <v>1098</v>
      </c>
      <c r="C23" s="1507" t="s">
        <v>1099</v>
      </c>
      <c r="D23" s="129" t="s">
        <v>560</v>
      </c>
      <c r="E23" s="90">
        <v>0.1</v>
      </c>
      <c r="F23" s="121">
        <v>5</v>
      </c>
      <c r="G23" s="132">
        <v>2</v>
      </c>
      <c r="H23" s="132">
        <v>1</v>
      </c>
      <c r="I23" s="132">
        <v>1</v>
      </c>
      <c r="J23" s="122">
        <f>+G23/F23</f>
        <v>0.4</v>
      </c>
      <c r="K23" s="122">
        <f t="shared" si="2"/>
        <v>0.2</v>
      </c>
      <c r="L23" s="122">
        <f t="shared" si="3"/>
        <v>0.2</v>
      </c>
      <c r="M23" s="122">
        <f>+(G23/F23)*E23</f>
        <v>4.0000000000000008E-2</v>
      </c>
      <c r="N23" s="122">
        <f t="shared" si="12"/>
        <v>2.0000000000000004E-2</v>
      </c>
      <c r="O23" s="122"/>
      <c r="P23" s="558">
        <v>2</v>
      </c>
      <c r="Q23" s="1152">
        <v>0</v>
      </c>
      <c r="R23" s="1152">
        <v>1</v>
      </c>
      <c r="S23" s="1152">
        <v>0</v>
      </c>
      <c r="T23" s="1152"/>
      <c r="U23" s="1152"/>
      <c r="V23" s="558">
        <f t="shared" si="5"/>
        <v>1</v>
      </c>
      <c r="W23" s="558">
        <f t="shared" si="6"/>
        <v>3</v>
      </c>
      <c r="X23" s="1152">
        <v>0</v>
      </c>
      <c r="Y23" s="558"/>
      <c r="Z23" s="558"/>
      <c r="AA23" s="558"/>
      <c r="AB23" s="558">
        <f t="shared" si="7"/>
        <v>0</v>
      </c>
      <c r="AC23" s="122">
        <f>+(P23/G23)</f>
        <v>1</v>
      </c>
      <c r="AD23" s="122">
        <f>+V23/H23</f>
        <v>1</v>
      </c>
      <c r="AE23" s="122">
        <f t="shared" si="8"/>
        <v>0</v>
      </c>
      <c r="AF23" s="122">
        <f>+AC23*E23</f>
        <v>0.1</v>
      </c>
      <c r="AG23" s="122">
        <f>+AD23*E23</f>
        <v>0.1</v>
      </c>
      <c r="AH23" s="122">
        <f t="shared" ref="AH23:AH29" si="16">+AE23*E23</f>
        <v>0</v>
      </c>
      <c r="AI23" s="122">
        <f>+P23/F23</f>
        <v>0.4</v>
      </c>
      <c r="AJ23" s="122">
        <v>0.6</v>
      </c>
      <c r="AK23" s="122">
        <f t="shared" si="10"/>
        <v>0.6</v>
      </c>
      <c r="AL23" s="122">
        <f>+AI23*E23</f>
        <v>4.0000000000000008E-2</v>
      </c>
      <c r="AM23" s="122">
        <f t="shared" ref="AM23:AM29" si="17">+AJ23*E23</f>
        <v>0.06</v>
      </c>
      <c r="AN23" s="1511">
        <f t="shared" si="11"/>
        <v>0.06</v>
      </c>
      <c r="AO23" s="586" t="s">
        <v>1850</v>
      </c>
      <c r="AP23" s="933" t="s">
        <v>1892</v>
      </c>
      <c r="AQ23" s="114"/>
      <c r="AR23" s="897" t="s">
        <v>2289</v>
      </c>
      <c r="AS23" s="897" t="s">
        <v>2402</v>
      </c>
      <c r="AT23" s="897" t="s">
        <v>2437</v>
      </c>
      <c r="AU23" s="897" t="s">
        <v>2497</v>
      </c>
      <c r="AV23" s="897" t="s">
        <v>1893</v>
      </c>
    </row>
    <row r="24" spans="1:48" ht="139.94999999999999" customHeight="1" thickBot="1" x14ac:dyDescent="0.45">
      <c r="A24" s="112"/>
      <c r="B24" s="113" t="s">
        <v>1100</v>
      </c>
      <c r="C24" s="126" t="s">
        <v>1101</v>
      </c>
      <c r="D24" s="884" t="s">
        <v>790</v>
      </c>
      <c r="E24" s="90">
        <v>0.15</v>
      </c>
      <c r="F24" s="121">
        <v>1</v>
      </c>
      <c r="G24" s="132">
        <v>0</v>
      </c>
      <c r="H24" s="132"/>
      <c r="I24" s="132"/>
      <c r="J24" s="122"/>
      <c r="K24" s="122">
        <f t="shared" si="2"/>
        <v>0</v>
      </c>
      <c r="L24" s="122">
        <f t="shared" si="3"/>
        <v>0</v>
      </c>
      <c r="M24" s="122"/>
      <c r="N24" s="122">
        <f t="shared" si="12"/>
        <v>0</v>
      </c>
      <c r="O24" s="122"/>
      <c r="P24" s="558"/>
      <c r="Q24" s="1152"/>
      <c r="R24" s="558"/>
      <c r="S24" s="558"/>
      <c r="T24" s="558"/>
      <c r="U24" s="1153"/>
      <c r="V24" s="558">
        <f t="shared" si="5"/>
        <v>0</v>
      </c>
      <c r="W24" s="558">
        <f t="shared" si="6"/>
        <v>0</v>
      </c>
      <c r="X24" s="558"/>
      <c r="Y24" s="558"/>
      <c r="Z24" s="558"/>
      <c r="AA24" s="558"/>
      <c r="AB24" s="558">
        <f t="shared" si="7"/>
        <v>0</v>
      </c>
      <c r="AC24" s="122"/>
      <c r="AD24" s="122"/>
      <c r="AE24" s="122"/>
      <c r="AF24" s="122"/>
      <c r="AG24" s="122"/>
      <c r="AH24" s="122">
        <f t="shared" si="16"/>
        <v>0</v>
      </c>
      <c r="AI24" s="122"/>
      <c r="AJ24" s="122"/>
      <c r="AK24" s="122">
        <f t="shared" si="10"/>
        <v>0</v>
      </c>
      <c r="AL24" s="122"/>
      <c r="AM24" s="122">
        <f t="shared" si="17"/>
        <v>0</v>
      </c>
      <c r="AN24" s="1512">
        <f t="shared" si="11"/>
        <v>0</v>
      </c>
      <c r="AO24" s="592" t="s">
        <v>1575</v>
      </c>
      <c r="AP24" s="932" t="s">
        <v>1865</v>
      </c>
      <c r="AQ24" s="897" t="s">
        <v>2270</v>
      </c>
      <c r="AR24" s="932" t="s">
        <v>1865</v>
      </c>
      <c r="AS24" s="932" t="s">
        <v>1865</v>
      </c>
      <c r="AT24" s="932" t="s">
        <v>1865</v>
      </c>
      <c r="AU24" s="932" t="s">
        <v>1865</v>
      </c>
      <c r="AV24" s="932" t="s">
        <v>1865</v>
      </c>
    </row>
    <row r="25" spans="1:48" ht="139.94999999999999" customHeight="1" thickBot="1" x14ac:dyDescent="0.45">
      <c r="A25" s="112"/>
      <c r="B25" s="1509" t="s">
        <v>1102</v>
      </c>
      <c r="C25" s="1510" t="s">
        <v>1103</v>
      </c>
      <c r="D25" s="129" t="s">
        <v>565</v>
      </c>
      <c r="E25" s="90">
        <v>0.2</v>
      </c>
      <c r="F25" s="121">
        <v>1</v>
      </c>
      <c r="G25" s="132">
        <v>0</v>
      </c>
      <c r="H25" s="132">
        <v>1</v>
      </c>
      <c r="I25" s="132">
        <v>1</v>
      </c>
      <c r="J25" s="122"/>
      <c r="K25" s="122">
        <f t="shared" si="2"/>
        <v>1</v>
      </c>
      <c r="L25" s="122">
        <f t="shared" si="3"/>
        <v>1</v>
      </c>
      <c r="M25" s="122"/>
      <c r="N25" s="122">
        <f t="shared" si="12"/>
        <v>0.2</v>
      </c>
      <c r="O25" s="122"/>
      <c r="P25" s="558"/>
      <c r="Q25" s="1152">
        <v>0</v>
      </c>
      <c r="R25" s="1152">
        <v>0.05</v>
      </c>
      <c r="S25" s="1152">
        <v>0.45</v>
      </c>
      <c r="T25" s="1152">
        <v>0.35</v>
      </c>
      <c r="U25" s="1152">
        <v>0</v>
      </c>
      <c r="V25" s="558">
        <f t="shared" si="5"/>
        <v>0.85</v>
      </c>
      <c r="W25" s="558">
        <f t="shared" si="6"/>
        <v>0.85</v>
      </c>
      <c r="X25" s="558">
        <v>0</v>
      </c>
      <c r="Y25" s="558"/>
      <c r="Z25" s="558"/>
      <c r="AA25" s="558"/>
      <c r="AB25" s="558">
        <f t="shared" si="7"/>
        <v>0</v>
      </c>
      <c r="AC25" s="122"/>
      <c r="AD25" s="123">
        <f>+V25/H25</f>
        <v>0.85</v>
      </c>
      <c r="AE25" s="123">
        <f t="shared" si="8"/>
        <v>0</v>
      </c>
      <c r="AF25" s="123"/>
      <c r="AG25" s="123">
        <f>+AD25*E25</f>
        <v>0.17</v>
      </c>
      <c r="AH25" s="123">
        <f t="shared" si="16"/>
        <v>0</v>
      </c>
      <c r="AI25" s="123"/>
      <c r="AJ25" s="123">
        <v>0.85</v>
      </c>
      <c r="AK25" s="123">
        <f t="shared" si="10"/>
        <v>0.85</v>
      </c>
      <c r="AL25" s="123"/>
      <c r="AM25" s="123">
        <f t="shared" si="17"/>
        <v>0.17</v>
      </c>
      <c r="AN25" s="1511">
        <f t="shared" si="11"/>
        <v>0.17</v>
      </c>
      <c r="AO25" s="586" t="s">
        <v>1850</v>
      </c>
      <c r="AP25" s="932" t="s">
        <v>1919</v>
      </c>
      <c r="AQ25" s="934" t="s">
        <v>2270</v>
      </c>
      <c r="AR25" s="897" t="s">
        <v>2289</v>
      </c>
      <c r="AS25" s="897" t="s">
        <v>2402</v>
      </c>
      <c r="AT25" s="897" t="s">
        <v>2436</v>
      </c>
      <c r="AU25" s="897" t="s">
        <v>2497</v>
      </c>
      <c r="AV25" s="897" t="s">
        <v>1893</v>
      </c>
    </row>
    <row r="26" spans="1:48" ht="139.94999999999999" customHeight="1" thickBot="1" x14ac:dyDescent="0.45">
      <c r="A26" s="112"/>
      <c r="B26" s="1506" t="s">
        <v>1104</v>
      </c>
      <c r="C26" s="1507" t="s">
        <v>1105</v>
      </c>
      <c r="D26" s="129" t="s">
        <v>907</v>
      </c>
      <c r="E26" s="90">
        <v>0.1</v>
      </c>
      <c r="F26" s="121">
        <v>1</v>
      </c>
      <c r="G26" s="132">
        <v>0</v>
      </c>
      <c r="H26" s="132">
        <v>1</v>
      </c>
      <c r="I26" s="132">
        <v>1</v>
      </c>
      <c r="J26" s="122"/>
      <c r="K26" s="122">
        <f t="shared" si="2"/>
        <v>1</v>
      </c>
      <c r="L26" s="122"/>
      <c r="M26" s="122"/>
      <c r="N26" s="122">
        <f t="shared" si="12"/>
        <v>0.1</v>
      </c>
      <c r="O26" s="122"/>
      <c r="P26" s="558"/>
      <c r="Q26" s="1152">
        <v>0</v>
      </c>
      <c r="R26" s="1152">
        <v>1</v>
      </c>
      <c r="S26" s="558"/>
      <c r="T26" s="558"/>
      <c r="U26" s="1153"/>
      <c r="V26" s="558">
        <f t="shared" si="5"/>
        <v>1</v>
      </c>
      <c r="W26" s="558">
        <f t="shared" si="6"/>
        <v>1</v>
      </c>
      <c r="X26" s="1152">
        <v>0</v>
      </c>
      <c r="Y26" s="558"/>
      <c r="Z26" s="558"/>
      <c r="AA26" s="558"/>
      <c r="AB26" s="558">
        <f t="shared" si="7"/>
        <v>0</v>
      </c>
      <c r="AC26" s="122"/>
      <c r="AD26" s="122">
        <f>+V26/H26</f>
        <v>1</v>
      </c>
      <c r="AE26" s="122">
        <f t="shared" si="8"/>
        <v>0</v>
      </c>
      <c r="AF26" s="122"/>
      <c r="AG26" s="122">
        <f>+AD26*E26</f>
        <v>0.1</v>
      </c>
      <c r="AH26" s="122">
        <f t="shared" si="16"/>
        <v>0</v>
      </c>
      <c r="AI26" s="122"/>
      <c r="AJ26" s="122">
        <v>1</v>
      </c>
      <c r="AK26" s="122">
        <f t="shared" si="10"/>
        <v>1</v>
      </c>
      <c r="AL26" s="122"/>
      <c r="AM26" s="122">
        <f t="shared" si="17"/>
        <v>0.1</v>
      </c>
      <c r="AN26" s="1512">
        <f t="shared" si="11"/>
        <v>0.1</v>
      </c>
      <c r="AO26" s="592" t="s">
        <v>1581</v>
      </c>
      <c r="AP26" s="932" t="s">
        <v>1919</v>
      </c>
      <c r="AQ26" s="114"/>
      <c r="AR26" s="897" t="s">
        <v>1591</v>
      </c>
      <c r="AS26" s="114"/>
      <c r="AT26" s="114"/>
      <c r="AU26" s="932" t="s">
        <v>1865</v>
      </c>
      <c r="AV26" s="897" t="s">
        <v>1893</v>
      </c>
    </row>
    <row r="27" spans="1:48" ht="139.94999999999999" customHeight="1" thickBot="1" x14ac:dyDescent="0.45">
      <c r="A27" s="112"/>
      <c r="B27" s="1509" t="s">
        <v>1106</v>
      </c>
      <c r="C27" s="1510" t="s">
        <v>1107</v>
      </c>
      <c r="D27" s="133" t="s">
        <v>1108</v>
      </c>
      <c r="E27" s="90">
        <v>0.2</v>
      </c>
      <c r="F27" s="121">
        <v>1</v>
      </c>
      <c r="G27" s="132">
        <v>0</v>
      </c>
      <c r="H27" s="132">
        <v>0</v>
      </c>
      <c r="I27" s="132">
        <v>0</v>
      </c>
      <c r="J27" s="122"/>
      <c r="K27" s="122">
        <f t="shared" si="2"/>
        <v>0</v>
      </c>
      <c r="L27" s="122"/>
      <c r="M27" s="122"/>
      <c r="N27" s="122">
        <f t="shared" si="12"/>
        <v>0</v>
      </c>
      <c r="O27" s="122"/>
      <c r="P27" s="558"/>
      <c r="Q27" s="1152"/>
      <c r="R27" s="1152"/>
      <c r="S27" s="1152"/>
      <c r="T27" s="1152">
        <v>1</v>
      </c>
      <c r="U27" s="1152"/>
      <c r="V27" s="558">
        <f t="shared" si="5"/>
        <v>1</v>
      </c>
      <c r="W27" s="558">
        <f t="shared" si="6"/>
        <v>1</v>
      </c>
      <c r="X27" s="1152">
        <v>0</v>
      </c>
      <c r="Y27" s="558"/>
      <c r="Z27" s="558"/>
      <c r="AA27" s="558"/>
      <c r="AB27" s="558">
        <f>+X27+Y27+Z27+AA27</f>
        <v>0</v>
      </c>
      <c r="AC27" s="122"/>
      <c r="AD27" s="122"/>
      <c r="AE27" s="122"/>
      <c r="AF27" s="122"/>
      <c r="AG27" s="123">
        <f>+AD27*E27</f>
        <v>0</v>
      </c>
      <c r="AH27" s="123"/>
      <c r="AI27" s="123"/>
      <c r="AJ27" s="123">
        <v>1</v>
      </c>
      <c r="AK27" s="123">
        <f t="shared" si="10"/>
        <v>1</v>
      </c>
      <c r="AL27" s="123"/>
      <c r="AM27" s="123">
        <f t="shared" si="17"/>
        <v>0.2</v>
      </c>
      <c r="AN27" s="1512">
        <f t="shared" si="11"/>
        <v>0.2</v>
      </c>
      <c r="AO27" s="592" t="s">
        <v>1582</v>
      </c>
      <c r="AP27" s="932" t="s">
        <v>1865</v>
      </c>
      <c r="AQ27" s="114"/>
      <c r="AR27" s="932" t="s">
        <v>1865</v>
      </c>
      <c r="AS27" s="114"/>
      <c r="AT27" s="897" t="s">
        <v>2437</v>
      </c>
      <c r="AU27" s="897" t="s">
        <v>2496</v>
      </c>
      <c r="AV27" s="897" t="s">
        <v>1893</v>
      </c>
    </row>
    <row r="28" spans="1:48" ht="139.94999999999999" customHeight="1" thickBot="1" x14ac:dyDescent="0.45">
      <c r="A28" s="112"/>
      <c r="B28" s="1506" t="s">
        <v>1109</v>
      </c>
      <c r="C28" s="1507" t="s">
        <v>1110</v>
      </c>
      <c r="D28" s="134" t="s">
        <v>1111</v>
      </c>
      <c r="E28" s="90">
        <v>0.2</v>
      </c>
      <c r="F28" s="121">
        <v>1</v>
      </c>
      <c r="G28" s="132">
        <v>0</v>
      </c>
      <c r="H28" s="132"/>
      <c r="I28" s="132">
        <v>1</v>
      </c>
      <c r="J28" s="122"/>
      <c r="K28" s="122">
        <f t="shared" si="2"/>
        <v>0</v>
      </c>
      <c r="L28" s="122">
        <f>+I28/F28</f>
        <v>1</v>
      </c>
      <c r="M28" s="122"/>
      <c r="N28" s="122">
        <f t="shared" si="12"/>
        <v>0</v>
      </c>
      <c r="O28" s="122"/>
      <c r="P28" s="558"/>
      <c r="Q28" s="1152"/>
      <c r="R28" s="558"/>
      <c r="S28" s="558"/>
      <c r="T28" s="558"/>
      <c r="U28" s="1153"/>
      <c r="V28" s="558">
        <f t="shared" si="5"/>
        <v>0</v>
      </c>
      <c r="W28" s="558">
        <f t="shared" si="6"/>
        <v>0</v>
      </c>
      <c r="X28" s="1152">
        <v>0</v>
      </c>
      <c r="Y28" s="558"/>
      <c r="Z28" s="558"/>
      <c r="AA28" s="558"/>
      <c r="AB28" s="558">
        <f t="shared" si="7"/>
        <v>0</v>
      </c>
      <c r="AC28" s="122"/>
      <c r="AD28" s="122"/>
      <c r="AE28" s="122">
        <f t="shared" si="8"/>
        <v>0</v>
      </c>
      <c r="AF28" s="122"/>
      <c r="AG28" s="122">
        <f>+AD28*E28</f>
        <v>0</v>
      </c>
      <c r="AH28" s="122">
        <f t="shared" si="16"/>
        <v>0</v>
      </c>
      <c r="AI28" s="122"/>
      <c r="AJ28" s="122"/>
      <c r="AK28" s="122">
        <f t="shared" si="10"/>
        <v>0</v>
      </c>
      <c r="AL28" s="122"/>
      <c r="AM28" s="122">
        <f t="shared" si="17"/>
        <v>0</v>
      </c>
      <c r="AN28" s="1512">
        <f t="shared" si="11"/>
        <v>0</v>
      </c>
      <c r="AO28" s="592" t="s">
        <v>1579</v>
      </c>
      <c r="AP28" s="932" t="s">
        <v>1865</v>
      </c>
      <c r="AQ28" s="114"/>
      <c r="AR28" s="932" t="s">
        <v>1865</v>
      </c>
      <c r="AS28" s="114"/>
      <c r="AT28" s="114"/>
      <c r="AU28" s="934" t="s">
        <v>2496</v>
      </c>
      <c r="AV28" s="897" t="s">
        <v>1893</v>
      </c>
    </row>
    <row r="29" spans="1:48" ht="139.94999999999999" customHeight="1" thickBot="1" x14ac:dyDescent="0.45">
      <c r="A29" s="112"/>
      <c r="B29" s="1506" t="s">
        <v>1112</v>
      </c>
      <c r="C29" s="1507" t="s">
        <v>1113</v>
      </c>
      <c r="D29" s="135" t="s">
        <v>560</v>
      </c>
      <c r="E29" s="90">
        <v>0.05</v>
      </c>
      <c r="F29" s="121">
        <v>16</v>
      </c>
      <c r="G29" s="132">
        <v>0</v>
      </c>
      <c r="H29" s="132">
        <v>2</v>
      </c>
      <c r="I29" s="132">
        <v>1</v>
      </c>
      <c r="J29" s="122"/>
      <c r="K29" s="122">
        <f t="shared" si="2"/>
        <v>0.125</v>
      </c>
      <c r="L29" s="122">
        <f t="shared" si="3"/>
        <v>6.25E-2</v>
      </c>
      <c r="M29" s="122"/>
      <c r="N29" s="122">
        <f t="shared" si="12"/>
        <v>6.2500000000000003E-3</v>
      </c>
      <c r="O29" s="122"/>
      <c r="P29" s="558"/>
      <c r="Q29" s="1152">
        <v>0</v>
      </c>
      <c r="R29" s="1152">
        <v>0</v>
      </c>
      <c r="S29" s="1152">
        <v>0</v>
      </c>
      <c r="T29" s="1152"/>
      <c r="U29" s="1152">
        <v>1</v>
      </c>
      <c r="V29" s="558">
        <f t="shared" si="5"/>
        <v>1</v>
      </c>
      <c r="W29" s="558">
        <f>+V29+P29+AB29</f>
        <v>1</v>
      </c>
      <c r="X29" s="1152">
        <v>0</v>
      </c>
      <c r="Y29" s="558"/>
      <c r="Z29" s="558"/>
      <c r="AA29" s="558"/>
      <c r="AB29" s="558">
        <f t="shared" si="7"/>
        <v>0</v>
      </c>
      <c r="AC29" s="122"/>
      <c r="AD29" s="122">
        <f>+V29/H29</f>
        <v>0.5</v>
      </c>
      <c r="AE29" s="122">
        <f t="shared" si="8"/>
        <v>0</v>
      </c>
      <c r="AF29" s="122"/>
      <c r="AG29" s="122">
        <f>+AD29*E29</f>
        <v>2.5000000000000001E-2</v>
      </c>
      <c r="AH29" s="122">
        <f t="shared" si="16"/>
        <v>0</v>
      </c>
      <c r="AI29" s="122"/>
      <c r="AJ29" s="122">
        <v>0.25</v>
      </c>
      <c r="AK29" s="122">
        <f t="shared" si="10"/>
        <v>6.25E-2</v>
      </c>
      <c r="AL29" s="122"/>
      <c r="AM29" s="122">
        <f t="shared" si="17"/>
        <v>1.2500000000000001E-2</v>
      </c>
      <c r="AN29" s="1511">
        <f t="shared" si="11"/>
        <v>3.1250000000000002E-3</v>
      </c>
      <c r="AO29" s="586" t="s">
        <v>1850</v>
      </c>
      <c r="AP29" s="932" t="s">
        <v>1919</v>
      </c>
      <c r="AQ29" s="897" t="s">
        <v>2270</v>
      </c>
      <c r="AR29" s="897" t="s">
        <v>2289</v>
      </c>
      <c r="AS29" s="897" t="s">
        <v>2402</v>
      </c>
      <c r="AT29" s="897" t="s">
        <v>2437</v>
      </c>
      <c r="AU29" s="932" t="s">
        <v>2506</v>
      </c>
      <c r="AV29" s="897" t="s">
        <v>1893</v>
      </c>
    </row>
    <row r="30" spans="1:48" ht="71.25" customHeight="1" thickBot="1" x14ac:dyDescent="0.45">
      <c r="A30" s="112"/>
      <c r="B30" s="1585" t="s">
        <v>1838</v>
      </c>
      <c r="C30" s="1582"/>
      <c r="D30" s="129"/>
      <c r="E30" s="115">
        <v>0.25</v>
      </c>
      <c r="F30" s="131">
        <f>+E30*AF30</f>
        <v>1.2824999999999998E-2</v>
      </c>
      <c r="G30" s="114"/>
      <c r="H30" s="131">
        <f>+E30*AG30</f>
        <v>0.18307499999999999</v>
      </c>
      <c r="I30" s="131">
        <f>+E30*AI30</f>
        <v>1.1574074074074072E-2</v>
      </c>
      <c r="J30" s="116">
        <f>+(J31+J40+J47)/3</f>
        <v>0.22685185185185186</v>
      </c>
      <c r="K30" s="116">
        <f>+(K31+K40+K47)/3</f>
        <v>0.30802469135802468</v>
      </c>
      <c r="L30" s="116">
        <f>+(L31+L40+L47)/3</f>
        <v>0.40706172839506172</v>
      </c>
      <c r="M30" s="117">
        <f>+(M31+M40+M47)/3</f>
        <v>8.3611111111111122E-2</v>
      </c>
      <c r="N30" s="117">
        <f>+(N31+N40+N47)/3</f>
        <v>0.29299999999999998</v>
      </c>
      <c r="O30" s="117"/>
      <c r="P30" s="114"/>
      <c r="Q30" s="114"/>
      <c r="R30" s="114"/>
      <c r="S30" s="114"/>
      <c r="T30" s="114"/>
      <c r="U30" s="994"/>
      <c r="V30" s="114"/>
      <c r="W30" s="114"/>
      <c r="X30" s="114"/>
      <c r="Y30" s="114"/>
      <c r="Z30" s="114"/>
      <c r="AA30" s="114"/>
      <c r="AB30" s="114"/>
      <c r="AC30" s="116">
        <f>+(AC31+AC40+AC47)/3</f>
        <v>0.22222222222222221</v>
      </c>
      <c r="AD30" s="116">
        <f>+(AD31+AD40+AD47)/3</f>
        <v>0.90111111111111108</v>
      </c>
      <c r="AE30" s="116">
        <f>+(AE31+AE40+AE47)/3</f>
        <v>3.2407407407407406E-2</v>
      </c>
      <c r="AF30" s="117">
        <f>+AF31+AF40+AF47</f>
        <v>5.1299999999999991E-2</v>
      </c>
      <c r="AG30" s="117">
        <f>+AG31+AG40+AG47</f>
        <v>0.73229999999999995</v>
      </c>
      <c r="AH30" s="117">
        <f>+AH31+AH40+AH47</f>
        <v>1.99375E-2</v>
      </c>
      <c r="AI30" s="116">
        <f>(AI31+AI40+AI47)/3</f>
        <v>4.6296296296296287E-2</v>
      </c>
      <c r="AJ30" s="116">
        <v>0.37216203703703704</v>
      </c>
      <c r="AK30" s="116">
        <f>(AK31+AK40+AK47)/3</f>
        <v>0.39296643518518515</v>
      </c>
      <c r="AL30" s="117">
        <f>(AL31+AL40+AL47)</f>
        <v>9.6249999999999999E-3</v>
      </c>
      <c r="AM30" s="117">
        <f>(AM31*E31+AM40*E40+AM47*E47)</f>
        <v>0.33927250000000003</v>
      </c>
      <c r="AN30" s="117">
        <f>(AN31*E31+AN40*E40+AN47*E47)</f>
        <v>0.35048687500000003</v>
      </c>
      <c r="AO30" s="928"/>
      <c r="AP30" s="114"/>
      <c r="AQ30" s="114"/>
      <c r="AR30" s="114"/>
      <c r="AS30" s="114"/>
      <c r="AT30" s="114"/>
      <c r="AU30" s="114"/>
      <c r="AV30" s="1149"/>
    </row>
    <row r="31" spans="1:48" ht="63" customHeight="1" thickBot="1" x14ac:dyDescent="0.45">
      <c r="A31" s="112"/>
      <c r="B31" s="1581" t="s">
        <v>1839</v>
      </c>
      <c r="C31" s="1582"/>
      <c r="D31" s="129"/>
      <c r="E31" s="89">
        <v>0.3</v>
      </c>
      <c r="F31" s="121"/>
      <c r="G31" s="114"/>
      <c r="H31" s="114"/>
      <c r="I31" s="114"/>
      <c r="J31" s="119">
        <f>+AVERAGE(J32:J39)</f>
        <v>0.30555555555555552</v>
      </c>
      <c r="K31" s="119">
        <f>+AVERAGE(K32:K39)</f>
        <v>0.33462962962962967</v>
      </c>
      <c r="L31" s="119">
        <f>+AVERAGE(L32:L39)</f>
        <v>0.45351851851851849</v>
      </c>
      <c r="M31" s="119">
        <f>+M32+M33+M34+M35+M36+M37+M38+M39</f>
        <v>0.18208333333333335</v>
      </c>
      <c r="N31" s="119">
        <f>+N32+N33+N34+N35+N36+N37+N38+N39</f>
        <v>0.29941666666666666</v>
      </c>
      <c r="O31" s="119"/>
      <c r="P31" s="120"/>
      <c r="Q31" s="120"/>
      <c r="R31" s="120"/>
      <c r="S31" s="120"/>
      <c r="T31" s="120"/>
      <c r="U31" s="993"/>
      <c r="V31" s="120"/>
      <c r="W31" s="120"/>
      <c r="X31" s="120"/>
      <c r="Y31" s="120"/>
      <c r="Z31" s="120"/>
      <c r="AA31" s="120"/>
      <c r="AB31" s="120"/>
      <c r="AC31" s="559">
        <f>+AVERAGE(AC32:AC39)</f>
        <v>0.66666666666666663</v>
      </c>
      <c r="AD31" s="559">
        <f>+AVERAGE(AD32:AD39)</f>
        <v>0.83333333333333337</v>
      </c>
      <c r="AE31" s="559">
        <f>+AVERAGE(AE32:AE39)</f>
        <v>3.4722222222222224E-2</v>
      </c>
      <c r="AF31" s="559">
        <f>+(AF32+AF33+AF34+AF35+AF36+AF37+AF38+AF39)*E31</f>
        <v>5.1299999999999991E-2</v>
      </c>
      <c r="AG31" s="559">
        <f>+(AG32+AG33+AG34+AG35+AG36+AG37+AG38+AG39)*E31</f>
        <v>0.15180000000000002</v>
      </c>
      <c r="AH31" s="559">
        <f>+(AH32+AH33+AH34+AH35+AH36+AH37+AH38+AH39)*E31</f>
        <v>2.6875000000000002E-3</v>
      </c>
      <c r="AI31" s="119">
        <f>+AVERAGE(AI32:AI39)</f>
        <v>0.13888888888888887</v>
      </c>
      <c r="AJ31" s="119">
        <v>0.31381944444444443</v>
      </c>
      <c r="AK31" s="119">
        <f>+((AK32-AJ32)/8)+((AK33-AJ33)/8)+((AK34-AJ34)/8)+((AK35-AJ35)/8)+((AK36-AJ36)/8)+((AK37-AJ37)/8)+((AK38-AJ38)/8)+((AK39-AJ39)/8)+AJ31</f>
        <v>0.34012152777777777</v>
      </c>
      <c r="AL31" s="119">
        <f>+(AL32+AL33+AL34+AL35+AL36+AL37+AL38+AL39)*E31</f>
        <v>9.6249999999999999E-3</v>
      </c>
      <c r="AM31" s="119">
        <f>+(AM32+AM33+AM34+AM35+AM36+AM37+AM38+AM39)</f>
        <v>0.17684166666666667</v>
      </c>
      <c r="AN31" s="119">
        <f>+(AN32+AN33+AN34+AN35+AN36+AN37+AN38+AN39)</f>
        <v>0.18588958333333333</v>
      </c>
      <c r="AO31" s="929"/>
      <c r="AP31" s="931" t="s">
        <v>1992</v>
      </c>
      <c r="AQ31" s="114"/>
      <c r="AR31" s="114"/>
      <c r="AS31" s="114"/>
      <c r="AT31" s="114"/>
      <c r="AU31" s="114"/>
      <c r="AV31" s="1149"/>
    </row>
    <row r="32" spans="1:48" ht="133.94999999999999" customHeight="1" thickBot="1" x14ac:dyDescent="0.45">
      <c r="A32" s="112"/>
      <c r="B32" s="1509" t="s">
        <v>1114</v>
      </c>
      <c r="C32" s="1510" t="s">
        <v>1115</v>
      </c>
      <c r="D32" s="136" t="s">
        <v>12</v>
      </c>
      <c r="E32" s="90">
        <v>0.15</v>
      </c>
      <c r="F32" s="121">
        <v>5</v>
      </c>
      <c r="G32" s="132">
        <v>0</v>
      </c>
      <c r="H32" s="132">
        <v>0</v>
      </c>
      <c r="I32" s="132">
        <v>0</v>
      </c>
      <c r="J32" s="122"/>
      <c r="K32" s="122"/>
      <c r="L32" s="122"/>
      <c r="M32" s="122"/>
      <c r="N32" s="122"/>
      <c r="O32" s="122"/>
      <c r="P32" s="558"/>
      <c r="Q32" s="1152"/>
      <c r="R32" s="1152"/>
      <c r="S32" s="1152"/>
      <c r="T32" s="1152"/>
      <c r="U32" s="1152"/>
      <c r="V32" s="558">
        <f t="shared" si="5"/>
        <v>0</v>
      </c>
      <c r="W32" s="558">
        <f>+V32+P32+AB32</f>
        <v>0</v>
      </c>
      <c r="X32" s="1152">
        <v>0</v>
      </c>
      <c r="Y32" s="558"/>
      <c r="Z32" s="558"/>
      <c r="AA32" s="558"/>
      <c r="AB32" s="558">
        <f t="shared" ref="AB32:AB52" si="18">+X32+Y32+Z32+AA32</f>
        <v>0</v>
      </c>
      <c r="AC32" s="123"/>
      <c r="AD32" s="123"/>
      <c r="AE32" s="123"/>
      <c r="AF32" s="123"/>
      <c r="AG32" s="123"/>
      <c r="AH32" s="123"/>
      <c r="AI32" s="123"/>
      <c r="AJ32" s="123"/>
      <c r="AK32" s="123">
        <f t="shared" ref="AK32:AK39" si="19">+W32/F32</f>
        <v>0</v>
      </c>
      <c r="AL32" s="123">
        <v>0</v>
      </c>
      <c r="AM32" s="123">
        <f t="shared" ref="AM32:AM39" si="20">+AJ32*E32</f>
        <v>0</v>
      </c>
      <c r="AN32" s="123">
        <f t="shared" ref="AN32:AN39" si="21">+AK32*E32</f>
        <v>0</v>
      </c>
      <c r="AO32" s="586" t="s">
        <v>1850</v>
      </c>
      <c r="AP32" s="933" t="s">
        <v>1892</v>
      </c>
      <c r="AQ32" s="933" t="s">
        <v>2270</v>
      </c>
      <c r="AR32" s="897" t="s">
        <v>2289</v>
      </c>
      <c r="AS32" s="897" t="s">
        <v>2402</v>
      </c>
      <c r="AT32" s="897" t="s">
        <v>2436</v>
      </c>
      <c r="AU32" s="897" t="s">
        <v>2493</v>
      </c>
      <c r="AV32" s="897" t="s">
        <v>1893</v>
      </c>
    </row>
    <row r="33" spans="1:48" ht="72" customHeight="1" thickBot="1" x14ac:dyDescent="0.45">
      <c r="A33" s="112"/>
      <c r="B33" s="1509" t="s">
        <v>1116</v>
      </c>
      <c r="C33" s="1510" t="s">
        <v>1117</v>
      </c>
      <c r="D33" s="136" t="s">
        <v>12</v>
      </c>
      <c r="E33" s="90">
        <v>0.3</v>
      </c>
      <c r="F33" s="121">
        <v>1</v>
      </c>
      <c r="G33" s="132">
        <v>0.5</v>
      </c>
      <c r="H33" s="132">
        <v>0.5</v>
      </c>
      <c r="I33" s="132">
        <v>1</v>
      </c>
      <c r="J33" s="122">
        <f t="shared" ref="J33:J39" si="22">+G33/F33</f>
        <v>0.5</v>
      </c>
      <c r="K33" s="122">
        <f t="shared" ref="K33:K39" si="23">+H33/F33</f>
        <v>0.5</v>
      </c>
      <c r="L33" s="122">
        <f t="shared" ref="L33:L52" si="24">+I33/F33</f>
        <v>1</v>
      </c>
      <c r="M33" s="122">
        <f t="shared" ref="M33:M39" si="25">+(G33/F33)*E33</f>
        <v>0.15</v>
      </c>
      <c r="N33" s="122">
        <f t="shared" ref="N33:N39" si="26">+(H33/F33)*E33</f>
        <v>0.15</v>
      </c>
      <c r="O33" s="122"/>
      <c r="P33" s="558">
        <v>0</v>
      </c>
      <c r="Q33" s="1152">
        <v>0</v>
      </c>
      <c r="R33" s="1152">
        <v>0</v>
      </c>
      <c r="S33" s="1152">
        <v>0</v>
      </c>
      <c r="T33" s="1152">
        <v>0</v>
      </c>
      <c r="U33" s="1152">
        <v>0</v>
      </c>
      <c r="V33" s="558">
        <f t="shared" si="5"/>
        <v>0</v>
      </c>
      <c r="W33" s="558">
        <f t="shared" ref="W33:W52" si="27">+V33+P33+AB33</f>
        <v>0</v>
      </c>
      <c r="X33" s="1152">
        <v>0</v>
      </c>
      <c r="Y33" s="558"/>
      <c r="Z33" s="558"/>
      <c r="AA33" s="558"/>
      <c r="AB33" s="558">
        <f t="shared" si="18"/>
        <v>0</v>
      </c>
      <c r="AC33" s="123">
        <f>+(P33/G33)</f>
        <v>0</v>
      </c>
      <c r="AD33" s="123">
        <f>+V33/H33</f>
        <v>0</v>
      </c>
      <c r="AE33" s="123">
        <f t="shared" ref="AE33:AE39" si="28">+AB33/I33</f>
        <v>0</v>
      </c>
      <c r="AF33" s="123">
        <f>+AC33*E33</f>
        <v>0</v>
      </c>
      <c r="AG33" s="123">
        <f>+AD33*E33</f>
        <v>0</v>
      </c>
      <c r="AH33" s="123">
        <f t="shared" ref="AH33:AH39" si="29">+AE33*E33</f>
        <v>0</v>
      </c>
      <c r="AI33" s="123">
        <f>+P33/F33</f>
        <v>0</v>
      </c>
      <c r="AJ33" s="123">
        <v>0</v>
      </c>
      <c r="AK33" s="123">
        <f t="shared" si="19"/>
        <v>0</v>
      </c>
      <c r="AL33" s="123">
        <f>+AI33*E33</f>
        <v>0</v>
      </c>
      <c r="AM33" s="123">
        <f t="shared" si="20"/>
        <v>0</v>
      </c>
      <c r="AN33" s="123">
        <f t="shared" si="21"/>
        <v>0</v>
      </c>
      <c r="AO33" s="586" t="s">
        <v>1850</v>
      </c>
      <c r="AP33" s="933" t="s">
        <v>1892</v>
      </c>
      <c r="AQ33" s="933" t="s">
        <v>2270</v>
      </c>
      <c r="AR33" s="897" t="s">
        <v>2289</v>
      </c>
      <c r="AS33" s="897" t="s">
        <v>2402</v>
      </c>
      <c r="AT33" s="897" t="s">
        <v>2436</v>
      </c>
      <c r="AU33" s="897" t="s">
        <v>2493</v>
      </c>
      <c r="AV33" s="897" t="s">
        <v>1893</v>
      </c>
    </row>
    <row r="34" spans="1:48" ht="148.94999999999999" customHeight="1" thickBot="1" x14ac:dyDescent="0.45">
      <c r="A34" s="112"/>
      <c r="B34" s="1509" t="s">
        <v>1118</v>
      </c>
      <c r="C34" s="1510" t="s">
        <v>1119</v>
      </c>
      <c r="D34" s="129" t="s">
        <v>551</v>
      </c>
      <c r="E34" s="90">
        <v>0.15</v>
      </c>
      <c r="F34" s="121">
        <v>450</v>
      </c>
      <c r="G34" s="132">
        <v>0</v>
      </c>
      <c r="H34" s="132">
        <v>86</v>
      </c>
      <c r="I34" s="132">
        <v>182</v>
      </c>
      <c r="J34" s="122"/>
      <c r="K34" s="122">
        <f t="shared" si="23"/>
        <v>0.19111111111111112</v>
      </c>
      <c r="L34" s="122">
        <f t="shared" si="24"/>
        <v>0.40444444444444444</v>
      </c>
      <c r="M34" s="122"/>
      <c r="N34" s="122">
        <f t="shared" si="26"/>
        <v>2.8666666666666667E-2</v>
      </c>
      <c r="O34" s="122"/>
      <c r="P34" s="558"/>
      <c r="Q34" s="1152">
        <v>0</v>
      </c>
      <c r="R34" s="1152">
        <v>0</v>
      </c>
      <c r="S34" s="1152">
        <v>86</v>
      </c>
      <c r="T34" s="1152">
        <v>0</v>
      </c>
      <c r="U34" s="1152">
        <v>0</v>
      </c>
      <c r="V34" s="558">
        <f t="shared" si="5"/>
        <v>86</v>
      </c>
      <c r="W34" s="558">
        <f t="shared" si="27"/>
        <v>86</v>
      </c>
      <c r="X34" s="1152">
        <v>0</v>
      </c>
      <c r="Y34" s="558"/>
      <c r="Z34" s="558"/>
      <c r="AA34" s="558"/>
      <c r="AB34" s="558">
        <f t="shared" si="18"/>
        <v>0</v>
      </c>
      <c r="AC34" s="123"/>
      <c r="AD34" s="123">
        <f>+V34/H34</f>
        <v>1</v>
      </c>
      <c r="AE34" s="123">
        <f>+AB34/I34</f>
        <v>0</v>
      </c>
      <c r="AF34" s="123"/>
      <c r="AG34" s="123">
        <f>+AD34*E34</f>
        <v>0.15</v>
      </c>
      <c r="AH34" s="123">
        <f t="shared" si="29"/>
        <v>0</v>
      </c>
      <c r="AI34" s="123"/>
      <c r="AJ34" s="123">
        <v>0.19111111111111112</v>
      </c>
      <c r="AK34" s="123">
        <f t="shared" si="19"/>
        <v>0.19111111111111112</v>
      </c>
      <c r="AL34" s="123"/>
      <c r="AM34" s="123">
        <f t="shared" si="20"/>
        <v>2.8666666666666667E-2</v>
      </c>
      <c r="AN34" s="123">
        <f t="shared" si="21"/>
        <v>2.8666666666666667E-2</v>
      </c>
      <c r="AO34" s="592" t="s">
        <v>1583</v>
      </c>
      <c r="AP34" s="932" t="s">
        <v>1919</v>
      </c>
      <c r="AQ34" s="933" t="s">
        <v>2270</v>
      </c>
      <c r="AR34" s="897" t="s">
        <v>2289</v>
      </c>
      <c r="AS34" s="897" t="s">
        <v>2349</v>
      </c>
      <c r="AT34" s="897" t="s">
        <v>2436</v>
      </c>
      <c r="AU34" s="897" t="s">
        <v>2493</v>
      </c>
      <c r="AV34" s="897" t="s">
        <v>1893</v>
      </c>
    </row>
    <row r="35" spans="1:48" ht="81" customHeight="1" thickBot="1" x14ac:dyDescent="0.45">
      <c r="A35" s="112"/>
      <c r="B35" s="1506" t="s">
        <v>1120</v>
      </c>
      <c r="C35" s="1507" t="s">
        <v>1121</v>
      </c>
      <c r="D35" s="136" t="s">
        <v>12</v>
      </c>
      <c r="E35" s="90">
        <v>0.128</v>
      </c>
      <c r="F35" s="121">
        <v>6</v>
      </c>
      <c r="G35" s="132">
        <v>1</v>
      </c>
      <c r="H35" s="132">
        <v>2</v>
      </c>
      <c r="I35" s="132">
        <v>2</v>
      </c>
      <c r="J35" s="122">
        <f t="shared" si="22"/>
        <v>0.16666666666666666</v>
      </c>
      <c r="K35" s="122">
        <f t="shared" si="23"/>
        <v>0.33333333333333331</v>
      </c>
      <c r="L35" s="122">
        <f t="shared" si="24"/>
        <v>0.33333333333333331</v>
      </c>
      <c r="M35" s="122">
        <f t="shared" si="25"/>
        <v>2.1333333333333333E-2</v>
      </c>
      <c r="N35" s="122">
        <f t="shared" si="26"/>
        <v>4.2666666666666665E-2</v>
      </c>
      <c r="O35" s="122"/>
      <c r="P35" s="558">
        <v>1</v>
      </c>
      <c r="Q35" s="1152">
        <v>0</v>
      </c>
      <c r="R35" s="1152">
        <v>0</v>
      </c>
      <c r="S35" s="1152">
        <v>2</v>
      </c>
      <c r="T35" s="1152">
        <v>0</v>
      </c>
      <c r="U35" s="1152">
        <v>0</v>
      </c>
      <c r="V35" s="558">
        <f t="shared" si="5"/>
        <v>2</v>
      </c>
      <c r="W35" s="558">
        <f t="shared" si="27"/>
        <v>3</v>
      </c>
      <c r="X35" s="1152">
        <v>0</v>
      </c>
      <c r="Y35" s="558"/>
      <c r="Z35" s="558"/>
      <c r="AA35" s="558"/>
      <c r="AB35" s="558">
        <f t="shared" si="18"/>
        <v>0</v>
      </c>
      <c r="AC35" s="123">
        <f>+(P35/G35)</f>
        <v>1</v>
      </c>
      <c r="AD35" s="123">
        <f>+V35/H35</f>
        <v>1</v>
      </c>
      <c r="AE35" s="123">
        <f t="shared" si="28"/>
        <v>0</v>
      </c>
      <c r="AF35" s="123">
        <f>+AC35*E35</f>
        <v>0.128</v>
      </c>
      <c r="AG35" s="123">
        <f>+AD35*E35</f>
        <v>0.128</v>
      </c>
      <c r="AH35" s="123">
        <f t="shared" si="29"/>
        <v>0</v>
      </c>
      <c r="AI35" s="123">
        <f>+P35/F35</f>
        <v>0.16666666666666666</v>
      </c>
      <c r="AJ35" s="123">
        <v>0.5</v>
      </c>
      <c r="AK35" s="123">
        <f t="shared" si="19"/>
        <v>0.5</v>
      </c>
      <c r="AL35" s="123">
        <f>+AI35*E35</f>
        <v>2.1333333333333333E-2</v>
      </c>
      <c r="AM35" s="123">
        <f t="shared" si="20"/>
        <v>6.4000000000000001E-2</v>
      </c>
      <c r="AN35" s="123">
        <f t="shared" si="21"/>
        <v>6.4000000000000001E-2</v>
      </c>
      <c r="AO35" s="586" t="s">
        <v>1850</v>
      </c>
      <c r="AP35" s="933" t="s">
        <v>1892</v>
      </c>
      <c r="AQ35" s="933" t="s">
        <v>2270</v>
      </c>
      <c r="AR35" s="897" t="s">
        <v>2289</v>
      </c>
      <c r="AS35" s="897" t="s">
        <v>2402</v>
      </c>
      <c r="AT35" s="897" t="s">
        <v>2436</v>
      </c>
      <c r="AU35" s="897" t="s">
        <v>2497</v>
      </c>
      <c r="AV35" s="897" t="s">
        <v>1893</v>
      </c>
    </row>
    <row r="36" spans="1:48" ht="107.4" customHeight="1" thickBot="1" x14ac:dyDescent="0.45">
      <c r="A36" s="112"/>
      <c r="B36" s="1509" t="s">
        <v>1122</v>
      </c>
      <c r="C36" s="1510" t="s">
        <v>1123</v>
      </c>
      <c r="D36" s="136" t="s">
        <v>12</v>
      </c>
      <c r="E36" s="90">
        <v>8.500000000000002E-2</v>
      </c>
      <c r="F36" s="121">
        <v>5</v>
      </c>
      <c r="G36" s="132">
        <v>0</v>
      </c>
      <c r="H36" s="132">
        <v>2</v>
      </c>
      <c r="I36" s="132">
        <v>2</v>
      </c>
      <c r="J36" s="122"/>
      <c r="K36" s="122">
        <f t="shared" si="23"/>
        <v>0.4</v>
      </c>
      <c r="L36" s="122">
        <f t="shared" si="24"/>
        <v>0.4</v>
      </c>
      <c r="M36" s="122"/>
      <c r="N36" s="122">
        <f t="shared" si="26"/>
        <v>3.4000000000000009E-2</v>
      </c>
      <c r="O36" s="122"/>
      <c r="P36" s="558"/>
      <c r="Q36" s="1152">
        <v>0</v>
      </c>
      <c r="R36" s="1152">
        <v>0</v>
      </c>
      <c r="S36" s="1152">
        <v>0</v>
      </c>
      <c r="T36" s="1152">
        <v>2</v>
      </c>
      <c r="U36" s="1152">
        <v>0</v>
      </c>
      <c r="V36" s="558">
        <f t="shared" si="5"/>
        <v>2</v>
      </c>
      <c r="W36" s="558">
        <f t="shared" si="27"/>
        <v>2</v>
      </c>
      <c r="X36" s="1152">
        <v>0</v>
      </c>
      <c r="Y36" s="558"/>
      <c r="Z36" s="558"/>
      <c r="AA36" s="558"/>
      <c r="AB36" s="558">
        <f t="shared" si="18"/>
        <v>0</v>
      </c>
      <c r="AC36" s="123"/>
      <c r="AD36" s="123">
        <f>+V36/H36</f>
        <v>1</v>
      </c>
      <c r="AE36" s="123">
        <f t="shared" si="28"/>
        <v>0</v>
      </c>
      <c r="AF36" s="123"/>
      <c r="AG36" s="123">
        <f>+AD36*E36</f>
        <v>8.500000000000002E-2</v>
      </c>
      <c r="AH36" s="123">
        <f t="shared" si="29"/>
        <v>0</v>
      </c>
      <c r="AI36" s="123"/>
      <c r="AJ36" s="123">
        <v>0.4</v>
      </c>
      <c r="AK36" s="123">
        <f t="shared" si="19"/>
        <v>0.4</v>
      </c>
      <c r="AL36" s="123">
        <f>+AI36*E36</f>
        <v>0</v>
      </c>
      <c r="AM36" s="123">
        <f t="shared" si="20"/>
        <v>3.4000000000000009E-2</v>
      </c>
      <c r="AN36" s="123">
        <f t="shared" si="21"/>
        <v>3.4000000000000009E-2</v>
      </c>
      <c r="AO36" s="586" t="s">
        <v>1850</v>
      </c>
      <c r="AP36" s="933" t="s">
        <v>1892</v>
      </c>
      <c r="AQ36" s="933" t="s">
        <v>2270</v>
      </c>
      <c r="AR36" s="897" t="s">
        <v>2289</v>
      </c>
      <c r="AS36" s="897" t="s">
        <v>2402</v>
      </c>
      <c r="AT36" s="897" t="s">
        <v>2436</v>
      </c>
      <c r="AU36" s="897" t="s">
        <v>2497</v>
      </c>
      <c r="AV36" s="897" t="s">
        <v>1893</v>
      </c>
    </row>
    <row r="37" spans="1:48" ht="123.6" customHeight="1" thickBot="1" x14ac:dyDescent="0.45">
      <c r="A37" s="112"/>
      <c r="B37" s="1509" t="s">
        <v>1124</v>
      </c>
      <c r="C37" s="1510" t="s">
        <v>1125</v>
      </c>
      <c r="D37" s="136" t="s">
        <v>12</v>
      </c>
      <c r="E37" s="90">
        <v>0.1</v>
      </c>
      <c r="F37" s="121">
        <v>6</v>
      </c>
      <c r="G37" s="132">
        <v>0</v>
      </c>
      <c r="H37" s="132">
        <v>2</v>
      </c>
      <c r="I37" s="132">
        <v>2</v>
      </c>
      <c r="J37" s="122"/>
      <c r="K37" s="122">
        <f t="shared" si="23"/>
        <v>0.33333333333333331</v>
      </c>
      <c r="L37" s="122">
        <f t="shared" si="24"/>
        <v>0.33333333333333331</v>
      </c>
      <c r="M37" s="122"/>
      <c r="N37" s="122">
        <f t="shared" si="26"/>
        <v>3.3333333333333333E-2</v>
      </c>
      <c r="O37" s="122"/>
      <c r="P37" s="558"/>
      <c r="Q37" s="1152">
        <v>0</v>
      </c>
      <c r="R37" s="1152">
        <v>0</v>
      </c>
      <c r="S37" s="1152">
        <v>0</v>
      </c>
      <c r="T37" s="1152">
        <v>2</v>
      </c>
      <c r="U37" s="1152">
        <v>0</v>
      </c>
      <c r="V37" s="558">
        <f t="shared" si="5"/>
        <v>2</v>
      </c>
      <c r="W37" s="558">
        <f t="shared" si="27"/>
        <v>2</v>
      </c>
      <c r="X37" s="1152">
        <v>0</v>
      </c>
      <c r="Y37" s="558"/>
      <c r="Z37" s="558"/>
      <c r="AA37" s="558"/>
      <c r="AB37" s="558">
        <f t="shared" si="18"/>
        <v>0</v>
      </c>
      <c r="AC37" s="123"/>
      <c r="AD37" s="123">
        <f>+V37/H37</f>
        <v>1</v>
      </c>
      <c r="AE37" s="123">
        <f t="shared" si="28"/>
        <v>0</v>
      </c>
      <c r="AF37" s="123"/>
      <c r="AG37" s="123">
        <f>+AD37*E37</f>
        <v>0.1</v>
      </c>
      <c r="AH37" s="123">
        <f t="shared" si="29"/>
        <v>0</v>
      </c>
      <c r="AI37" s="123"/>
      <c r="AJ37" s="123">
        <v>0.33333333333333331</v>
      </c>
      <c r="AK37" s="123">
        <f t="shared" si="19"/>
        <v>0.33333333333333331</v>
      </c>
      <c r="AL37" s="123">
        <f>+AI37*E37</f>
        <v>0</v>
      </c>
      <c r="AM37" s="123">
        <f t="shared" si="20"/>
        <v>3.3333333333333333E-2</v>
      </c>
      <c r="AN37" s="123">
        <f t="shared" si="21"/>
        <v>3.3333333333333333E-2</v>
      </c>
      <c r="AO37" s="586" t="s">
        <v>1850</v>
      </c>
      <c r="AP37" s="933" t="s">
        <v>1892</v>
      </c>
      <c r="AQ37" s="933" t="s">
        <v>2270</v>
      </c>
      <c r="AR37" s="897" t="s">
        <v>2289</v>
      </c>
      <c r="AS37" s="897" t="s">
        <v>2402</v>
      </c>
      <c r="AT37" s="897" t="s">
        <v>2436</v>
      </c>
      <c r="AU37" s="897" t="s">
        <v>2497</v>
      </c>
      <c r="AV37" s="897" t="s">
        <v>1893</v>
      </c>
    </row>
    <row r="38" spans="1:48" ht="118.95" customHeight="1" thickBot="1" x14ac:dyDescent="0.45">
      <c r="A38" s="112"/>
      <c r="B38" s="1509" t="s">
        <v>1126</v>
      </c>
      <c r="C38" s="1510" t="s">
        <v>1127</v>
      </c>
      <c r="D38" s="136" t="s">
        <v>12</v>
      </c>
      <c r="E38" s="90">
        <v>4.250000000000001E-2</v>
      </c>
      <c r="F38" s="121">
        <v>1</v>
      </c>
      <c r="G38" s="132">
        <v>0</v>
      </c>
      <c r="H38" s="132">
        <v>0</v>
      </c>
      <c r="I38" s="132">
        <v>0</v>
      </c>
      <c r="J38" s="122"/>
      <c r="K38" s="122"/>
      <c r="L38" s="122"/>
      <c r="M38" s="122"/>
      <c r="N38" s="122"/>
      <c r="O38" s="122"/>
      <c r="P38" s="558"/>
      <c r="Q38" s="1152"/>
      <c r="R38" s="1152"/>
      <c r="S38" s="1152"/>
      <c r="T38" s="1152"/>
      <c r="U38" s="1152"/>
      <c r="V38" s="558">
        <f t="shared" si="5"/>
        <v>0</v>
      </c>
      <c r="W38" s="558">
        <f t="shared" si="27"/>
        <v>0</v>
      </c>
      <c r="X38" s="1152">
        <v>0</v>
      </c>
      <c r="Y38" s="558"/>
      <c r="Z38" s="558"/>
      <c r="AA38" s="558"/>
      <c r="AB38" s="558">
        <f t="shared" si="18"/>
        <v>0</v>
      </c>
      <c r="AC38" s="123"/>
      <c r="AD38" s="123"/>
      <c r="AE38" s="123"/>
      <c r="AF38" s="123"/>
      <c r="AG38" s="123"/>
      <c r="AH38" s="123"/>
      <c r="AI38" s="123"/>
      <c r="AJ38" s="123"/>
      <c r="AK38" s="123">
        <f t="shared" si="19"/>
        <v>0</v>
      </c>
      <c r="AL38" s="123">
        <v>0</v>
      </c>
      <c r="AM38" s="123">
        <f t="shared" si="20"/>
        <v>0</v>
      </c>
      <c r="AN38" s="123">
        <f t="shared" si="21"/>
        <v>0</v>
      </c>
      <c r="AO38" s="586" t="s">
        <v>1850</v>
      </c>
      <c r="AP38" s="933" t="s">
        <v>1892</v>
      </c>
      <c r="AQ38" s="933" t="s">
        <v>2270</v>
      </c>
      <c r="AR38" s="897" t="s">
        <v>2289</v>
      </c>
      <c r="AS38" s="897" t="s">
        <v>2402</v>
      </c>
      <c r="AT38" s="897" t="s">
        <v>2436</v>
      </c>
      <c r="AU38" s="897" t="s">
        <v>2497</v>
      </c>
      <c r="AV38" s="897" t="s">
        <v>1893</v>
      </c>
    </row>
    <row r="39" spans="1:48" ht="120.6" customHeight="1" thickBot="1" x14ac:dyDescent="0.45">
      <c r="A39" s="112"/>
      <c r="B39" s="1509" t="s">
        <v>1128</v>
      </c>
      <c r="C39" s="1510" t="s">
        <v>1129</v>
      </c>
      <c r="D39" s="136" t="s">
        <v>12</v>
      </c>
      <c r="E39" s="90">
        <v>4.2999999999999997E-2</v>
      </c>
      <c r="F39" s="121">
        <v>6</v>
      </c>
      <c r="G39" s="132">
        <v>1.5</v>
      </c>
      <c r="H39" s="132">
        <f>0.25*6</f>
        <v>1.5</v>
      </c>
      <c r="I39" s="132">
        <v>1.5</v>
      </c>
      <c r="J39" s="122">
        <f t="shared" si="22"/>
        <v>0.25</v>
      </c>
      <c r="K39" s="122">
        <f t="shared" si="23"/>
        <v>0.25</v>
      </c>
      <c r="L39" s="122">
        <f t="shared" si="24"/>
        <v>0.25</v>
      </c>
      <c r="M39" s="122">
        <f t="shared" si="25"/>
        <v>1.0749999999999999E-2</v>
      </c>
      <c r="N39" s="122">
        <f t="shared" si="26"/>
        <v>1.0749999999999999E-2</v>
      </c>
      <c r="O39" s="122"/>
      <c r="P39" s="558">
        <v>1.5</v>
      </c>
      <c r="Q39" s="1152">
        <v>0</v>
      </c>
      <c r="R39" s="1152">
        <f>0.4*H39</f>
        <v>0.60000000000000009</v>
      </c>
      <c r="S39" s="1152">
        <v>0.25</v>
      </c>
      <c r="T39" s="1152">
        <v>0.95</v>
      </c>
      <c r="U39" s="1152"/>
      <c r="V39" s="558">
        <f t="shared" si="5"/>
        <v>1.8</v>
      </c>
      <c r="W39" s="558">
        <f>+V39+P39+AB39</f>
        <v>3.6124999999999998</v>
      </c>
      <c r="X39" s="1152">
        <f>1.25*0.25</f>
        <v>0.3125</v>
      </c>
      <c r="Y39" s="558"/>
      <c r="Z39" s="558"/>
      <c r="AA39" s="558"/>
      <c r="AB39" s="558">
        <f t="shared" si="18"/>
        <v>0.3125</v>
      </c>
      <c r="AC39" s="123">
        <f>+(P39/G39)</f>
        <v>1</v>
      </c>
      <c r="AD39" s="123">
        <v>1</v>
      </c>
      <c r="AE39" s="123">
        <f t="shared" si="28"/>
        <v>0.20833333333333334</v>
      </c>
      <c r="AF39" s="123">
        <f>+AC39*E39</f>
        <v>4.2999999999999997E-2</v>
      </c>
      <c r="AG39" s="123">
        <f>+AD39*E39</f>
        <v>4.2999999999999997E-2</v>
      </c>
      <c r="AH39" s="123">
        <f t="shared" si="29"/>
        <v>8.9583333333333338E-3</v>
      </c>
      <c r="AI39" s="123">
        <f>+P39/F39</f>
        <v>0.25</v>
      </c>
      <c r="AJ39" s="123">
        <v>0.39166666666666666</v>
      </c>
      <c r="AK39" s="123">
        <f t="shared" si="19"/>
        <v>0.6020833333333333</v>
      </c>
      <c r="AL39" s="123">
        <f>+AI39*E39</f>
        <v>1.0749999999999999E-2</v>
      </c>
      <c r="AM39" s="123">
        <f t="shared" si="20"/>
        <v>1.6841666666666665E-2</v>
      </c>
      <c r="AN39" s="123">
        <f t="shared" si="21"/>
        <v>2.588958333333333E-2</v>
      </c>
      <c r="AO39" s="586" t="s">
        <v>1850</v>
      </c>
      <c r="AP39" s="932" t="s">
        <v>1916</v>
      </c>
      <c r="AQ39" s="933" t="s">
        <v>2270</v>
      </c>
      <c r="AR39" s="897" t="s">
        <v>2289</v>
      </c>
      <c r="AS39" s="897" t="s">
        <v>2402</v>
      </c>
      <c r="AT39" s="932" t="s">
        <v>1975</v>
      </c>
      <c r="AU39" s="932" t="s">
        <v>1975</v>
      </c>
      <c r="AV39" s="897" t="s">
        <v>1893</v>
      </c>
    </row>
    <row r="40" spans="1:48" ht="57" customHeight="1" thickBot="1" x14ac:dyDescent="0.45">
      <c r="A40" s="112"/>
      <c r="B40" s="1581" t="s">
        <v>1840</v>
      </c>
      <c r="C40" s="1582"/>
      <c r="D40" s="129"/>
      <c r="E40" s="89">
        <v>0.3</v>
      </c>
      <c r="F40" s="121"/>
      <c r="G40" s="132"/>
      <c r="H40" s="132"/>
      <c r="I40" s="132"/>
      <c r="J40" s="119">
        <f>+AVERAGE(J41:J46)</f>
        <v>0.25</v>
      </c>
      <c r="K40" s="119">
        <f>+AVERAGE(K41:K46)</f>
        <v>0.32777777777777778</v>
      </c>
      <c r="L40" s="119">
        <f>+AVERAGE(L41:L46)</f>
        <v>0.4326666666666667</v>
      </c>
      <c r="M40" s="119">
        <f>+M41+M42+M43+M44+M45+M46</f>
        <v>3.7499999999999999E-2</v>
      </c>
      <c r="N40" s="119">
        <f>+N41+N42+N43+N44+N45+N46</f>
        <v>0.28416666666666668</v>
      </c>
      <c r="O40" s="119"/>
      <c r="P40" s="120"/>
      <c r="Q40" s="120"/>
      <c r="R40" s="120"/>
      <c r="S40" s="120"/>
      <c r="T40" s="120"/>
      <c r="U40" s="120"/>
      <c r="V40" s="120"/>
      <c r="W40" s="558"/>
      <c r="X40" s="120"/>
      <c r="Y40" s="120"/>
      <c r="Z40" s="120"/>
      <c r="AA40" s="120"/>
      <c r="AB40" s="120"/>
      <c r="AC40" s="559">
        <f>+AVERAGE(AC41:AC46)</f>
        <v>0</v>
      </c>
      <c r="AD40" s="559">
        <f>+AVERAGE(AD41:AD46)</f>
        <v>0.86999999999999988</v>
      </c>
      <c r="AE40" s="559">
        <f>+AVERAGE(AE41:AE46)</f>
        <v>6.25E-2</v>
      </c>
      <c r="AF40" s="559">
        <f>+(AF41+AF42+AF43+AF44+AF45+AF46)*E40</f>
        <v>0</v>
      </c>
      <c r="AG40" s="559">
        <f>+(AG41+AG42+AG43+AG44+AG45+AG46)*E40</f>
        <v>0.2205</v>
      </c>
      <c r="AH40" s="559">
        <f>+(AH41+AH42+AH43+AH44+AH45+AH46)*E40</f>
        <v>1.7250000000000001E-2</v>
      </c>
      <c r="AI40" s="119">
        <f>+AVERAGE(AI41:AI46)</f>
        <v>0</v>
      </c>
      <c r="AJ40" s="119">
        <v>0.33566666666666661</v>
      </c>
      <c r="AK40" s="119">
        <f>+AVERAGE(AK41:AK46)</f>
        <v>0.37177777777777776</v>
      </c>
      <c r="AL40" s="119">
        <f>+(AL41+AL42+AL43+AL44+AL45+AL46)*E40</f>
        <v>0</v>
      </c>
      <c r="AM40" s="119">
        <f>+(AM41+AM42+AM43+AM44+AM45+AM46)</f>
        <v>0.31906666666666667</v>
      </c>
      <c r="AN40" s="119">
        <f>+(AN41+AN42+AN43+AN44+AN45+AN46)</f>
        <v>0.34739999999999999</v>
      </c>
      <c r="AO40" s="929"/>
      <c r="AP40" s="114"/>
      <c r="AQ40" s="114"/>
      <c r="AR40" s="114"/>
      <c r="AS40" s="114"/>
      <c r="AT40" s="114"/>
      <c r="AU40" s="114"/>
      <c r="AV40" s="1149"/>
    </row>
    <row r="41" spans="1:48" ht="93" customHeight="1" thickBot="1" x14ac:dyDescent="0.45">
      <c r="A41" s="112"/>
      <c r="B41" s="1506" t="s">
        <v>1130</v>
      </c>
      <c r="C41" s="1507" t="s">
        <v>1131</v>
      </c>
      <c r="D41" s="129" t="s">
        <v>162</v>
      </c>
      <c r="E41" s="90">
        <v>0.1</v>
      </c>
      <c r="F41" s="121">
        <v>6</v>
      </c>
      <c r="G41" s="132">
        <v>0</v>
      </c>
      <c r="H41" s="132">
        <v>1</v>
      </c>
      <c r="I41" s="132">
        <v>1</v>
      </c>
      <c r="J41" s="122"/>
      <c r="K41" s="122">
        <f t="shared" ref="K41:K46" si="30">+H41/F41</f>
        <v>0.16666666666666666</v>
      </c>
      <c r="L41" s="122">
        <f t="shared" si="24"/>
        <v>0.16666666666666666</v>
      </c>
      <c r="M41" s="122"/>
      <c r="N41" s="122">
        <f t="shared" ref="N41:N46" si="31">+(H41/F41)*E41</f>
        <v>1.6666666666666666E-2</v>
      </c>
      <c r="O41" s="122"/>
      <c r="P41" s="558"/>
      <c r="Q41" s="1152">
        <v>0</v>
      </c>
      <c r="R41" s="1152">
        <v>0</v>
      </c>
      <c r="S41" s="1152"/>
      <c r="T41" s="1152">
        <v>0.5</v>
      </c>
      <c r="U41" s="1152"/>
      <c r="V41" s="558">
        <f t="shared" si="5"/>
        <v>0.5</v>
      </c>
      <c r="W41" s="558">
        <f t="shared" si="27"/>
        <v>0.5</v>
      </c>
      <c r="X41" s="1152">
        <v>0</v>
      </c>
      <c r="Y41" s="558"/>
      <c r="Z41" s="558"/>
      <c r="AA41" s="558"/>
      <c r="AB41" s="558">
        <f t="shared" si="18"/>
        <v>0</v>
      </c>
      <c r="AC41" s="122"/>
      <c r="AD41" s="122">
        <f>+V41/H41</f>
        <v>0.5</v>
      </c>
      <c r="AE41" s="122">
        <f t="shared" ref="AE41:AE46" si="32">+AB41/I41</f>
        <v>0</v>
      </c>
      <c r="AF41" s="122"/>
      <c r="AG41" s="122">
        <f t="shared" ref="AG41:AG46" si="33">+AD41*E41</f>
        <v>0.05</v>
      </c>
      <c r="AH41" s="122">
        <f t="shared" ref="AH41:AH46" si="34">+AE41*E41</f>
        <v>0</v>
      </c>
      <c r="AI41" s="122"/>
      <c r="AJ41" s="122">
        <v>8.3333333333333329E-2</v>
      </c>
      <c r="AK41" s="123">
        <f t="shared" ref="AK41:AK46" si="35">+W41/F41</f>
        <v>8.3333333333333329E-2</v>
      </c>
      <c r="AL41" s="122"/>
      <c r="AM41" s="122">
        <f t="shared" ref="AM41:AM46" si="36">+AJ41*E41</f>
        <v>8.3333333333333332E-3</v>
      </c>
      <c r="AN41" s="122">
        <f t="shared" ref="AN41:AN46" si="37">+AK41*E41</f>
        <v>8.3333333333333332E-3</v>
      </c>
      <c r="AO41" s="592" t="s">
        <v>1559</v>
      </c>
      <c r="AP41" s="932" t="s">
        <v>1913</v>
      </c>
      <c r="AQ41" s="897" t="s">
        <v>2270</v>
      </c>
      <c r="AR41" s="933" t="s">
        <v>2289</v>
      </c>
      <c r="AS41" s="114"/>
      <c r="AT41" s="934" t="s">
        <v>2436</v>
      </c>
      <c r="AU41" s="897" t="s">
        <v>2497</v>
      </c>
      <c r="AV41" s="1149"/>
    </row>
    <row r="42" spans="1:48" ht="97.95" customHeight="1" thickBot="1" x14ac:dyDescent="0.45">
      <c r="A42" s="112"/>
      <c r="B42" s="1506" t="s">
        <v>1132</v>
      </c>
      <c r="C42" s="1507" t="s">
        <v>1133</v>
      </c>
      <c r="D42" s="129" t="s">
        <v>162</v>
      </c>
      <c r="E42" s="90">
        <v>0.1</v>
      </c>
      <c r="F42" s="121">
        <v>4</v>
      </c>
      <c r="G42" s="132">
        <v>0</v>
      </c>
      <c r="H42" s="132">
        <v>1</v>
      </c>
      <c r="I42" s="132">
        <v>1</v>
      </c>
      <c r="J42" s="122"/>
      <c r="K42" s="122">
        <f t="shared" si="30"/>
        <v>0.25</v>
      </c>
      <c r="L42" s="122">
        <f t="shared" si="24"/>
        <v>0.25</v>
      </c>
      <c r="M42" s="122"/>
      <c r="N42" s="122">
        <f t="shared" si="31"/>
        <v>2.5000000000000001E-2</v>
      </c>
      <c r="O42" s="122"/>
      <c r="P42" s="558"/>
      <c r="Q42" s="1152">
        <v>0</v>
      </c>
      <c r="R42" s="1152">
        <v>0</v>
      </c>
      <c r="S42" s="1152"/>
      <c r="T42" s="1152">
        <v>1</v>
      </c>
      <c r="U42" s="1152"/>
      <c r="V42" s="558">
        <f t="shared" si="5"/>
        <v>1</v>
      </c>
      <c r="W42" s="558">
        <f t="shared" si="27"/>
        <v>1</v>
      </c>
      <c r="X42" s="1152">
        <v>0</v>
      </c>
      <c r="Y42" s="558"/>
      <c r="Z42" s="558"/>
      <c r="AA42" s="558"/>
      <c r="AB42" s="558">
        <f t="shared" si="18"/>
        <v>0</v>
      </c>
      <c r="AC42" s="122"/>
      <c r="AD42" s="122">
        <f>+V42/H42</f>
        <v>1</v>
      </c>
      <c r="AE42" s="122">
        <f t="shared" si="32"/>
        <v>0</v>
      </c>
      <c r="AF42" s="122"/>
      <c r="AG42" s="122">
        <f t="shared" si="33"/>
        <v>0.1</v>
      </c>
      <c r="AH42" s="122">
        <f t="shared" si="34"/>
        <v>0</v>
      </c>
      <c r="AI42" s="122"/>
      <c r="AJ42" s="122">
        <v>0.25</v>
      </c>
      <c r="AK42" s="123">
        <f t="shared" si="35"/>
        <v>0.25</v>
      </c>
      <c r="AL42" s="122"/>
      <c r="AM42" s="122">
        <f t="shared" si="36"/>
        <v>2.5000000000000001E-2</v>
      </c>
      <c r="AN42" s="122">
        <f t="shared" si="37"/>
        <v>2.5000000000000001E-2</v>
      </c>
      <c r="AO42" s="592" t="s">
        <v>1565</v>
      </c>
      <c r="AP42" s="932" t="s">
        <v>1913</v>
      </c>
      <c r="AQ42" s="897" t="s">
        <v>2270</v>
      </c>
      <c r="AR42" s="932" t="s">
        <v>2326</v>
      </c>
      <c r="AS42" s="114"/>
      <c r="AT42" s="934" t="s">
        <v>2436</v>
      </c>
      <c r="AU42" s="897" t="s">
        <v>2497</v>
      </c>
      <c r="AV42" s="1149"/>
    </row>
    <row r="43" spans="1:48" ht="153" customHeight="1" thickBot="1" x14ac:dyDescent="0.45">
      <c r="A43" s="112"/>
      <c r="B43" s="1509" t="s">
        <v>1134</v>
      </c>
      <c r="C43" s="1510" t="s">
        <v>1135</v>
      </c>
      <c r="D43" s="129" t="s">
        <v>58</v>
      </c>
      <c r="E43" s="90">
        <v>0.35</v>
      </c>
      <c r="F43" s="121">
        <v>500</v>
      </c>
      <c r="G43" s="132">
        <v>0</v>
      </c>
      <c r="H43" s="132">
        <v>150</v>
      </c>
      <c r="I43" s="132">
        <v>173</v>
      </c>
      <c r="J43" s="122"/>
      <c r="K43" s="122">
        <f t="shared" si="30"/>
        <v>0.3</v>
      </c>
      <c r="L43" s="122">
        <f t="shared" si="24"/>
        <v>0.34599999999999997</v>
      </c>
      <c r="M43" s="122"/>
      <c r="N43" s="122">
        <f t="shared" si="31"/>
        <v>0.105</v>
      </c>
      <c r="O43" s="122"/>
      <c r="P43" s="558"/>
      <c r="Q43" s="1152">
        <v>0</v>
      </c>
      <c r="R43" s="1152">
        <v>109</v>
      </c>
      <c r="S43" s="1152">
        <v>48</v>
      </c>
      <c r="T43" s="1152">
        <v>0</v>
      </c>
      <c r="U43" s="1152">
        <v>0</v>
      </c>
      <c r="V43" s="558">
        <f t="shared" si="5"/>
        <v>157</v>
      </c>
      <c r="W43" s="558">
        <f t="shared" si="27"/>
        <v>157</v>
      </c>
      <c r="X43" s="1152">
        <v>0</v>
      </c>
      <c r="Y43" s="558"/>
      <c r="Z43" s="558"/>
      <c r="AA43" s="558"/>
      <c r="AB43" s="558">
        <f t="shared" si="18"/>
        <v>0</v>
      </c>
      <c r="AC43" s="122"/>
      <c r="AD43" s="123">
        <v>1</v>
      </c>
      <c r="AE43" s="123">
        <f t="shared" si="32"/>
        <v>0</v>
      </c>
      <c r="AF43" s="123"/>
      <c r="AG43" s="123">
        <f t="shared" si="33"/>
        <v>0.35</v>
      </c>
      <c r="AH43" s="123">
        <f t="shared" si="34"/>
        <v>0</v>
      </c>
      <c r="AI43" s="123"/>
      <c r="AJ43" s="123">
        <v>0.314</v>
      </c>
      <c r="AK43" s="123">
        <f t="shared" si="35"/>
        <v>0.314</v>
      </c>
      <c r="AL43" s="122"/>
      <c r="AM43" s="122">
        <f t="shared" si="36"/>
        <v>0.1099</v>
      </c>
      <c r="AN43" s="122">
        <f t="shared" si="37"/>
        <v>0.1099</v>
      </c>
      <c r="AO43" s="586" t="s">
        <v>1850</v>
      </c>
      <c r="AP43" s="932" t="s">
        <v>1919</v>
      </c>
      <c r="AQ43" s="933" t="s">
        <v>2270</v>
      </c>
      <c r="AR43" s="933" t="s">
        <v>2289</v>
      </c>
      <c r="AS43" s="934" t="s">
        <v>2402</v>
      </c>
      <c r="AT43" s="934" t="s">
        <v>2436</v>
      </c>
      <c r="AU43" s="897" t="s">
        <v>2497</v>
      </c>
      <c r="AV43" s="897" t="s">
        <v>1893</v>
      </c>
    </row>
    <row r="44" spans="1:48" ht="93" customHeight="1" thickBot="1" x14ac:dyDescent="0.45">
      <c r="A44" s="112"/>
      <c r="B44" s="113" t="s">
        <v>1136</v>
      </c>
      <c r="C44" s="126" t="s">
        <v>1137</v>
      </c>
      <c r="D44" s="129" t="s">
        <v>620</v>
      </c>
      <c r="E44" s="90">
        <v>0.15</v>
      </c>
      <c r="F44" s="121">
        <v>4</v>
      </c>
      <c r="G44" s="132">
        <v>1</v>
      </c>
      <c r="H44" s="132">
        <v>1</v>
      </c>
      <c r="I44" s="132">
        <v>2</v>
      </c>
      <c r="J44" s="122">
        <f>+G44/F44</f>
        <v>0.25</v>
      </c>
      <c r="K44" s="122">
        <f t="shared" si="30"/>
        <v>0.25</v>
      </c>
      <c r="L44" s="122">
        <f t="shared" si="24"/>
        <v>0.5</v>
      </c>
      <c r="M44" s="122">
        <f>+(G44/F44)*E44</f>
        <v>3.7499999999999999E-2</v>
      </c>
      <c r="N44" s="122">
        <f t="shared" si="31"/>
        <v>3.7499999999999999E-2</v>
      </c>
      <c r="O44" s="122"/>
      <c r="P44" s="558">
        <v>0</v>
      </c>
      <c r="Q44" s="1152">
        <v>0</v>
      </c>
      <c r="R44" s="1152">
        <v>1</v>
      </c>
      <c r="S44" s="1152">
        <v>0</v>
      </c>
      <c r="T44" s="1152">
        <v>0</v>
      </c>
      <c r="U44" s="1152">
        <v>0</v>
      </c>
      <c r="V44" s="558">
        <f t="shared" si="5"/>
        <v>1</v>
      </c>
      <c r="W44" s="558">
        <f t="shared" si="27"/>
        <v>1</v>
      </c>
      <c r="X44" s="1152">
        <v>0</v>
      </c>
      <c r="Y44" s="558"/>
      <c r="Z44" s="558"/>
      <c r="AA44" s="558"/>
      <c r="AB44" s="558">
        <f t="shared" si="18"/>
        <v>0</v>
      </c>
      <c r="AC44" s="122">
        <f>+(P44/G44)</f>
        <v>0</v>
      </c>
      <c r="AD44" s="122">
        <f>+V44/H44</f>
        <v>1</v>
      </c>
      <c r="AE44" s="122">
        <f t="shared" si="32"/>
        <v>0</v>
      </c>
      <c r="AF44" s="122">
        <f>+AC44*E44</f>
        <v>0</v>
      </c>
      <c r="AG44" s="122">
        <f t="shared" si="33"/>
        <v>0.15</v>
      </c>
      <c r="AH44" s="122">
        <f t="shared" si="34"/>
        <v>0</v>
      </c>
      <c r="AI44" s="122">
        <f>+P44/F44</f>
        <v>0</v>
      </c>
      <c r="AJ44" s="122">
        <v>0.25</v>
      </c>
      <c r="AK44" s="122">
        <f t="shared" si="35"/>
        <v>0.25</v>
      </c>
      <c r="AL44" s="122">
        <f>+AI44*E44</f>
        <v>0</v>
      </c>
      <c r="AM44" s="122">
        <f t="shared" si="36"/>
        <v>3.7499999999999999E-2</v>
      </c>
      <c r="AN44" s="122">
        <f t="shared" si="37"/>
        <v>3.7499999999999999E-2</v>
      </c>
      <c r="AO44" s="586" t="s">
        <v>1850</v>
      </c>
      <c r="AP44" s="933" t="s">
        <v>1892</v>
      </c>
      <c r="AQ44" s="897" t="s">
        <v>2270</v>
      </c>
      <c r="AR44" s="933" t="s">
        <v>2289</v>
      </c>
      <c r="AS44" s="897" t="s">
        <v>2402</v>
      </c>
      <c r="AT44" s="932" t="s">
        <v>2470</v>
      </c>
      <c r="AU44" s="897" t="s">
        <v>2493</v>
      </c>
      <c r="AV44" s="897" t="s">
        <v>1893</v>
      </c>
    </row>
    <row r="45" spans="1:48" ht="141" customHeight="1" thickBot="1" x14ac:dyDescent="0.45">
      <c r="A45" s="112"/>
      <c r="B45" s="1506" t="s">
        <v>1138</v>
      </c>
      <c r="C45" s="1507" t="s">
        <v>1139</v>
      </c>
      <c r="D45" s="129" t="s">
        <v>565</v>
      </c>
      <c r="E45" s="90">
        <v>0.1</v>
      </c>
      <c r="F45" s="121">
        <v>1</v>
      </c>
      <c r="G45" s="132">
        <v>0</v>
      </c>
      <c r="H45" s="132">
        <v>1</v>
      </c>
      <c r="I45" s="132">
        <v>1</v>
      </c>
      <c r="J45" s="122"/>
      <c r="K45" s="122">
        <f t="shared" si="30"/>
        <v>1</v>
      </c>
      <c r="L45" s="122">
        <f t="shared" si="24"/>
        <v>1</v>
      </c>
      <c r="M45" s="122"/>
      <c r="N45" s="122">
        <f t="shared" si="31"/>
        <v>0.1</v>
      </c>
      <c r="O45" s="122"/>
      <c r="P45" s="558"/>
      <c r="Q45" s="1152">
        <v>0</v>
      </c>
      <c r="R45" s="1152">
        <v>0.05</v>
      </c>
      <c r="S45" s="1152">
        <v>0.45</v>
      </c>
      <c r="T45" s="1152">
        <v>0.35</v>
      </c>
      <c r="U45" s="1152">
        <v>0</v>
      </c>
      <c r="V45" s="558">
        <f t="shared" si="5"/>
        <v>0.85</v>
      </c>
      <c r="W45" s="558">
        <f t="shared" si="27"/>
        <v>1.0249999999999999</v>
      </c>
      <c r="X45" s="558">
        <v>0.17499999999999999</v>
      </c>
      <c r="Y45" s="558"/>
      <c r="Z45" s="558"/>
      <c r="AA45" s="558"/>
      <c r="AB45" s="558">
        <f t="shared" si="18"/>
        <v>0.17499999999999999</v>
      </c>
      <c r="AC45" s="122"/>
      <c r="AD45" s="123">
        <f>+V45/H45</f>
        <v>0.85</v>
      </c>
      <c r="AE45" s="123">
        <f t="shared" si="32"/>
        <v>0.17499999999999999</v>
      </c>
      <c r="AF45" s="123"/>
      <c r="AG45" s="123">
        <f t="shared" si="33"/>
        <v>8.5000000000000006E-2</v>
      </c>
      <c r="AH45" s="123">
        <f t="shared" si="34"/>
        <v>1.7499999999999998E-2</v>
      </c>
      <c r="AI45" s="123"/>
      <c r="AJ45" s="123">
        <v>0.85</v>
      </c>
      <c r="AK45" s="123">
        <v>1</v>
      </c>
      <c r="AL45" s="123"/>
      <c r="AM45" s="123">
        <f t="shared" si="36"/>
        <v>8.5000000000000006E-2</v>
      </c>
      <c r="AN45" s="123">
        <f t="shared" si="37"/>
        <v>0.1</v>
      </c>
      <c r="AO45" s="586" t="s">
        <v>1850</v>
      </c>
      <c r="AP45" s="932" t="s">
        <v>1919</v>
      </c>
      <c r="AQ45" s="934" t="s">
        <v>2270</v>
      </c>
      <c r="AR45" s="933" t="s">
        <v>2289</v>
      </c>
      <c r="AS45" s="897" t="s">
        <v>2402</v>
      </c>
      <c r="AT45" s="897" t="s">
        <v>2436</v>
      </c>
      <c r="AU45" s="897" t="s">
        <v>2497</v>
      </c>
      <c r="AV45" s="897" t="s">
        <v>1893</v>
      </c>
    </row>
    <row r="46" spans="1:48" ht="93" customHeight="1" thickBot="1" x14ac:dyDescent="0.45">
      <c r="A46" s="112"/>
      <c r="B46" s="1509" t="s">
        <v>1140</v>
      </c>
      <c r="C46" s="1510" t="s">
        <v>1141</v>
      </c>
      <c r="D46" s="137" t="s">
        <v>707</v>
      </c>
      <c r="E46" s="90">
        <v>0.2</v>
      </c>
      <c r="F46" s="121">
        <v>60</v>
      </c>
      <c r="G46" s="132">
        <v>0</v>
      </c>
      <c r="H46" s="132">
        <v>0</v>
      </c>
      <c r="I46" s="132">
        <v>20</v>
      </c>
      <c r="J46" s="122"/>
      <c r="K46" s="122">
        <f t="shared" si="30"/>
        <v>0</v>
      </c>
      <c r="L46" s="122">
        <f t="shared" si="24"/>
        <v>0.33333333333333331</v>
      </c>
      <c r="M46" s="122"/>
      <c r="N46" s="122">
        <f t="shared" si="31"/>
        <v>0</v>
      </c>
      <c r="O46" s="122"/>
      <c r="P46" s="558"/>
      <c r="Q46" s="1152"/>
      <c r="R46" s="1152"/>
      <c r="S46" s="1152"/>
      <c r="T46" s="1152">
        <v>16</v>
      </c>
      <c r="U46" s="1152"/>
      <c r="V46" s="558">
        <f t="shared" si="5"/>
        <v>16</v>
      </c>
      <c r="W46" s="558">
        <f t="shared" si="27"/>
        <v>20</v>
      </c>
      <c r="X46" s="1152">
        <v>4</v>
      </c>
      <c r="Y46" s="558"/>
      <c r="Z46" s="558"/>
      <c r="AA46" s="558"/>
      <c r="AB46" s="558">
        <f t="shared" si="18"/>
        <v>4</v>
      </c>
      <c r="AC46" s="122"/>
      <c r="AD46" s="122"/>
      <c r="AE46" s="122">
        <f t="shared" si="32"/>
        <v>0.2</v>
      </c>
      <c r="AF46" s="122"/>
      <c r="AG46" s="123">
        <f t="shared" si="33"/>
        <v>0</v>
      </c>
      <c r="AH46" s="123">
        <f t="shared" si="34"/>
        <v>4.0000000000000008E-2</v>
      </c>
      <c r="AI46" s="123"/>
      <c r="AJ46" s="123">
        <v>0.26666666666666666</v>
      </c>
      <c r="AK46" s="123">
        <f t="shared" si="35"/>
        <v>0.33333333333333331</v>
      </c>
      <c r="AL46" s="123"/>
      <c r="AM46" s="123">
        <f t="shared" si="36"/>
        <v>5.3333333333333337E-2</v>
      </c>
      <c r="AN46" s="123">
        <f t="shared" si="37"/>
        <v>6.6666666666666666E-2</v>
      </c>
      <c r="AO46" s="586" t="s">
        <v>1850</v>
      </c>
      <c r="AP46" s="932" t="s">
        <v>1913</v>
      </c>
      <c r="AQ46" s="114"/>
      <c r="AR46" s="933" t="s">
        <v>2301</v>
      </c>
      <c r="AS46" s="934" t="s">
        <v>2402</v>
      </c>
      <c r="AT46" s="897" t="s">
        <v>2436</v>
      </c>
      <c r="AU46" s="897" t="s">
        <v>2493</v>
      </c>
      <c r="AV46" s="897" t="s">
        <v>1893</v>
      </c>
    </row>
    <row r="47" spans="1:48" ht="57" customHeight="1" thickBot="1" x14ac:dyDescent="0.45">
      <c r="A47" s="112"/>
      <c r="B47" s="1581" t="s">
        <v>1841</v>
      </c>
      <c r="C47" s="1582"/>
      <c r="D47" s="129"/>
      <c r="E47" s="89">
        <v>0.4</v>
      </c>
      <c r="F47" s="121"/>
      <c r="G47" s="132"/>
      <c r="H47" s="132"/>
      <c r="I47" s="132"/>
      <c r="J47" s="119">
        <f>+AVERAGE(J48:J52)</f>
        <v>0.125</v>
      </c>
      <c r="K47" s="119">
        <f>+AVERAGE(K48:K52)</f>
        <v>0.26166666666666666</v>
      </c>
      <c r="L47" s="119">
        <f>+AVERAGE(L48:L52)</f>
        <v>0.33500000000000002</v>
      </c>
      <c r="M47" s="119">
        <f>+M48+M49+M50+M51+M52</f>
        <v>3.125E-2</v>
      </c>
      <c r="N47" s="119">
        <f>+N48+N49+N50+N51+N52</f>
        <v>0.29541666666666666</v>
      </c>
      <c r="O47" s="119"/>
      <c r="P47" s="120"/>
      <c r="Q47" s="120"/>
      <c r="R47" s="120"/>
      <c r="S47" s="120"/>
      <c r="T47" s="120"/>
      <c r="U47" s="993"/>
      <c r="V47" s="120"/>
      <c r="W47" s="558"/>
      <c r="X47" s="120"/>
      <c r="Y47" s="120"/>
      <c r="Z47" s="120"/>
      <c r="AA47" s="120"/>
      <c r="AB47" s="120"/>
      <c r="AC47" s="559">
        <f>+AVERAGE(AC48:AC52)</f>
        <v>0</v>
      </c>
      <c r="AD47" s="559">
        <f>+AVERAGE(AD48:AD52)</f>
        <v>1</v>
      </c>
      <c r="AE47" s="559">
        <f>+AVERAGE(AE48:AE52)</f>
        <v>0</v>
      </c>
      <c r="AF47" s="559">
        <f>+(AF48+AF49+AF50+AF51+AF52)*E47</f>
        <v>0</v>
      </c>
      <c r="AG47" s="559">
        <f>+(AG48+AG49+AG50+AG51+AG52)*E47</f>
        <v>0.36</v>
      </c>
      <c r="AH47" s="559">
        <f>+(AH48+AH49+AH50+AH51+AH52)*E47</f>
        <v>0</v>
      </c>
      <c r="AI47" s="119">
        <f>+AVERAGE(AI48:AI52)</f>
        <v>0</v>
      </c>
      <c r="AJ47" s="119">
        <v>0.46699999999999997</v>
      </c>
      <c r="AK47" s="119">
        <f>+AVERAGE(AK48:AK52)</f>
        <v>0.46699999999999997</v>
      </c>
      <c r="AL47" s="119">
        <f>+(AL48+AL49+AL50+AL51+AL52)*E47</f>
        <v>0</v>
      </c>
      <c r="AM47" s="119">
        <f>+(AM48+AM49+AM50+AM51+AM52)</f>
        <v>0.47625000000000006</v>
      </c>
      <c r="AN47" s="119">
        <f>+(AN48+AN49+AN50+AN51+AN52)</f>
        <v>0.47625000000000006</v>
      </c>
      <c r="AO47" s="929"/>
      <c r="AP47" s="114"/>
      <c r="AQ47" s="114"/>
      <c r="AR47" s="114"/>
      <c r="AS47" s="114"/>
      <c r="AT47" s="114"/>
      <c r="AU47" s="114"/>
      <c r="AV47" s="1149"/>
    </row>
    <row r="48" spans="1:48" ht="154.19999999999999" customHeight="1" thickBot="1" x14ac:dyDescent="0.45">
      <c r="A48" s="112"/>
      <c r="B48" s="1509" t="s">
        <v>1142</v>
      </c>
      <c r="C48" s="1510" t="s">
        <v>1143</v>
      </c>
      <c r="D48" s="129" t="s">
        <v>58</v>
      </c>
      <c r="E48" s="90">
        <v>0.2</v>
      </c>
      <c r="F48" s="121">
        <v>60</v>
      </c>
      <c r="G48" s="132">
        <v>0</v>
      </c>
      <c r="H48" s="132">
        <v>20</v>
      </c>
      <c r="I48" s="132">
        <v>0</v>
      </c>
      <c r="J48" s="122"/>
      <c r="K48" s="122">
        <f t="shared" ref="K48:K52" si="38">+H48/F48</f>
        <v>0.33333333333333331</v>
      </c>
      <c r="L48" s="122"/>
      <c r="M48" s="122"/>
      <c r="N48" s="122">
        <f t="shared" ref="N48:N52" si="39">+(H48/F48)*E48</f>
        <v>6.6666666666666666E-2</v>
      </c>
      <c r="O48" s="122"/>
      <c r="P48" s="558"/>
      <c r="Q48" s="1152">
        <v>0</v>
      </c>
      <c r="R48" s="1152">
        <v>9</v>
      </c>
      <c r="S48" s="1152">
        <v>0</v>
      </c>
      <c r="T48" s="1152">
        <v>0</v>
      </c>
      <c r="U48" s="1152">
        <v>51</v>
      </c>
      <c r="V48" s="558">
        <f t="shared" si="5"/>
        <v>60</v>
      </c>
      <c r="W48" s="558">
        <f t="shared" si="27"/>
        <v>60</v>
      </c>
      <c r="X48" s="1152">
        <v>0</v>
      </c>
      <c r="Y48" s="558"/>
      <c r="Z48" s="558"/>
      <c r="AA48" s="558"/>
      <c r="AB48" s="558">
        <f t="shared" si="18"/>
        <v>0</v>
      </c>
      <c r="AC48" s="122"/>
      <c r="AD48" s="123">
        <v>1</v>
      </c>
      <c r="AE48" s="123"/>
      <c r="AF48" s="123"/>
      <c r="AG48" s="123">
        <f>+AD48*E48</f>
        <v>0.2</v>
      </c>
      <c r="AH48" s="123">
        <f t="shared" ref="AH48:AH52" si="40">+AE48*E48</f>
        <v>0</v>
      </c>
      <c r="AI48" s="123"/>
      <c r="AJ48" s="123">
        <v>1</v>
      </c>
      <c r="AK48" s="123">
        <f t="shared" ref="AK48:AK52" si="41">+W48/F48</f>
        <v>1</v>
      </c>
      <c r="AL48" s="123"/>
      <c r="AM48" s="123">
        <f>+AJ48*E48</f>
        <v>0.2</v>
      </c>
      <c r="AN48" s="123">
        <f t="shared" ref="AN48:AN52" si="42">+AK48*E48</f>
        <v>0.2</v>
      </c>
      <c r="AO48" s="586" t="s">
        <v>1850</v>
      </c>
      <c r="AP48" s="932" t="s">
        <v>1919</v>
      </c>
      <c r="AQ48" s="933" t="s">
        <v>2270</v>
      </c>
      <c r="AR48" s="933" t="s">
        <v>2289</v>
      </c>
      <c r="AS48" s="934" t="s">
        <v>2402</v>
      </c>
      <c r="AT48" s="934" t="s">
        <v>2436</v>
      </c>
      <c r="AU48" s="897" t="s">
        <v>2497</v>
      </c>
      <c r="AV48" s="897" t="s">
        <v>1893</v>
      </c>
    </row>
    <row r="49" spans="1:48" ht="98.4" customHeight="1" thickBot="1" x14ac:dyDescent="0.45">
      <c r="A49" s="112"/>
      <c r="B49" s="1509" t="s">
        <v>1144</v>
      </c>
      <c r="C49" s="1510" t="s">
        <v>1145</v>
      </c>
      <c r="D49" s="133" t="s">
        <v>1146</v>
      </c>
      <c r="E49" s="90">
        <v>0.25</v>
      </c>
      <c r="F49" s="121">
        <v>200</v>
      </c>
      <c r="G49" s="132">
        <v>25</v>
      </c>
      <c r="H49" s="132">
        <v>75</v>
      </c>
      <c r="I49" s="132">
        <v>73</v>
      </c>
      <c r="J49" s="122">
        <f>+G49/F49</f>
        <v>0.125</v>
      </c>
      <c r="K49" s="122">
        <f t="shared" si="38"/>
        <v>0.375</v>
      </c>
      <c r="L49" s="122">
        <f t="shared" si="24"/>
        <v>0.36499999999999999</v>
      </c>
      <c r="M49" s="122">
        <f>+(G49/F49)*E49</f>
        <v>3.125E-2</v>
      </c>
      <c r="N49" s="122">
        <f t="shared" si="39"/>
        <v>9.375E-2</v>
      </c>
      <c r="O49" s="122"/>
      <c r="P49" s="558">
        <v>0</v>
      </c>
      <c r="Q49" s="1152">
        <v>0</v>
      </c>
      <c r="R49" s="1152">
        <v>0</v>
      </c>
      <c r="S49" s="1152">
        <v>23</v>
      </c>
      <c r="T49" s="1152">
        <v>54</v>
      </c>
      <c r="U49" s="1152">
        <v>0</v>
      </c>
      <c r="V49" s="558">
        <f t="shared" si="5"/>
        <v>77</v>
      </c>
      <c r="W49" s="558">
        <f t="shared" si="27"/>
        <v>77</v>
      </c>
      <c r="X49" s="1152">
        <v>0</v>
      </c>
      <c r="Y49" s="558"/>
      <c r="Z49" s="558"/>
      <c r="AA49" s="558"/>
      <c r="AB49" s="558">
        <f t="shared" si="18"/>
        <v>0</v>
      </c>
      <c r="AC49" s="122">
        <f>+(P49/G49)</f>
        <v>0</v>
      </c>
      <c r="AD49" s="122">
        <v>1</v>
      </c>
      <c r="AE49" s="122">
        <f t="shared" ref="AE49:AE52" si="43">+AB49/I49</f>
        <v>0</v>
      </c>
      <c r="AF49" s="122">
        <f>+AC49*E49</f>
        <v>0</v>
      </c>
      <c r="AG49" s="123">
        <f>+AD49*E49</f>
        <v>0.25</v>
      </c>
      <c r="AH49" s="123">
        <f t="shared" si="40"/>
        <v>0</v>
      </c>
      <c r="AI49" s="123">
        <f>+P49/F49</f>
        <v>0</v>
      </c>
      <c r="AJ49" s="123">
        <v>0.38500000000000001</v>
      </c>
      <c r="AK49" s="123">
        <f t="shared" si="41"/>
        <v>0.38500000000000001</v>
      </c>
      <c r="AL49" s="123">
        <f>+AI49*E49</f>
        <v>0</v>
      </c>
      <c r="AM49" s="123">
        <f>+AJ49*E49</f>
        <v>9.6250000000000002E-2</v>
      </c>
      <c r="AN49" s="123">
        <f t="shared" si="42"/>
        <v>9.6250000000000002E-2</v>
      </c>
      <c r="AO49" s="586" t="s">
        <v>1850</v>
      </c>
      <c r="AP49" s="933" t="s">
        <v>1892</v>
      </c>
      <c r="AQ49" s="933" t="s">
        <v>2270</v>
      </c>
      <c r="AR49" s="933" t="s">
        <v>2289</v>
      </c>
      <c r="AS49" s="934" t="s">
        <v>2402</v>
      </c>
      <c r="AT49" s="934" t="s">
        <v>2440</v>
      </c>
      <c r="AU49" s="934" t="s">
        <v>2493</v>
      </c>
      <c r="AV49" s="934" t="s">
        <v>1893</v>
      </c>
    </row>
    <row r="50" spans="1:48" ht="154.19999999999999" customHeight="1" thickBot="1" x14ac:dyDescent="0.45">
      <c r="A50" s="112"/>
      <c r="B50" s="1509" t="s">
        <v>1147</v>
      </c>
      <c r="C50" s="1510" t="s">
        <v>1148</v>
      </c>
      <c r="D50" s="134" t="s">
        <v>516</v>
      </c>
      <c r="E50" s="90">
        <v>0.1</v>
      </c>
      <c r="F50" s="121">
        <v>8</v>
      </c>
      <c r="G50" s="132">
        <v>0</v>
      </c>
      <c r="H50" s="132"/>
      <c r="I50" s="132">
        <v>3</v>
      </c>
      <c r="J50" s="122"/>
      <c r="K50" s="122">
        <f t="shared" si="38"/>
        <v>0</v>
      </c>
      <c r="L50" s="122">
        <f t="shared" si="24"/>
        <v>0.375</v>
      </c>
      <c r="M50" s="122"/>
      <c r="N50" s="122">
        <f t="shared" si="39"/>
        <v>0</v>
      </c>
      <c r="O50" s="122"/>
      <c r="P50" s="558"/>
      <c r="Q50" s="1152"/>
      <c r="R50" s="558"/>
      <c r="S50" s="558"/>
      <c r="T50" s="558"/>
      <c r="U50" s="1152">
        <v>2</v>
      </c>
      <c r="V50" s="558">
        <f t="shared" si="5"/>
        <v>2</v>
      </c>
      <c r="W50" s="558">
        <f t="shared" si="27"/>
        <v>2</v>
      </c>
      <c r="X50" s="1152">
        <v>0</v>
      </c>
      <c r="Y50" s="558"/>
      <c r="Z50" s="558"/>
      <c r="AA50" s="558"/>
      <c r="AB50" s="558">
        <f t="shared" si="18"/>
        <v>0</v>
      </c>
      <c r="AC50" s="122"/>
      <c r="AD50" s="122"/>
      <c r="AE50" s="122">
        <f t="shared" si="43"/>
        <v>0</v>
      </c>
      <c r="AF50" s="122"/>
      <c r="AG50" s="123">
        <f>+AD50*E50</f>
        <v>0</v>
      </c>
      <c r="AH50" s="123">
        <f t="shared" si="40"/>
        <v>0</v>
      </c>
      <c r="AI50" s="123"/>
      <c r="AJ50" s="123">
        <v>0.25</v>
      </c>
      <c r="AK50" s="123">
        <f t="shared" si="41"/>
        <v>0.25</v>
      </c>
      <c r="AL50" s="123"/>
      <c r="AM50" s="123">
        <f>+AJ50*E50</f>
        <v>2.5000000000000001E-2</v>
      </c>
      <c r="AN50" s="123">
        <f t="shared" si="42"/>
        <v>2.5000000000000001E-2</v>
      </c>
      <c r="AO50" s="592" t="s">
        <v>1579</v>
      </c>
      <c r="AP50" s="933" t="s">
        <v>2468</v>
      </c>
      <c r="AQ50" s="933" t="s">
        <v>2468</v>
      </c>
      <c r="AR50" s="933" t="s">
        <v>2468</v>
      </c>
      <c r="AS50" s="934" t="s">
        <v>2468</v>
      </c>
      <c r="AT50" s="934" t="s">
        <v>2468</v>
      </c>
      <c r="AU50" s="932" t="s">
        <v>2522</v>
      </c>
      <c r="AV50" s="934" t="s">
        <v>1893</v>
      </c>
    </row>
    <row r="51" spans="1:48" ht="97.95" customHeight="1" thickBot="1" x14ac:dyDescent="0.45">
      <c r="A51" s="112"/>
      <c r="B51" s="1506" t="s">
        <v>1149</v>
      </c>
      <c r="C51" s="1507" t="s">
        <v>1150</v>
      </c>
      <c r="D51" s="135" t="s">
        <v>1151</v>
      </c>
      <c r="E51" s="90">
        <v>0.25</v>
      </c>
      <c r="F51" s="121">
        <v>100</v>
      </c>
      <c r="G51" s="132"/>
      <c r="H51" s="132">
        <v>30</v>
      </c>
      <c r="I51" s="132">
        <v>30</v>
      </c>
      <c r="J51" s="122"/>
      <c r="K51" s="122">
        <f t="shared" si="38"/>
        <v>0.3</v>
      </c>
      <c r="L51" s="122">
        <f t="shared" si="24"/>
        <v>0.3</v>
      </c>
      <c r="M51" s="122"/>
      <c r="N51" s="122">
        <f t="shared" si="39"/>
        <v>7.4999999999999997E-2</v>
      </c>
      <c r="O51" s="122"/>
      <c r="P51" s="558"/>
      <c r="Q51" s="1152">
        <v>21</v>
      </c>
      <c r="R51" s="1152">
        <v>0</v>
      </c>
      <c r="S51" s="1152">
        <v>0</v>
      </c>
      <c r="T51" s="1152">
        <v>8</v>
      </c>
      <c r="U51" s="1152">
        <v>1</v>
      </c>
      <c r="V51" s="558">
        <f t="shared" si="5"/>
        <v>30</v>
      </c>
      <c r="W51" s="558">
        <f t="shared" si="27"/>
        <v>30</v>
      </c>
      <c r="X51" s="1152">
        <v>0</v>
      </c>
      <c r="Y51" s="558"/>
      <c r="Z51" s="558"/>
      <c r="AA51" s="558"/>
      <c r="AB51" s="558">
        <f t="shared" si="18"/>
        <v>0</v>
      </c>
      <c r="AC51" s="122"/>
      <c r="AD51" s="123">
        <f>+V51/H51</f>
        <v>1</v>
      </c>
      <c r="AE51" s="123">
        <f t="shared" si="43"/>
        <v>0</v>
      </c>
      <c r="AF51" s="123"/>
      <c r="AG51" s="123">
        <f>+AD51*E51</f>
        <v>0.25</v>
      </c>
      <c r="AH51" s="123">
        <f t="shared" si="40"/>
        <v>0</v>
      </c>
      <c r="AI51" s="123"/>
      <c r="AJ51" s="123">
        <v>0.3</v>
      </c>
      <c r="AK51" s="123">
        <f t="shared" si="41"/>
        <v>0.3</v>
      </c>
      <c r="AL51" s="123"/>
      <c r="AM51" s="123">
        <f>+AJ51*E51</f>
        <v>7.4999999999999997E-2</v>
      </c>
      <c r="AN51" s="123">
        <f t="shared" si="42"/>
        <v>7.4999999999999997E-2</v>
      </c>
      <c r="AO51" s="586" t="s">
        <v>1850</v>
      </c>
      <c r="AP51" s="933" t="s">
        <v>1892</v>
      </c>
      <c r="AQ51" s="933" t="s">
        <v>2270</v>
      </c>
      <c r="AR51" s="933" t="s">
        <v>2289</v>
      </c>
      <c r="AS51" s="934" t="s">
        <v>2402</v>
      </c>
      <c r="AT51" s="934" t="s">
        <v>2436</v>
      </c>
      <c r="AU51" s="897" t="s">
        <v>2497</v>
      </c>
      <c r="AV51" s="897" t="s">
        <v>1893</v>
      </c>
    </row>
    <row r="52" spans="1:48" ht="122.4" customHeight="1" thickBot="1" x14ac:dyDescent="0.45">
      <c r="A52" s="112"/>
      <c r="B52" s="1506" t="s">
        <v>1152</v>
      </c>
      <c r="C52" s="1507" t="s">
        <v>1153</v>
      </c>
      <c r="D52" s="129" t="s">
        <v>1151</v>
      </c>
      <c r="E52" s="90">
        <v>0.2</v>
      </c>
      <c r="F52" s="121">
        <v>100</v>
      </c>
      <c r="G52" s="132"/>
      <c r="H52" s="132">
        <v>30</v>
      </c>
      <c r="I52" s="132">
        <v>30</v>
      </c>
      <c r="J52" s="122"/>
      <c r="K52" s="122">
        <f t="shared" si="38"/>
        <v>0.3</v>
      </c>
      <c r="L52" s="122">
        <f t="shared" si="24"/>
        <v>0.3</v>
      </c>
      <c r="M52" s="122"/>
      <c r="N52" s="122">
        <f t="shared" si="39"/>
        <v>0.06</v>
      </c>
      <c r="O52" s="122"/>
      <c r="P52" s="558"/>
      <c r="Q52" s="1152">
        <v>0</v>
      </c>
      <c r="R52" s="1152">
        <v>32</v>
      </c>
      <c r="S52" s="1152">
        <v>0</v>
      </c>
      <c r="T52" s="1152">
        <v>8</v>
      </c>
      <c r="U52" s="1152">
        <v>0</v>
      </c>
      <c r="V52" s="558">
        <f t="shared" si="5"/>
        <v>40</v>
      </c>
      <c r="W52" s="558">
        <f t="shared" si="27"/>
        <v>40</v>
      </c>
      <c r="X52" s="1152">
        <v>0</v>
      </c>
      <c r="Y52" s="558"/>
      <c r="Z52" s="558"/>
      <c r="AA52" s="558"/>
      <c r="AB52" s="558">
        <f t="shared" si="18"/>
        <v>0</v>
      </c>
      <c r="AC52" s="122"/>
      <c r="AD52" s="123">
        <v>1</v>
      </c>
      <c r="AE52" s="123">
        <f t="shared" si="43"/>
        <v>0</v>
      </c>
      <c r="AF52" s="123"/>
      <c r="AG52" s="123">
        <f>+AD52*E52</f>
        <v>0.2</v>
      </c>
      <c r="AH52" s="123">
        <f t="shared" si="40"/>
        <v>0</v>
      </c>
      <c r="AI52" s="123"/>
      <c r="AJ52" s="123">
        <v>0.4</v>
      </c>
      <c r="AK52" s="123">
        <f t="shared" si="41"/>
        <v>0.4</v>
      </c>
      <c r="AL52" s="123"/>
      <c r="AM52" s="123">
        <f>+AJ52*E52</f>
        <v>8.0000000000000016E-2</v>
      </c>
      <c r="AN52" s="123">
        <f t="shared" si="42"/>
        <v>8.0000000000000016E-2</v>
      </c>
      <c r="AO52" s="586" t="s">
        <v>1850</v>
      </c>
      <c r="AP52" s="932" t="s">
        <v>1919</v>
      </c>
      <c r="AQ52" s="933" t="s">
        <v>2270</v>
      </c>
      <c r="AR52" s="933" t="s">
        <v>2289</v>
      </c>
      <c r="AS52" s="934" t="s">
        <v>2402</v>
      </c>
      <c r="AT52" s="934" t="s">
        <v>2436</v>
      </c>
      <c r="AU52" s="897" t="s">
        <v>2497</v>
      </c>
      <c r="AV52" s="897" t="s">
        <v>1893</v>
      </c>
    </row>
    <row r="53" spans="1:48" ht="15.75" customHeight="1" thickBot="1" x14ac:dyDescent="0.45">
      <c r="A53" s="110"/>
      <c r="B53" s="110"/>
      <c r="C53" s="110"/>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38"/>
      <c r="AP53" s="124"/>
      <c r="AQ53" s="124"/>
      <c r="AR53" s="124"/>
      <c r="AS53" s="124"/>
      <c r="AT53" s="124"/>
      <c r="AU53" s="124"/>
    </row>
    <row r="54" spans="1:48" ht="15.75" customHeight="1" thickBot="1" x14ac:dyDescent="0.45">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28"/>
      <c r="AP54" s="110"/>
      <c r="AQ54" s="110"/>
      <c r="AR54" s="110"/>
      <c r="AS54" s="110"/>
      <c r="AT54" s="110"/>
      <c r="AU54" s="110"/>
    </row>
    <row r="55" spans="1:48" ht="15.75" customHeight="1" thickBot="1" x14ac:dyDescent="0.45">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28"/>
      <c r="AP55" s="110"/>
      <c r="AQ55" s="110"/>
      <c r="AR55" s="110"/>
      <c r="AS55" s="110"/>
      <c r="AT55" s="110"/>
      <c r="AU55" s="110"/>
    </row>
    <row r="56" spans="1:48" ht="15.75" customHeight="1" thickBot="1" x14ac:dyDescent="0.45">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28"/>
      <c r="AP56" s="110"/>
      <c r="AQ56" s="110"/>
      <c r="AR56" s="110"/>
      <c r="AS56" s="110"/>
      <c r="AT56" s="110"/>
      <c r="AU56" s="110"/>
    </row>
    <row r="57" spans="1:48" ht="15.75" customHeight="1" thickBot="1" x14ac:dyDescent="0.45">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28"/>
      <c r="AP57" s="110"/>
      <c r="AQ57" s="110"/>
      <c r="AR57" s="110"/>
      <c r="AS57" s="110"/>
      <c r="AT57" s="110"/>
      <c r="AU57" s="110"/>
    </row>
    <row r="58" spans="1:48" ht="15.75" customHeight="1" thickBot="1" x14ac:dyDescent="0.45">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28"/>
      <c r="AP58" s="110"/>
      <c r="AQ58" s="110"/>
      <c r="AR58" s="110"/>
      <c r="AS58" s="110"/>
      <c r="AT58" s="110"/>
      <c r="AU58" s="110"/>
    </row>
    <row r="59" spans="1:48" ht="15.75" customHeight="1" thickBot="1" x14ac:dyDescent="0.45">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28"/>
      <c r="AP59" s="110"/>
      <c r="AQ59" s="110"/>
      <c r="AR59" s="110"/>
      <c r="AS59" s="110"/>
      <c r="AT59" s="110"/>
      <c r="AU59" s="110"/>
    </row>
    <row r="60" spans="1:48" ht="15.75" customHeight="1" thickBot="1" x14ac:dyDescent="0.45">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28"/>
      <c r="AP60" s="110"/>
      <c r="AQ60" s="110"/>
      <c r="AR60" s="110"/>
      <c r="AS60" s="110"/>
      <c r="AT60" s="110"/>
      <c r="AU60" s="110"/>
    </row>
    <row r="61" spans="1:48" ht="15.75" customHeight="1" thickBot="1" x14ac:dyDescent="0.45">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28"/>
      <c r="AP61" s="110"/>
      <c r="AQ61" s="110"/>
      <c r="AR61" s="110"/>
      <c r="AS61" s="110"/>
      <c r="AT61" s="110"/>
      <c r="AU61" s="110"/>
    </row>
    <row r="62" spans="1:48" ht="15.75" customHeight="1" thickBot="1" x14ac:dyDescent="0.45">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28"/>
      <c r="AP62" s="110"/>
      <c r="AQ62" s="110"/>
      <c r="AR62" s="110"/>
      <c r="AS62" s="110"/>
      <c r="AT62" s="110"/>
      <c r="AU62" s="110"/>
    </row>
    <row r="63" spans="1:48" ht="15.75" customHeight="1" thickBot="1" x14ac:dyDescent="0.45">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28"/>
      <c r="AP63" s="110"/>
      <c r="AQ63" s="110"/>
      <c r="AR63" s="110"/>
      <c r="AS63" s="110"/>
      <c r="AT63" s="110"/>
      <c r="AU63" s="110"/>
    </row>
    <row r="64" spans="1:48" ht="15.75" customHeight="1" thickBot="1" x14ac:dyDescent="0.45">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28"/>
      <c r="AP64" s="110"/>
      <c r="AQ64" s="110"/>
      <c r="AR64" s="110"/>
      <c r="AS64" s="110"/>
      <c r="AT64" s="110"/>
      <c r="AU64" s="110"/>
    </row>
    <row r="65" spans="1:47" ht="15.75" customHeight="1" thickBot="1" x14ac:dyDescent="0.45">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28"/>
      <c r="AP65" s="110"/>
      <c r="AQ65" s="110"/>
      <c r="AR65" s="110"/>
      <c r="AS65" s="110"/>
      <c r="AT65" s="110"/>
      <c r="AU65" s="110"/>
    </row>
    <row r="66" spans="1:47" ht="15.75" customHeight="1" thickBot="1" x14ac:dyDescent="0.45">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28"/>
      <c r="AP66" s="110"/>
      <c r="AQ66" s="110"/>
      <c r="AR66" s="110"/>
      <c r="AS66" s="110"/>
      <c r="AT66" s="110"/>
      <c r="AU66" s="110"/>
    </row>
    <row r="67" spans="1:47" ht="15.75" customHeight="1" thickBot="1" x14ac:dyDescent="0.45">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28"/>
      <c r="AP67" s="110"/>
      <c r="AQ67" s="110"/>
      <c r="AR67" s="110"/>
      <c r="AS67" s="110"/>
      <c r="AT67" s="110"/>
      <c r="AU67" s="110"/>
    </row>
    <row r="68" spans="1:47" ht="15.75" customHeight="1" thickBot="1" x14ac:dyDescent="0.45">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28"/>
      <c r="AP68" s="110"/>
      <c r="AQ68" s="110"/>
      <c r="AR68" s="110"/>
      <c r="AS68" s="110"/>
      <c r="AT68" s="110"/>
      <c r="AU68" s="110"/>
    </row>
    <row r="69" spans="1:47" ht="15.75" customHeight="1" thickBot="1" x14ac:dyDescent="0.45">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28"/>
      <c r="AP69" s="110"/>
      <c r="AQ69" s="110"/>
      <c r="AR69" s="110"/>
      <c r="AS69" s="110"/>
      <c r="AT69" s="110"/>
      <c r="AU69" s="110"/>
    </row>
    <row r="70" spans="1:47" ht="15.75" customHeight="1" thickBot="1" x14ac:dyDescent="0.45">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28"/>
      <c r="AP70" s="110"/>
      <c r="AQ70" s="110"/>
      <c r="AR70" s="110"/>
      <c r="AS70" s="110"/>
      <c r="AT70" s="110"/>
      <c r="AU70" s="110"/>
    </row>
    <row r="71" spans="1:47" ht="15.75" customHeight="1" thickBot="1" x14ac:dyDescent="0.45">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28"/>
      <c r="AP71" s="110"/>
      <c r="AQ71" s="110"/>
      <c r="AR71" s="110"/>
      <c r="AS71" s="110"/>
      <c r="AT71" s="110"/>
      <c r="AU71" s="110"/>
    </row>
    <row r="72" spans="1:47" ht="15.75" customHeight="1" thickBot="1" x14ac:dyDescent="0.45">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28"/>
      <c r="AP72" s="110"/>
      <c r="AQ72" s="110"/>
      <c r="AR72" s="110"/>
      <c r="AS72" s="110"/>
      <c r="AT72" s="110"/>
      <c r="AU72" s="110"/>
    </row>
    <row r="73" spans="1:47" ht="15.75" customHeight="1" thickBot="1" x14ac:dyDescent="0.45">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28"/>
      <c r="AP73" s="110"/>
      <c r="AQ73" s="110"/>
      <c r="AR73" s="110"/>
      <c r="AS73" s="110"/>
      <c r="AT73" s="110"/>
      <c r="AU73" s="110"/>
    </row>
    <row r="74" spans="1:47" ht="15.75" customHeight="1" thickBot="1" x14ac:dyDescent="0.45">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28"/>
      <c r="AP74" s="110"/>
      <c r="AQ74" s="110"/>
      <c r="AR74" s="110"/>
      <c r="AS74" s="110"/>
      <c r="AT74" s="110"/>
      <c r="AU74" s="110"/>
    </row>
    <row r="75" spans="1:47" ht="15.75" customHeight="1" thickBot="1" x14ac:dyDescent="0.45">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28"/>
      <c r="AP75" s="110"/>
      <c r="AQ75" s="110"/>
      <c r="AR75" s="110"/>
      <c r="AS75" s="110"/>
      <c r="AT75" s="110"/>
      <c r="AU75" s="110"/>
    </row>
    <row r="76" spans="1:47" ht="15.75" customHeight="1" thickBot="1" x14ac:dyDescent="0.45">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28"/>
      <c r="AP76" s="110"/>
      <c r="AQ76" s="110"/>
      <c r="AR76" s="110"/>
      <c r="AS76" s="110"/>
      <c r="AT76" s="110"/>
      <c r="AU76" s="110"/>
    </row>
    <row r="77" spans="1:47" ht="15.75" customHeight="1" thickBot="1" x14ac:dyDescent="0.4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28"/>
      <c r="AP77" s="110"/>
      <c r="AQ77" s="110"/>
      <c r="AR77" s="110"/>
      <c r="AS77" s="110"/>
      <c r="AT77" s="110"/>
      <c r="AU77" s="110"/>
    </row>
    <row r="78" spans="1:47" ht="15.75" customHeight="1" thickBot="1" x14ac:dyDescent="0.45">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28"/>
      <c r="AP78" s="110"/>
      <c r="AQ78" s="110"/>
      <c r="AR78" s="110"/>
      <c r="AS78" s="110"/>
      <c r="AT78" s="110"/>
      <c r="AU78" s="110"/>
    </row>
    <row r="79" spans="1:47" ht="15.75" customHeight="1" thickBot="1" x14ac:dyDescent="0.45">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28"/>
      <c r="AP79" s="110"/>
      <c r="AQ79" s="110"/>
      <c r="AR79" s="110"/>
      <c r="AS79" s="110"/>
      <c r="AT79" s="110"/>
      <c r="AU79" s="110"/>
    </row>
    <row r="80" spans="1:47" ht="15.75" customHeight="1" thickBot="1" x14ac:dyDescent="0.45">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28"/>
      <c r="AP80" s="110"/>
      <c r="AQ80" s="110"/>
      <c r="AR80" s="110"/>
      <c r="AS80" s="110"/>
      <c r="AT80" s="110"/>
      <c r="AU80" s="110"/>
    </row>
    <row r="81" spans="1:47" ht="15.75" customHeight="1" thickBot="1" x14ac:dyDescent="0.45">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28"/>
      <c r="AP81" s="110"/>
      <c r="AQ81" s="110"/>
      <c r="AR81" s="110"/>
      <c r="AS81" s="110"/>
      <c r="AT81" s="110"/>
      <c r="AU81" s="110"/>
    </row>
    <row r="82" spans="1:47" ht="15.75" customHeight="1" thickBot="1" x14ac:dyDescent="0.45">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28"/>
      <c r="AP82" s="110"/>
      <c r="AQ82" s="110"/>
      <c r="AR82" s="110"/>
      <c r="AS82" s="110"/>
      <c r="AT82" s="110"/>
      <c r="AU82" s="110"/>
    </row>
    <row r="83" spans="1:47" ht="15.75" customHeight="1" thickBot="1" x14ac:dyDescent="0.45">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28"/>
      <c r="AP83" s="110"/>
      <c r="AQ83" s="110"/>
      <c r="AR83" s="110"/>
      <c r="AS83" s="110"/>
      <c r="AT83" s="110"/>
      <c r="AU83" s="110"/>
    </row>
    <row r="84" spans="1:47" ht="15.75" customHeight="1" thickBot="1" x14ac:dyDescent="0.45">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28"/>
      <c r="AP84" s="110"/>
      <c r="AQ84" s="110"/>
      <c r="AR84" s="110"/>
      <c r="AS84" s="110"/>
      <c r="AT84" s="110"/>
      <c r="AU84" s="110"/>
    </row>
    <row r="85" spans="1:47" ht="15.75" customHeight="1" thickBot="1" x14ac:dyDescent="0.45">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28"/>
      <c r="AP85" s="110"/>
      <c r="AQ85" s="110"/>
      <c r="AR85" s="110"/>
      <c r="AS85" s="110"/>
      <c r="AT85" s="110"/>
      <c r="AU85" s="110"/>
    </row>
    <row r="86" spans="1:47" ht="15.75" customHeight="1" thickBot="1" x14ac:dyDescent="0.45">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28"/>
      <c r="AP86" s="110"/>
      <c r="AQ86" s="110"/>
      <c r="AR86" s="110"/>
      <c r="AS86" s="110"/>
      <c r="AT86" s="110"/>
      <c r="AU86" s="110"/>
    </row>
    <row r="87" spans="1:47" ht="15.75" customHeight="1" thickBot="1" x14ac:dyDescent="0.45">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28"/>
      <c r="AP87" s="110"/>
      <c r="AQ87" s="110"/>
      <c r="AR87" s="110"/>
      <c r="AS87" s="110"/>
      <c r="AT87" s="110"/>
      <c r="AU87" s="110"/>
    </row>
    <row r="88" spans="1:47" ht="15.75" customHeight="1" thickBot="1" x14ac:dyDescent="0.45">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28"/>
      <c r="AP88" s="110"/>
      <c r="AQ88" s="110"/>
      <c r="AR88" s="110"/>
      <c r="AS88" s="110"/>
      <c r="AT88" s="110"/>
      <c r="AU88" s="110"/>
    </row>
    <row r="89" spans="1:47" ht="15.75" customHeight="1" thickBot="1" x14ac:dyDescent="0.45">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28"/>
      <c r="AP89" s="110"/>
      <c r="AQ89" s="110"/>
      <c r="AR89" s="110"/>
      <c r="AS89" s="110"/>
      <c r="AT89" s="110"/>
      <c r="AU89" s="110"/>
    </row>
    <row r="90" spans="1:47" ht="15.75" customHeight="1" thickBot="1" x14ac:dyDescent="0.45">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28"/>
      <c r="AP90" s="110"/>
      <c r="AQ90" s="110"/>
      <c r="AR90" s="110"/>
      <c r="AS90" s="110"/>
      <c r="AT90" s="110"/>
      <c r="AU90" s="110"/>
    </row>
    <row r="91" spans="1:47" ht="15.75" customHeight="1" thickBot="1" x14ac:dyDescent="0.45">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28"/>
      <c r="AP91" s="110"/>
      <c r="AQ91" s="110"/>
      <c r="AR91" s="110"/>
      <c r="AS91" s="110"/>
      <c r="AT91" s="110"/>
      <c r="AU91" s="110"/>
    </row>
    <row r="92" spans="1:47" ht="15.75" customHeight="1" thickBot="1" x14ac:dyDescent="0.45">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28"/>
      <c r="AP92" s="110"/>
      <c r="AQ92" s="110"/>
      <c r="AR92" s="110"/>
      <c r="AS92" s="110"/>
      <c r="AT92" s="110"/>
      <c r="AU92" s="110"/>
    </row>
    <row r="93" spans="1:47" ht="15.75" customHeight="1" thickBot="1" x14ac:dyDescent="0.45">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28"/>
      <c r="AP93" s="110"/>
      <c r="AQ93" s="110"/>
      <c r="AR93" s="110"/>
      <c r="AS93" s="110"/>
      <c r="AT93" s="110"/>
      <c r="AU93" s="110"/>
    </row>
    <row r="94" spans="1:47" ht="15.75" customHeight="1" thickBot="1" x14ac:dyDescent="0.4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28"/>
      <c r="AP94" s="110"/>
      <c r="AQ94" s="110"/>
      <c r="AR94" s="110"/>
      <c r="AS94" s="110"/>
      <c r="AT94" s="110"/>
      <c r="AU94" s="110"/>
    </row>
    <row r="95" spans="1:47" ht="15.75" customHeight="1" thickBot="1" x14ac:dyDescent="0.45">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28"/>
      <c r="AP95" s="110"/>
      <c r="AQ95" s="110"/>
      <c r="AR95" s="110"/>
      <c r="AS95" s="110"/>
      <c r="AT95" s="110"/>
      <c r="AU95" s="110"/>
    </row>
    <row r="96" spans="1:47" ht="15.75" customHeight="1" thickBot="1" x14ac:dyDescent="0.45">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28"/>
      <c r="AP96" s="110"/>
      <c r="AQ96" s="110"/>
      <c r="AR96" s="110"/>
      <c r="AS96" s="110"/>
      <c r="AT96" s="110"/>
      <c r="AU96" s="110"/>
    </row>
    <row r="97" spans="1:47" ht="15.75" customHeight="1" thickBot="1" x14ac:dyDescent="0.45">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28"/>
      <c r="AP97" s="110"/>
      <c r="AQ97" s="110"/>
      <c r="AR97" s="110"/>
      <c r="AS97" s="110"/>
      <c r="AT97" s="110"/>
      <c r="AU97" s="110"/>
    </row>
    <row r="98" spans="1:47" ht="15.75" customHeight="1" thickBot="1" x14ac:dyDescent="0.45">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28"/>
      <c r="AP98" s="110"/>
      <c r="AQ98" s="110"/>
      <c r="AR98" s="110"/>
      <c r="AS98" s="110"/>
      <c r="AT98" s="110"/>
      <c r="AU98" s="110"/>
    </row>
    <row r="99" spans="1:47" ht="15.75" customHeight="1" thickBot="1" x14ac:dyDescent="0.45">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28"/>
      <c r="AP99" s="110"/>
      <c r="AQ99" s="110"/>
      <c r="AR99" s="110"/>
      <c r="AS99" s="110"/>
      <c r="AT99" s="110"/>
      <c r="AU99" s="110"/>
    </row>
    <row r="100" spans="1:47" ht="15.75" customHeight="1" thickBot="1" x14ac:dyDescent="0.4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28"/>
      <c r="AP100" s="110"/>
      <c r="AQ100" s="110"/>
      <c r="AR100" s="110"/>
      <c r="AS100" s="110"/>
      <c r="AT100" s="110"/>
      <c r="AU100" s="110"/>
    </row>
    <row r="101" spans="1:47" ht="15.75" customHeight="1" thickBot="1" x14ac:dyDescent="0.45">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28"/>
      <c r="AP101" s="110"/>
      <c r="AQ101" s="110"/>
      <c r="AR101" s="110"/>
      <c r="AS101" s="110"/>
      <c r="AT101" s="110"/>
      <c r="AU101" s="110"/>
    </row>
    <row r="102" spans="1:47" ht="15.75" customHeight="1" thickBot="1" x14ac:dyDescent="0.45">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28"/>
      <c r="AP102" s="110"/>
      <c r="AQ102" s="110"/>
      <c r="AR102" s="110"/>
      <c r="AS102" s="110"/>
      <c r="AT102" s="110"/>
      <c r="AU102" s="110"/>
    </row>
    <row r="103" spans="1:47" ht="15.75" customHeight="1" thickBot="1" x14ac:dyDescent="0.45">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28"/>
      <c r="AP103" s="110"/>
      <c r="AQ103" s="110"/>
      <c r="AR103" s="110"/>
      <c r="AS103" s="110"/>
      <c r="AT103" s="110"/>
      <c r="AU103" s="110"/>
    </row>
    <row r="104" spans="1:47" ht="15.75" customHeight="1" thickBot="1" x14ac:dyDescent="0.45">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28"/>
      <c r="AP104" s="110"/>
      <c r="AQ104" s="110"/>
      <c r="AR104" s="110"/>
      <c r="AS104" s="110"/>
      <c r="AT104" s="110"/>
      <c r="AU104" s="110"/>
    </row>
    <row r="105" spans="1:47" ht="15.75" customHeight="1" thickBot="1" x14ac:dyDescent="0.45">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28"/>
      <c r="AP105" s="110"/>
      <c r="AQ105" s="110"/>
      <c r="AR105" s="110"/>
      <c r="AS105" s="110"/>
      <c r="AT105" s="110"/>
      <c r="AU105" s="110"/>
    </row>
    <row r="106" spans="1:47" ht="15.75" customHeight="1" thickBot="1" x14ac:dyDescent="0.45">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28"/>
      <c r="AP106" s="110"/>
      <c r="AQ106" s="110"/>
      <c r="AR106" s="110"/>
      <c r="AS106" s="110"/>
      <c r="AT106" s="110"/>
      <c r="AU106" s="110"/>
    </row>
    <row r="107" spans="1:47" ht="15.75" customHeight="1" thickBot="1" x14ac:dyDescent="0.45">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28"/>
      <c r="AP107" s="110"/>
      <c r="AQ107" s="110"/>
      <c r="AR107" s="110"/>
      <c r="AS107" s="110"/>
      <c r="AT107" s="110"/>
      <c r="AU107" s="110"/>
    </row>
    <row r="108" spans="1:47" ht="15.75" customHeight="1" thickBot="1" x14ac:dyDescent="0.45">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28"/>
      <c r="AP108" s="110"/>
      <c r="AQ108" s="110"/>
      <c r="AR108" s="110"/>
      <c r="AS108" s="110"/>
      <c r="AT108" s="110"/>
      <c r="AU108" s="110"/>
    </row>
    <row r="109" spans="1:47" ht="15.75" customHeight="1" thickBot="1" x14ac:dyDescent="0.45">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28"/>
      <c r="AP109" s="110"/>
      <c r="AQ109" s="110"/>
      <c r="AR109" s="110"/>
      <c r="AS109" s="110"/>
      <c r="AT109" s="110"/>
      <c r="AU109" s="110"/>
    </row>
    <row r="110" spans="1:47" ht="15.75" customHeight="1" thickBot="1" x14ac:dyDescent="0.45">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28"/>
      <c r="AP110" s="110"/>
      <c r="AQ110" s="110"/>
      <c r="AR110" s="110"/>
      <c r="AS110" s="110"/>
      <c r="AT110" s="110"/>
      <c r="AU110" s="110"/>
    </row>
    <row r="111" spans="1:47" ht="15.75" customHeight="1" thickBot="1" x14ac:dyDescent="0.4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28"/>
      <c r="AP111" s="110"/>
      <c r="AQ111" s="110"/>
      <c r="AR111" s="110"/>
      <c r="AS111" s="110"/>
      <c r="AT111" s="110"/>
      <c r="AU111" s="110"/>
    </row>
    <row r="112" spans="1:47" ht="15.75" customHeight="1" thickBot="1" x14ac:dyDescent="0.45">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28"/>
      <c r="AP112" s="110"/>
      <c r="AQ112" s="110"/>
      <c r="AR112" s="110"/>
      <c r="AS112" s="110"/>
      <c r="AT112" s="110"/>
      <c r="AU112" s="110"/>
    </row>
    <row r="113" spans="1:47" ht="15.75" customHeight="1" thickBot="1" x14ac:dyDescent="0.45">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28"/>
      <c r="AP113" s="110"/>
      <c r="AQ113" s="110"/>
      <c r="AR113" s="110"/>
      <c r="AS113" s="110"/>
      <c r="AT113" s="110"/>
      <c r="AU113" s="110"/>
    </row>
    <row r="114" spans="1:47" ht="15.75" customHeight="1" thickBot="1" x14ac:dyDescent="0.45">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28"/>
      <c r="AP114" s="110"/>
      <c r="AQ114" s="110"/>
      <c r="AR114" s="110"/>
      <c r="AS114" s="110"/>
      <c r="AT114" s="110"/>
      <c r="AU114" s="110"/>
    </row>
    <row r="115" spans="1:47" ht="15.75" customHeight="1" thickBot="1" x14ac:dyDescent="0.45">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28"/>
      <c r="AP115" s="110"/>
      <c r="AQ115" s="110"/>
      <c r="AR115" s="110"/>
      <c r="AS115" s="110"/>
      <c r="AT115" s="110"/>
      <c r="AU115" s="110"/>
    </row>
    <row r="116" spans="1:47" ht="15.75" customHeight="1" thickBot="1" x14ac:dyDescent="0.45">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28"/>
      <c r="AP116" s="110"/>
      <c r="AQ116" s="110"/>
      <c r="AR116" s="110"/>
      <c r="AS116" s="110"/>
      <c r="AT116" s="110"/>
      <c r="AU116" s="110"/>
    </row>
    <row r="117" spans="1:47" ht="15.75" customHeight="1" thickBot="1" x14ac:dyDescent="0.45">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28"/>
      <c r="AP117" s="110"/>
      <c r="AQ117" s="110"/>
      <c r="AR117" s="110"/>
      <c r="AS117" s="110"/>
      <c r="AT117" s="110"/>
      <c r="AU117" s="110"/>
    </row>
    <row r="118" spans="1:47" ht="15.75" customHeight="1" thickBot="1" x14ac:dyDescent="0.45">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28"/>
      <c r="AP118" s="110"/>
      <c r="AQ118" s="110"/>
      <c r="AR118" s="110"/>
      <c r="AS118" s="110"/>
      <c r="AT118" s="110"/>
      <c r="AU118" s="110"/>
    </row>
    <row r="119" spans="1:47" ht="15.75" customHeight="1" thickBot="1" x14ac:dyDescent="0.45">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28"/>
      <c r="AP119" s="110"/>
      <c r="AQ119" s="110"/>
      <c r="AR119" s="110"/>
      <c r="AS119" s="110"/>
      <c r="AT119" s="110"/>
      <c r="AU119" s="110"/>
    </row>
    <row r="120" spans="1:47" ht="15.75" customHeight="1" thickBot="1" x14ac:dyDescent="0.45">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28"/>
      <c r="AP120" s="110"/>
      <c r="AQ120" s="110"/>
      <c r="AR120" s="110"/>
      <c r="AS120" s="110"/>
      <c r="AT120" s="110"/>
      <c r="AU120" s="110"/>
    </row>
    <row r="121" spans="1:47" ht="15.75" customHeight="1" thickBot="1" x14ac:dyDescent="0.45">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28"/>
      <c r="AP121" s="110"/>
      <c r="AQ121" s="110"/>
      <c r="AR121" s="110"/>
      <c r="AS121" s="110"/>
      <c r="AT121" s="110"/>
      <c r="AU121" s="110"/>
    </row>
    <row r="122" spans="1:47" ht="15.75" customHeight="1" thickBot="1" x14ac:dyDescent="0.45">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28"/>
      <c r="AP122" s="110"/>
      <c r="AQ122" s="110"/>
      <c r="AR122" s="110"/>
      <c r="AS122" s="110"/>
      <c r="AT122" s="110"/>
      <c r="AU122" s="110"/>
    </row>
    <row r="123" spans="1:47" ht="15.75" customHeight="1" thickBot="1" x14ac:dyDescent="0.45">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28"/>
      <c r="AP123" s="110"/>
      <c r="AQ123" s="110"/>
      <c r="AR123" s="110"/>
      <c r="AS123" s="110"/>
      <c r="AT123" s="110"/>
      <c r="AU123" s="110"/>
    </row>
    <row r="124" spans="1:47" ht="15.75" customHeight="1" thickBot="1" x14ac:dyDescent="0.45">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28"/>
      <c r="AP124" s="110"/>
      <c r="AQ124" s="110"/>
      <c r="AR124" s="110"/>
      <c r="AS124" s="110"/>
      <c r="AT124" s="110"/>
      <c r="AU124" s="110"/>
    </row>
    <row r="125" spans="1:47" ht="15.75" customHeight="1" thickBot="1" x14ac:dyDescent="0.4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28"/>
      <c r="AP125" s="110"/>
      <c r="AQ125" s="110"/>
      <c r="AR125" s="110"/>
      <c r="AS125" s="110"/>
      <c r="AT125" s="110"/>
      <c r="AU125" s="110"/>
    </row>
    <row r="126" spans="1:47" ht="15.75" customHeight="1" thickBot="1" x14ac:dyDescent="0.45">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28"/>
      <c r="AP126" s="110"/>
      <c r="AQ126" s="110"/>
      <c r="AR126" s="110"/>
      <c r="AS126" s="110"/>
      <c r="AT126" s="110"/>
      <c r="AU126" s="110"/>
    </row>
    <row r="127" spans="1:47" ht="15.75" customHeight="1" thickBot="1" x14ac:dyDescent="0.45">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28"/>
      <c r="AP127" s="110"/>
      <c r="AQ127" s="110"/>
      <c r="AR127" s="110"/>
      <c r="AS127" s="110"/>
      <c r="AT127" s="110"/>
      <c r="AU127" s="110"/>
    </row>
    <row r="128" spans="1:47" ht="15.75" customHeight="1" thickBot="1" x14ac:dyDescent="0.4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28"/>
      <c r="AP128" s="110"/>
      <c r="AQ128" s="110"/>
      <c r="AR128" s="110"/>
      <c r="AS128" s="110"/>
      <c r="AT128" s="110"/>
      <c r="AU128" s="110"/>
    </row>
    <row r="129" spans="1:47" ht="15.75" customHeight="1" thickBot="1" x14ac:dyDescent="0.45">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28"/>
      <c r="AP129" s="110"/>
      <c r="AQ129" s="110"/>
      <c r="AR129" s="110"/>
      <c r="AS129" s="110"/>
      <c r="AT129" s="110"/>
      <c r="AU129" s="110"/>
    </row>
    <row r="130" spans="1:47" ht="15.75" customHeight="1" thickBot="1" x14ac:dyDescent="0.45">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28"/>
      <c r="AP130" s="110"/>
      <c r="AQ130" s="110"/>
      <c r="AR130" s="110"/>
      <c r="AS130" s="110"/>
      <c r="AT130" s="110"/>
      <c r="AU130" s="110"/>
    </row>
    <row r="131" spans="1:47" ht="15.75" customHeight="1" thickBot="1" x14ac:dyDescent="0.45">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28"/>
      <c r="AP131" s="110"/>
      <c r="AQ131" s="110"/>
      <c r="AR131" s="110"/>
      <c r="AS131" s="110"/>
      <c r="AT131" s="110"/>
      <c r="AU131" s="110"/>
    </row>
    <row r="132" spans="1:47" ht="15.75" customHeight="1" thickBot="1" x14ac:dyDescent="0.45">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28"/>
      <c r="AP132" s="110"/>
      <c r="AQ132" s="110"/>
      <c r="AR132" s="110"/>
      <c r="AS132" s="110"/>
      <c r="AT132" s="110"/>
      <c r="AU132" s="110"/>
    </row>
    <row r="133" spans="1:47" ht="15.75" customHeight="1" thickBot="1" x14ac:dyDescent="0.45">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28"/>
      <c r="AP133" s="110"/>
      <c r="AQ133" s="110"/>
      <c r="AR133" s="110"/>
      <c r="AS133" s="110"/>
      <c r="AT133" s="110"/>
      <c r="AU133" s="110"/>
    </row>
    <row r="134" spans="1:47" ht="15.75" customHeight="1" thickBot="1" x14ac:dyDescent="0.45">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28"/>
      <c r="AP134" s="110"/>
      <c r="AQ134" s="110"/>
      <c r="AR134" s="110"/>
      <c r="AS134" s="110"/>
      <c r="AT134" s="110"/>
      <c r="AU134" s="110"/>
    </row>
    <row r="135" spans="1:47" ht="15.75" customHeight="1" thickBot="1" x14ac:dyDescent="0.45">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28"/>
      <c r="AP135" s="110"/>
      <c r="AQ135" s="110"/>
      <c r="AR135" s="110"/>
      <c r="AS135" s="110"/>
      <c r="AT135" s="110"/>
      <c r="AU135" s="110"/>
    </row>
    <row r="136" spans="1:47" ht="15.75" customHeight="1" thickBot="1" x14ac:dyDescent="0.45">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28"/>
      <c r="AP136" s="110"/>
      <c r="AQ136" s="110"/>
      <c r="AR136" s="110"/>
      <c r="AS136" s="110"/>
      <c r="AT136" s="110"/>
      <c r="AU136" s="110"/>
    </row>
    <row r="137" spans="1:47" ht="15.75" customHeight="1" thickBot="1" x14ac:dyDescent="0.45">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28"/>
      <c r="AP137" s="110"/>
      <c r="AQ137" s="110"/>
      <c r="AR137" s="110"/>
      <c r="AS137" s="110"/>
      <c r="AT137" s="110"/>
      <c r="AU137" s="110"/>
    </row>
    <row r="138" spans="1:47" ht="15.75" customHeight="1" thickBot="1" x14ac:dyDescent="0.45">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28"/>
      <c r="AP138" s="110"/>
      <c r="AQ138" s="110"/>
      <c r="AR138" s="110"/>
      <c r="AS138" s="110"/>
      <c r="AT138" s="110"/>
      <c r="AU138" s="110"/>
    </row>
    <row r="139" spans="1:47" ht="15.75" customHeight="1" thickBot="1" x14ac:dyDescent="0.45">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28"/>
      <c r="AP139" s="110"/>
      <c r="AQ139" s="110"/>
      <c r="AR139" s="110"/>
      <c r="AS139" s="110"/>
      <c r="AT139" s="110"/>
      <c r="AU139" s="110"/>
    </row>
    <row r="140" spans="1:47" ht="15.75" customHeight="1" thickBot="1" x14ac:dyDescent="0.45">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28"/>
      <c r="AP140" s="110"/>
      <c r="AQ140" s="110"/>
      <c r="AR140" s="110"/>
      <c r="AS140" s="110"/>
      <c r="AT140" s="110"/>
      <c r="AU140" s="110"/>
    </row>
    <row r="141" spans="1:47" ht="15.75" customHeight="1" thickBot="1" x14ac:dyDescent="0.45">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28"/>
      <c r="AP141" s="110"/>
      <c r="AQ141" s="110"/>
      <c r="AR141" s="110"/>
      <c r="AS141" s="110"/>
      <c r="AT141" s="110"/>
      <c r="AU141" s="110"/>
    </row>
    <row r="142" spans="1:47" ht="15.75" customHeight="1" thickBot="1" x14ac:dyDescent="0.45">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28"/>
      <c r="AP142" s="110"/>
      <c r="AQ142" s="110"/>
      <c r="AR142" s="110"/>
      <c r="AS142" s="110"/>
      <c r="AT142" s="110"/>
      <c r="AU142" s="110"/>
    </row>
    <row r="143" spans="1:47" ht="15.75" customHeight="1" thickBot="1" x14ac:dyDescent="0.45">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28"/>
      <c r="AP143" s="110"/>
      <c r="AQ143" s="110"/>
      <c r="AR143" s="110"/>
      <c r="AS143" s="110"/>
      <c r="AT143" s="110"/>
      <c r="AU143" s="110"/>
    </row>
    <row r="144" spans="1:47" ht="15.75" customHeight="1" thickBot="1" x14ac:dyDescent="0.45">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28"/>
      <c r="AP144" s="110"/>
      <c r="AQ144" s="110"/>
      <c r="AR144" s="110"/>
      <c r="AS144" s="110"/>
      <c r="AT144" s="110"/>
      <c r="AU144" s="110"/>
    </row>
    <row r="145" spans="1:47" ht="15.75" customHeight="1" thickBot="1" x14ac:dyDescent="0.45">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28"/>
      <c r="AP145" s="110"/>
      <c r="AQ145" s="110"/>
      <c r="AR145" s="110"/>
      <c r="AS145" s="110"/>
      <c r="AT145" s="110"/>
      <c r="AU145" s="110"/>
    </row>
    <row r="146" spans="1:47" ht="15.75" customHeight="1" thickBot="1" x14ac:dyDescent="0.45">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28"/>
      <c r="AP146" s="110"/>
      <c r="AQ146" s="110"/>
      <c r="AR146" s="110"/>
      <c r="AS146" s="110"/>
      <c r="AT146" s="110"/>
      <c r="AU146" s="110"/>
    </row>
    <row r="147" spans="1:47" ht="15.75" customHeight="1" thickBot="1" x14ac:dyDescent="0.45">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28"/>
      <c r="AP147" s="110"/>
      <c r="AQ147" s="110"/>
      <c r="AR147" s="110"/>
      <c r="AS147" s="110"/>
      <c r="AT147" s="110"/>
      <c r="AU147" s="110"/>
    </row>
    <row r="148" spans="1:47" ht="15.75" customHeight="1" thickBot="1" x14ac:dyDescent="0.45">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28"/>
      <c r="AP148" s="110"/>
      <c r="AQ148" s="110"/>
      <c r="AR148" s="110"/>
      <c r="AS148" s="110"/>
      <c r="AT148" s="110"/>
      <c r="AU148" s="110"/>
    </row>
    <row r="149" spans="1:47" ht="15.75" customHeight="1" thickBot="1" x14ac:dyDescent="0.45">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28"/>
      <c r="AP149" s="110"/>
      <c r="AQ149" s="110"/>
      <c r="AR149" s="110"/>
      <c r="AS149" s="110"/>
      <c r="AT149" s="110"/>
      <c r="AU149" s="110"/>
    </row>
    <row r="150" spans="1:47" ht="15.75" customHeight="1" thickBot="1" x14ac:dyDescent="0.45">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28"/>
      <c r="AP150" s="110"/>
      <c r="AQ150" s="110"/>
      <c r="AR150" s="110"/>
      <c r="AS150" s="110"/>
      <c r="AT150" s="110"/>
      <c r="AU150" s="110"/>
    </row>
    <row r="151" spans="1:47" ht="15.75" customHeight="1" thickBot="1" x14ac:dyDescent="0.45">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28"/>
      <c r="AP151" s="110"/>
      <c r="AQ151" s="110"/>
      <c r="AR151" s="110"/>
      <c r="AS151" s="110"/>
      <c r="AT151" s="110"/>
      <c r="AU151" s="110"/>
    </row>
    <row r="152" spans="1:47" ht="15.75" customHeight="1" thickBot="1" x14ac:dyDescent="0.45">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28"/>
      <c r="AP152" s="110"/>
      <c r="AQ152" s="110"/>
      <c r="AR152" s="110"/>
      <c r="AS152" s="110"/>
      <c r="AT152" s="110"/>
      <c r="AU152" s="110"/>
    </row>
    <row r="153" spans="1:47" ht="15.75" customHeight="1" thickBot="1" x14ac:dyDescent="0.45">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28"/>
      <c r="AP153" s="110"/>
      <c r="AQ153" s="110"/>
      <c r="AR153" s="110"/>
      <c r="AS153" s="110"/>
      <c r="AT153" s="110"/>
      <c r="AU153" s="110"/>
    </row>
    <row r="154" spans="1:47" ht="15.75" customHeight="1" thickBot="1" x14ac:dyDescent="0.45">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28"/>
      <c r="AP154" s="110"/>
      <c r="AQ154" s="110"/>
      <c r="AR154" s="110"/>
      <c r="AS154" s="110"/>
      <c r="AT154" s="110"/>
      <c r="AU154" s="110"/>
    </row>
    <row r="155" spans="1:47" ht="15.75" customHeight="1" thickBot="1" x14ac:dyDescent="0.45">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28"/>
      <c r="AP155" s="110"/>
      <c r="AQ155" s="110"/>
      <c r="AR155" s="110"/>
      <c r="AS155" s="110"/>
      <c r="AT155" s="110"/>
      <c r="AU155" s="110"/>
    </row>
    <row r="156" spans="1:47" ht="15.75" customHeight="1" thickBot="1" x14ac:dyDescent="0.45">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28"/>
      <c r="AP156" s="110"/>
      <c r="AQ156" s="110"/>
      <c r="AR156" s="110"/>
      <c r="AS156" s="110"/>
      <c r="AT156" s="110"/>
      <c r="AU156" s="110"/>
    </row>
    <row r="157" spans="1:47" ht="15.75" customHeight="1" thickBot="1" x14ac:dyDescent="0.45">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28"/>
      <c r="AP157" s="110"/>
      <c r="AQ157" s="110"/>
      <c r="AR157" s="110"/>
      <c r="AS157" s="110"/>
      <c r="AT157" s="110"/>
      <c r="AU157" s="110"/>
    </row>
    <row r="158" spans="1:47" ht="15.75" customHeight="1" thickBot="1" x14ac:dyDescent="0.45">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28"/>
      <c r="AP158" s="110"/>
      <c r="AQ158" s="110"/>
      <c r="AR158" s="110"/>
      <c r="AS158" s="110"/>
      <c r="AT158" s="110"/>
      <c r="AU158" s="110"/>
    </row>
    <row r="159" spans="1:47" ht="15.75" customHeight="1" thickBot="1" x14ac:dyDescent="0.45">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28"/>
      <c r="AP159" s="110"/>
      <c r="AQ159" s="110"/>
      <c r="AR159" s="110"/>
      <c r="AS159" s="110"/>
      <c r="AT159" s="110"/>
      <c r="AU159" s="110"/>
    </row>
    <row r="160" spans="1:47" ht="15.75" customHeight="1" thickBot="1" x14ac:dyDescent="0.45">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28"/>
      <c r="AP160" s="110"/>
      <c r="AQ160" s="110"/>
      <c r="AR160" s="110"/>
      <c r="AS160" s="110"/>
      <c r="AT160" s="110"/>
      <c r="AU160" s="110"/>
    </row>
    <row r="161" spans="1:47" ht="15.75" customHeight="1" thickBot="1" x14ac:dyDescent="0.45">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28"/>
      <c r="AP161" s="110"/>
      <c r="AQ161" s="110"/>
      <c r="AR161" s="110"/>
      <c r="AS161" s="110"/>
      <c r="AT161" s="110"/>
      <c r="AU161" s="110"/>
    </row>
    <row r="162" spans="1:47" ht="15.75" customHeight="1" thickBot="1" x14ac:dyDescent="0.45">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28"/>
      <c r="AP162" s="110"/>
      <c r="AQ162" s="110"/>
      <c r="AR162" s="110"/>
      <c r="AS162" s="110"/>
      <c r="AT162" s="110"/>
      <c r="AU162" s="110"/>
    </row>
    <row r="163" spans="1:47" ht="15.75" customHeight="1" thickBot="1" x14ac:dyDescent="0.45">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28"/>
      <c r="AP163" s="110"/>
      <c r="AQ163" s="110"/>
      <c r="AR163" s="110"/>
      <c r="AS163" s="110"/>
      <c r="AT163" s="110"/>
      <c r="AU163" s="110"/>
    </row>
    <row r="164" spans="1:47" ht="15.75" customHeight="1" thickBot="1" x14ac:dyDescent="0.45">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28"/>
      <c r="AP164" s="110"/>
      <c r="AQ164" s="110"/>
      <c r="AR164" s="110"/>
      <c r="AS164" s="110"/>
      <c r="AT164" s="110"/>
      <c r="AU164" s="110"/>
    </row>
    <row r="165" spans="1:47" ht="15.75" customHeight="1" thickBot="1" x14ac:dyDescent="0.45">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28"/>
      <c r="AP165" s="110"/>
      <c r="AQ165" s="110"/>
      <c r="AR165" s="110"/>
      <c r="AS165" s="110"/>
      <c r="AT165" s="110"/>
      <c r="AU165" s="110"/>
    </row>
    <row r="166" spans="1:47" ht="15.75" customHeight="1" thickBot="1" x14ac:dyDescent="0.45">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28"/>
      <c r="AP166" s="110"/>
      <c r="AQ166" s="110"/>
      <c r="AR166" s="110"/>
      <c r="AS166" s="110"/>
      <c r="AT166" s="110"/>
      <c r="AU166" s="110"/>
    </row>
    <row r="167" spans="1:47" ht="15.75" customHeight="1" thickBot="1" x14ac:dyDescent="0.45">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28"/>
      <c r="AP167" s="110"/>
      <c r="AQ167" s="110"/>
      <c r="AR167" s="110"/>
      <c r="AS167" s="110"/>
      <c r="AT167" s="110"/>
      <c r="AU167" s="110"/>
    </row>
    <row r="168" spans="1:47" ht="15.75" customHeight="1" thickBot="1" x14ac:dyDescent="0.45">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28"/>
      <c r="AP168" s="110"/>
      <c r="AQ168" s="110"/>
      <c r="AR168" s="110"/>
      <c r="AS168" s="110"/>
      <c r="AT168" s="110"/>
      <c r="AU168" s="110"/>
    </row>
    <row r="169" spans="1:47" ht="15.75" customHeight="1" thickBot="1" x14ac:dyDescent="0.45">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28"/>
      <c r="AP169" s="110"/>
      <c r="AQ169" s="110"/>
      <c r="AR169" s="110"/>
      <c r="AS169" s="110"/>
      <c r="AT169" s="110"/>
      <c r="AU169" s="110"/>
    </row>
    <row r="170" spans="1:47" ht="15.75" customHeight="1" thickBot="1" x14ac:dyDescent="0.45">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28"/>
      <c r="AP170" s="110"/>
      <c r="AQ170" s="110"/>
      <c r="AR170" s="110"/>
      <c r="AS170" s="110"/>
      <c r="AT170" s="110"/>
      <c r="AU170" s="110"/>
    </row>
    <row r="171" spans="1:47" ht="15.75" customHeight="1" thickBot="1" x14ac:dyDescent="0.45">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28"/>
      <c r="AP171" s="110"/>
      <c r="AQ171" s="110"/>
      <c r="AR171" s="110"/>
      <c r="AS171" s="110"/>
      <c r="AT171" s="110"/>
      <c r="AU171" s="110"/>
    </row>
    <row r="172" spans="1:47" ht="15.75" customHeight="1" thickBot="1" x14ac:dyDescent="0.45">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28"/>
      <c r="AP172" s="110"/>
      <c r="AQ172" s="110"/>
      <c r="AR172" s="110"/>
      <c r="AS172" s="110"/>
      <c r="AT172" s="110"/>
      <c r="AU172" s="110"/>
    </row>
    <row r="173" spans="1:47" ht="15.75" customHeight="1" thickBot="1" x14ac:dyDescent="0.45">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28"/>
      <c r="AP173" s="110"/>
      <c r="AQ173" s="110"/>
      <c r="AR173" s="110"/>
      <c r="AS173" s="110"/>
      <c r="AT173" s="110"/>
      <c r="AU173" s="110"/>
    </row>
    <row r="174" spans="1:47" ht="15.75" customHeight="1" thickBot="1" x14ac:dyDescent="0.45">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28"/>
      <c r="AP174" s="110"/>
      <c r="AQ174" s="110"/>
      <c r="AR174" s="110"/>
      <c r="AS174" s="110"/>
      <c r="AT174" s="110"/>
      <c r="AU174" s="110"/>
    </row>
    <row r="175" spans="1:47" ht="15.75" customHeight="1" thickBot="1" x14ac:dyDescent="0.45">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28"/>
      <c r="AP175" s="110"/>
      <c r="AQ175" s="110"/>
      <c r="AR175" s="110"/>
      <c r="AS175" s="110"/>
      <c r="AT175" s="110"/>
      <c r="AU175" s="110"/>
    </row>
    <row r="176" spans="1:47" ht="15.75" customHeight="1" thickBot="1" x14ac:dyDescent="0.45">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28"/>
      <c r="AP176" s="110"/>
      <c r="AQ176" s="110"/>
      <c r="AR176" s="110"/>
      <c r="AS176" s="110"/>
      <c r="AT176" s="110"/>
      <c r="AU176" s="110"/>
    </row>
    <row r="177" spans="1:47" ht="15.75" customHeight="1" thickBot="1" x14ac:dyDescent="0.45">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28"/>
      <c r="AP177" s="110"/>
      <c r="AQ177" s="110"/>
      <c r="AR177" s="110"/>
      <c r="AS177" s="110"/>
      <c r="AT177" s="110"/>
      <c r="AU177" s="110"/>
    </row>
    <row r="178" spans="1:47" ht="15.75" customHeight="1" thickBot="1" x14ac:dyDescent="0.45">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28"/>
      <c r="AP178" s="110"/>
      <c r="AQ178" s="110"/>
      <c r="AR178" s="110"/>
      <c r="AS178" s="110"/>
      <c r="AT178" s="110"/>
      <c r="AU178" s="110"/>
    </row>
    <row r="179" spans="1:47" ht="15.75" customHeight="1" thickBot="1" x14ac:dyDescent="0.45">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28"/>
      <c r="AP179" s="110"/>
      <c r="AQ179" s="110"/>
      <c r="AR179" s="110"/>
      <c r="AS179" s="110"/>
      <c r="AT179" s="110"/>
      <c r="AU179" s="110"/>
    </row>
    <row r="180" spans="1:47" ht="15.75" customHeight="1" thickBot="1" x14ac:dyDescent="0.45">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28"/>
      <c r="AP180" s="110"/>
      <c r="AQ180" s="110"/>
      <c r="AR180" s="110"/>
      <c r="AS180" s="110"/>
      <c r="AT180" s="110"/>
      <c r="AU180" s="110"/>
    </row>
    <row r="181" spans="1:47" ht="15.75" customHeight="1" thickBot="1" x14ac:dyDescent="0.45">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28"/>
      <c r="AP181" s="110"/>
      <c r="AQ181" s="110"/>
      <c r="AR181" s="110"/>
      <c r="AS181" s="110"/>
      <c r="AT181" s="110"/>
      <c r="AU181" s="110"/>
    </row>
    <row r="182" spans="1:47" ht="15.75" customHeight="1" thickBot="1" x14ac:dyDescent="0.45">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28"/>
      <c r="AP182" s="110"/>
      <c r="AQ182" s="110"/>
      <c r="AR182" s="110"/>
      <c r="AS182" s="110"/>
      <c r="AT182" s="110"/>
      <c r="AU182" s="110"/>
    </row>
    <row r="183" spans="1:47" ht="15.75" customHeight="1" thickBot="1" x14ac:dyDescent="0.45">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28"/>
      <c r="AP183" s="110"/>
      <c r="AQ183" s="110"/>
      <c r="AR183" s="110"/>
      <c r="AS183" s="110"/>
      <c r="AT183" s="110"/>
      <c r="AU183" s="110"/>
    </row>
    <row r="184" spans="1:47" ht="15.75" customHeight="1" thickBot="1" x14ac:dyDescent="0.45">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28"/>
      <c r="AP184" s="110"/>
      <c r="AQ184" s="110"/>
      <c r="AR184" s="110"/>
      <c r="AS184" s="110"/>
      <c r="AT184" s="110"/>
      <c r="AU184" s="110"/>
    </row>
    <row r="185" spans="1:47" ht="15.75" customHeight="1" thickBot="1" x14ac:dyDescent="0.45">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28"/>
      <c r="AP185" s="110"/>
      <c r="AQ185" s="110"/>
      <c r="AR185" s="110"/>
      <c r="AS185" s="110"/>
      <c r="AT185" s="110"/>
      <c r="AU185" s="110"/>
    </row>
    <row r="186" spans="1:47" ht="15.75" customHeight="1" thickBot="1" x14ac:dyDescent="0.45">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28"/>
      <c r="AP186" s="110"/>
      <c r="AQ186" s="110"/>
      <c r="AR186" s="110"/>
      <c r="AS186" s="110"/>
      <c r="AT186" s="110"/>
      <c r="AU186" s="110"/>
    </row>
    <row r="187" spans="1:47" ht="15.75" customHeight="1" thickBot="1" x14ac:dyDescent="0.45">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28"/>
      <c r="AP187" s="110"/>
      <c r="AQ187" s="110"/>
      <c r="AR187" s="110"/>
      <c r="AS187" s="110"/>
      <c r="AT187" s="110"/>
      <c r="AU187" s="110"/>
    </row>
    <row r="188" spans="1:47" ht="15.75" customHeight="1" thickBot="1" x14ac:dyDescent="0.45">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28"/>
      <c r="AP188" s="110"/>
      <c r="AQ188" s="110"/>
      <c r="AR188" s="110"/>
      <c r="AS188" s="110"/>
      <c r="AT188" s="110"/>
      <c r="AU188" s="110"/>
    </row>
    <row r="189" spans="1:47" ht="15.75" customHeight="1" thickBot="1" x14ac:dyDescent="0.45">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28"/>
      <c r="AP189" s="110"/>
      <c r="AQ189" s="110"/>
      <c r="AR189" s="110"/>
      <c r="AS189" s="110"/>
      <c r="AT189" s="110"/>
      <c r="AU189" s="110"/>
    </row>
    <row r="190" spans="1:47" ht="15.75" customHeight="1" thickBot="1" x14ac:dyDescent="0.45">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28"/>
      <c r="AP190" s="110"/>
      <c r="AQ190" s="110"/>
      <c r="AR190" s="110"/>
      <c r="AS190" s="110"/>
      <c r="AT190" s="110"/>
      <c r="AU190" s="110"/>
    </row>
    <row r="191" spans="1:47" ht="15.75" customHeight="1" thickBot="1" x14ac:dyDescent="0.45">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28"/>
      <c r="AP191" s="110"/>
      <c r="AQ191" s="110"/>
      <c r="AR191" s="110"/>
      <c r="AS191" s="110"/>
      <c r="AT191" s="110"/>
      <c r="AU191" s="110"/>
    </row>
    <row r="192" spans="1:47" ht="15.75" customHeight="1" thickBot="1" x14ac:dyDescent="0.45">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28"/>
      <c r="AP192" s="110"/>
      <c r="AQ192" s="110"/>
      <c r="AR192" s="110"/>
      <c r="AS192" s="110"/>
      <c r="AT192" s="110"/>
      <c r="AU192" s="110"/>
    </row>
    <row r="193" spans="1:47" ht="15.75" customHeight="1" thickBot="1" x14ac:dyDescent="0.45">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28"/>
      <c r="AP193" s="110"/>
      <c r="AQ193" s="110"/>
      <c r="AR193" s="110"/>
      <c r="AS193" s="110"/>
      <c r="AT193" s="110"/>
      <c r="AU193" s="110"/>
    </row>
    <row r="194" spans="1:47" ht="15.75" customHeight="1" thickBot="1" x14ac:dyDescent="0.45">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28"/>
      <c r="AP194" s="110"/>
      <c r="AQ194" s="110"/>
      <c r="AR194" s="110"/>
      <c r="AS194" s="110"/>
      <c r="AT194" s="110"/>
      <c r="AU194" s="110"/>
    </row>
    <row r="195" spans="1:47" ht="15.75" customHeight="1" thickBot="1" x14ac:dyDescent="0.45">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28"/>
      <c r="AP195" s="110"/>
      <c r="AQ195" s="110"/>
      <c r="AR195" s="110"/>
      <c r="AS195" s="110"/>
      <c r="AT195" s="110"/>
      <c r="AU195" s="110"/>
    </row>
    <row r="196" spans="1:47" ht="15.75" customHeight="1" thickBot="1" x14ac:dyDescent="0.45">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28"/>
      <c r="AP196" s="110"/>
      <c r="AQ196" s="110"/>
      <c r="AR196" s="110"/>
      <c r="AS196" s="110"/>
      <c r="AT196" s="110"/>
      <c r="AU196" s="110"/>
    </row>
    <row r="197" spans="1:47" ht="15.75" customHeight="1" thickBot="1" x14ac:dyDescent="0.45">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28"/>
      <c r="AP197" s="110"/>
      <c r="AQ197" s="110"/>
      <c r="AR197" s="110"/>
      <c r="AS197" s="110"/>
      <c r="AT197" s="110"/>
      <c r="AU197" s="110"/>
    </row>
    <row r="198" spans="1:47" ht="15.75" customHeight="1" thickBot="1" x14ac:dyDescent="0.45">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28"/>
      <c r="AP198" s="110"/>
      <c r="AQ198" s="110"/>
      <c r="AR198" s="110"/>
      <c r="AS198" s="110"/>
      <c r="AT198" s="110"/>
      <c r="AU198" s="110"/>
    </row>
    <row r="199" spans="1:47" ht="15.75" customHeight="1" thickBot="1" x14ac:dyDescent="0.45">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28"/>
      <c r="AP199" s="110"/>
      <c r="AQ199" s="110"/>
      <c r="AR199" s="110"/>
      <c r="AS199" s="110"/>
      <c r="AT199" s="110"/>
      <c r="AU199" s="110"/>
    </row>
    <row r="200" spans="1:47" ht="15.75" customHeight="1" thickBot="1" x14ac:dyDescent="0.45">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28"/>
      <c r="AP200" s="110"/>
      <c r="AQ200" s="110"/>
      <c r="AR200" s="110"/>
      <c r="AS200" s="110"/>
      <c r="AT200" s="110"/>
      <c r="AU200" s="110"/>
    </row>
    <row r="201" spans="1:47" ht="15.75" customHeight="1" thickBot="1" x14ac:dyDescent="0.45">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28"/>
      <c r="AP201" s="110"/>
      <c r="AQ201" s="110"/>
      <c r="AR201" s="110"/>
      <c r="AS201" s="110"/>
      <c r="AT201" s="110"/>
      <c r="AU201" s="110"/>
    </row>
    <row r="202" spans="1:47" ht="15.75" customHeight="1" thickBot="1" x14ac:dyDescent="0.45">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28"/>
      <c r="AP202" s="110"/>
      <c r="AQ202" s="110"/>
      <c r="AR202" s="110"/>
      <c r="AS202" s="110"/>
      <c r="AT202" s="110"/>
      <c r="AU202" s="110"/>
    </row>
    <row r="203" spans="1:47" ht="15.75" customHeight="1" thickBot="1" x14ac:dyDescent="0.45">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28"/>
      <c r="AP203" s="110"/>
      <c r="AQ203" s="110"/>
      <c r="AR203" s="110"/>
      <c r="AS203" s="110"/>
      <c r="AT203" s="110"/>
      <c r="AU203" s="110"/>
    </row>
    <row r="204" spans="1:47" ht="15.75" customHeight="1" thickBot="1" x14ac:dyDescent="0.45">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28"/>
      <c r="AP204" s="110"/>
      <c r="AQ204" s="110"/>
      <c r="AR204" s="110"/>
      <c r="AS204" s="110"/>
      <c r="AT204" s="110"/>
      <c r="AU204" s="110"/>
    </row>
    <row r="205" spans="1:47" ht="15.75" customHeight="1" thickBot="1" x14ac:dyDescent="0.45">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28"/>
      <c r="AP205" s="110"/>
      <c r="AQ205" s="110"/>
      <c r="AR205" s="110"/>
      <c r="AS205" s="110"/>
      <c r="AT205" s="110"/>
      <c r="AU205" s="110"/>
    </row>
    <row r="206" spans="1:47" ht="15.75" customHeight="1" thickBot="1" x14ac:dyDescent="0.45">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28"/>
      <c r="AP206" s="110"/>
      <c r="AQ206" s="110"/>
      <c r="AR206" s="110"/>
      <c r="AS206" s="110"/>
      <c r="AT206" s="110"/>
      <c r="AU206" s="110"/>
    </row>
    <row r="207" spans="1:47" ht="15.75" customHeight="1" thickBot="1" x14ac:dyDescent="0.45">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28"/>
      <c r="AP207" s="110"/>
      <c r="AQ207" s="110"/>
      <c r="AR207" s="110"/>
      <c r="AS207" s="110"/>
      <c r="AT207" s="110"/>
      <c r="AU207" s="110"/>
    </row>
    <row r="208" spans="1:47" ht="15.75" customHeight="1" thickBot="1" x14ac:dyDescent="0.45">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28"/>
      <c r="AP208" s="110"/>
      <c r="AQ208" s="110"/>
      <c r="AR208" s="110"/>
      <c r="AS208" s="110"/>
      <c r="AT208" s="110"/>
      <c r="AU208" s="110"/>
    </row>
    <row r="209" spans="1:47" ht="15.75" customHeight="1" thickBot="1" x14ac:dyDescent="0.45">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28"/>
      <c r="AP209" s="110"/>
      <c r="AQ209" s="110"/>
      <c r="AR209" s="110"/>
      <c r="AS209" s="110"/>
      <c r="AT209" s="110"/>
      <c r="AU209" s="110"/>
    </row>
    <row r="210" spans="1:47" ht="15.75" customHeight="1" thickBot="1" x14ac:dyDescent="0.45">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28"/>
      <c r="AP210" s="110"/>
      <c r="AQ210" s="110"/>
      <c r="AR210" s="110"/>
      <c r="AS210" s="110"/>
      <c r="AT210" s="110"/>
      <c r="AU210" s="110"/>
    </row>
    <row r="211" spans="1:47" ht="15.75" customHeight="1" thickBot="1" x14ac:dyDescent="0.45">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28"/>
      <c r="AP211" s="110"/>
      <c r="AQ211" s="110"/>
      <c r="AR211" s="110"/>
      <c r="AS211" s="110"/>
      <c r="AT211" s="110"/>
      <c r="AU211" s="110"/>
    </row>
    <row r="212" spans="1:47" ht="15.75" customHeight="1" thickBot="1" x14ac:dyDescent="0.45">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28"/>
      <c r="AP212" s="110"/>
      <c r="AQ212" s="110"/>
      <c r="AR212" s="110"/>
      <c r="AS212" s="110"/>
      <c r="AT212" s="110"/>
      <c r="AU212" s="110"/>
    </row>
    <row r="213" spans="1:47" ht="15.75" customHeight="1" thickBot="1" x14ac:dyDescent="0.45">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28"/>
      <c r="AP213" s="110"/>
      <c r="AQ213" s="110"/>
      <c r="AR213" s="110"/>
      <c r="AS213" s="110"/>
      <c r="AT213" s="110"/>
      <c r="AU213" s="110"/>
    </row>
    <row r="214" spans="1:47" ht="15.75" customHeight="1" thickBot="1" x14ac:dyDescent="0.45">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28"/>
      <c r="AP214" s="110"/>
      <c r="AQ214" s="110"/>
      <c r="AR214" s="110"/>
      <c r="AS214" s="110"/>
      <c r="AT214" s="110"/>
      <c r="AU214" s="110"/>
    </row>
    <row r="215" spans="1:47" ht="15.75" customHeight="1" thickBot="1" x14ac:dyDescent="0.4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28"/>
      <c r="AP215" s="110"/>
      <c r="AQ215" s="110"/>
      <c r="AR215" s="110"/>
      <c r="AS215" s="110"/>
      <c r="AT215" s="110"/>
      <c r="AU215" s="110"/>
    </row>
    <row r="216" spans="1:47" ht="15.75" customHeight="1" thickBot="1" x14ac:dyDescent="0.45">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28"/>
      <c r="AP216" s="110"/>
      <c r="AQ216" s="110"/>
      <c r="AR216" s="110"/>
      <c r="AS216" s="110"/>
      <c r="AT216" s="110"/>
      <c r="AU216" s="110"/>
    </row>
    <row r="217" spans="1:47" ht="15.75" customHeight="1" thickBot="1" x14ac:dyDescent="0.45">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28"/>
      <c r="AP217" s="110"/>
      <c r="AQ217" s="110"/>
      <c r="AR217" s="110"/>
      <c r="AS217" s="110"/>
      <c r="AT217" s="110"/>
      <c r="AU217" s="110"/>
    </row>
    <row r="218" spans="1:47" ht="15.75" customHeight="1" thickBot="1" x14ac:dyDescent="0.45">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28"/>
      <c r="AP218" s="110"/>
      <c r="AQ218" s="110"/>
      <c r="AR218" s="110"/>
      <c r="AS218" s="110"/>
      <c r="AT218" s="110"/>
      <c r="AU218" s="110"/>
    </row>
    <row r="219" spans="1:47" ht="15.75" customHeight="1" thickBot="1" x14ac:dyDescent="0.45">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28"/>
      <c r="AP219" s="110"/>
      <c r="AQ219" s="110"/>
      <c r="AR219" s="110"/>
      <c r="AS219" s="110"/>
      <c r="AT219" s="110"/>
      <c r="AU219" s="110"/>
    </row>
    <row r="220" spans="1:47" ht="15.75" customHeight="1" thickBot="1" x14ac:dyDescent="0.45">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28"/>
      <c r="AP220" s="110"/>
      <c r="AQ220" s="110"/>
      <c r="AR220" s="110"/>
      <c r="AS220" s="110"/>
      <c r="AT220" s="110"/>
      <c r="AU220" s="110"/>
    </row>
    <row r="221" spans="1:47" ht="15.75" customHeight="1" thickBot="1" x14ac:dyDescent="0.45">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28"/>
      <c r="AP221" s="110"/>
      <c r="AQ221" s="110"/>
      <c r="AR221" s="110"/>
      <c r="AS221" s="110"/>
      <c r="AT221" s="110"/>
      <c r="AU221" s="110"/>
    </row>
    <row r="222" spans="1:47" ht="15.75" customHeight="1" thickBot="1" x14ac:dyDescent="0.45">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28"/>
      <c r="AP222" s="110"/>
      <c r="AQ222" s="110"/>
      <c r="AR222" s="110"/>
      <c r="AS222" s="110"/>
      <c r="AT222" s="110"/>
      <c r="AU222" s="110"/>
    </row>
    <row r="223" spans="1:47" ht="15.75" customHeight="1" thickBot="1" x14ac:dyDescent="0.4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28"/>
      <c r="AP223" s="110"/>
      <c r="AQ223" s="110"/>
      <c r="AR223" s="110"/>
      <c r="AS223" s="110"/>
      <c r="AT223" s="110"/>
      <c r="AU223" s="110"/>
    </row>
    <row r="224" spans="1:47" ht="15.75" customHeight="1" thickBot="1" x14ac:dyDescent="0.4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28"/>
      <c r="AP224" s="110"/>
      <c r="AQ224" s="110"/>
      <c r="AR224" s="110"/>
      <c r="AS224" s="110"/>
      <c r="AT224" s="110"/>
      <c r="AU224" s="110"/>
    </row>
    <row r="225" spans="1:47" ht="15.75" customHeight="1" thickBot="1" x14ac:dyDescent="0.4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28"/>
      <c r="AP225" s="110"/>
      <c r="AQ225" s="110"/>
      <c r="AR225" s="110"/>
      <c r="AS225" s="110"/>
      <c r="AT225" s="110"/>
      <c r="AU225" s="110"/>
    </row>
    <row r="226" spans="1:47" ht="15.75" customHeight="1" thickBot="1" x14ac:dyDescent="0.4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28"/>
      <c r="AP226" s="110"/>
      <c r="AQ226" s="110"/>
      <c r="AR226" s="110"/>
      <c r="AS226" s="110"/>
      <c r="AT226" s="110"/>
      <c r="AU226" s="110"/>
    </row>
    <row r="227" spans="1:47" ht="15.75" customHeight="1" thickBot="1" x14ac:dyDescent="0.4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28"/>
      <c r="AP227" s="110"/>
      <c r="AQ227" s="110"/>
      <c r="AR227" s="110"/>
      <c r="AS227" s="110"/>
      <c r="AT227" s="110"/>
      <c r="AU227" s="110"/>
    </row>
    <row r="228" spans="1:47" ht="15.75" customHeight="1" thickBot="1" x14ac:dyDescent="0.4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28"/>
      <c r="AP228" s="110"/>
      <c r="AQ228" s="110"/>
      <c r="AR228" s="110"/>
      <c r="AS228" s="110"/>
      <c r="AT228" s="110"/>
      <c r="AU228" s="110"/>
    </row>
    <row r="229" spans="1:47" ht="15.75" customHeight="1" thickBot="1" x14ac:dyDescent="0.4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28"/>
      <c r="AP229" s="110"/>
      <c r="AQ229" s="110"/>
      <c r="AR229" s="110"/>
      <c r="AS229" s="110"/>
      <c r="AT229" s="110"/>
      <c r="AU229" s="110"/>
    </row>
    <row r="230" spans="1:47" ht="15.75" customHeight="1" thickBot="1" x14ac:dyDescent="0.4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28"/>
      <c r="AP230" s="110"/>
      <c r="AQ230" s="110"/>
      <c r="AR230" s="110"/>
      <c r="AS230" s="110"/>
      <c r="AT230" s="110"/>
      <c r="AU230" s="110"/>
    </row>
    <row r="231" spans="1:47" ht="15.75" customHeight="1" thickBot="1" x14ac:dyDescent="0.4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28"/>
      <c r="AP231" s="110"/>
      <c r="AQ231" s="110"/>
      <c r="AR231" s="110"/>
      <c r="AS231" s="110"/>
      <c r="AT231" s="110"/>
      <c r="AU231" s="110"/>
    </row>
    <row r="232" spans="1:47" ht="15.75" customHeight="1" thickBot="1" x14ac:dyDescent="0.4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28"/>
      <c r="AP232" s="110"/>
      <c r="AQ232" s="110"/>
      <c r="AR232" s="110"/>
      <c r="AS232" s="110"/>
      <c r="AT232" s="110"/>
      <c r="AU232" s="110"/>
    </row>
    <row r="233" spans="1:47" ht="15.75" customHeight="1" thickBot="1" x14ac:dyDescent="0.4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28"/>
      <c r="AP233" s="110"/>
      <c r="AQ233" s="110"/>
      <c r="AR233" s="110"/>
      <c r="AS233" s="110"/>
      <c r="AT233" s="110"/>
      <c r="AU233" s="110"/>
    </row>
    <row r="234" spans="1:47" ht="15.75" customHeight="1" thickBot="1" x14ac:dyDescent="0.4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28"/>
      <c r="AP234" s="110"/>
      <c r="AQ234" s="110"/>
      <c r="AR234" s="110"/>
      <c r="AS234" s="110"/>
      <c r="AT234" s="110"/>
      <c r="AU234" s="110"/>
    </row>
    <row r="235" spans="1:47" ht="15.75" customHeight="1" thickBot="1" x14ac:dyDescent="0.4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28"/>
      <c r="AP235" s="110"/>
      <c r="AQ235" s="110"/>
      <c r="AR235" s="110"/>
      <c r="AS235" s="110"/>
      <c r="AT235" s="110"/>
      <c r="AU235" s="110"/>
    </row>
    <row r="236" spans="1:47" ht="15.75" customHeight="1" thickBot="1" x14ac:dyDescent="0.4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28"/>
      <c r="AP236" s="110"/>
      <c r="AQ236" s="110"/>
      <c r="AR236" s="110"/>
      <c r="AS236" s="110"/>
      <c r="AT236" s="110"/>
      <c r="AU236" s="110"/>
    </row>
    <row r="237" spans="1:47" ht="15.75" customHeight="1" thickBot="1" x14ac:dyDescent="0.4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28"/>
      <c r="AP237" s="110"/>
      <c r="AQ237" s="110"/>
      <c r="AR237" s="110"/>
      <c r="AS237" s="110"/>
      <c r="AT237" s="110"/>
      <c r="AU237" s="110"/>
    </row>
    <row r="238" spans="1:47" ht="15.75" customHeight="1" thickBot="1" x14ac:dyDescent="0.4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28"/>
      <c r="AP238" s="110"/>
      <c r="AQ238" s="110"/>
      <c r="AR238" s="110"/>
      <c r="AS238" s="110"/>
      <c r="AT238" s="110"/>
      <c r="AU238" s="110"/>
    </row>
    <row r="239" spans="1:47" ht="15.75" customHeight="1" thickBot="1" x14ac:dyDescent="0.4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28"/>
      <c r="AP239" s="110"/>
      <c r="AQ239" s="110"/>
      <c r="AR239" s="110"/>
      <c r="AS239" s="110"/>
      <c r="AT239" s="110"/>
      <c r="AU239" s="110"/>
    </row>
    <row r="240" spans="1:47" ht="15.75" customHeight="1" thickBot="1" x14ac:dyDescent="0.4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28"/>
      <c r="AP240" s="110"/>
      <c r="AQ240" s="110"/>
      <c r="AR240" s="110"/>
      <c r="AS240" s="110"/>
      <c r="AT240" s="110"/>
      <c r="AU240" s="110"/>
    </row>
    <row r="241" spans="1:47" ht="15.75" customHeight="1" thickBot="1" x14ac:dyDescent="0.4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28"/>
      <c r="AP241" s="110"/>
      <c r="AQ241" s="110"/>
      <c r="AR241" s="110"/>
      <c r="AS241" s="110"/>
      <c r="AT241" s="110"/>
      <c r="AU241" s="110"/>
    </row>
    <row r="242" spans="1:47" ht="15.75" customHeight="1" thickBot="1" x14ac:dyDescent="0.4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28"/>
      <c r="AP242" s="110"/>
      <c r="AQ242" s="110"/>
      <c r="AR242" s="110"/>
      <c r="AS242" s="110"/>
      <c r="AT242" s="110"/>
      <c r="AU242" s="110"/>
    </row>
    <row r="243" spans="1:47" ht="15.75" customHeight="1" thickBot="1" x14ac:dyDescent="0.4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28"/>
      <c r="AP243" s="110"/>
      <c r="AQ243" s="110"/>
      <c r="AR243" s="110"/>
      <c r="AS243" s="110"/>
      <c r="AT243" s="110"/>
      <c r="AU243" s="110"/>
    </row>
    <row r="244" spans="1:47" ht="15.75" customHeight="1" thickBot="1" x14ac:dyDescent="0.4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28"/>
      <c r="AP244" s="110"/>
      <c r="AQ244" s="110"/>
      <c r="AR244" s="110"/>
      <c r="AS244" s="110"/>
      <c r="AT244" s="110"/>
      <c r="AU244" s="110"/>
    </row>
    <row r="245" spans="1:47" ht="15.75" customHeight="1" thickBot="1" x14ac:dyDescent="0.4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28"/>
      <c r="AP245" s="110"/>
      <c r="AQ245" s="110"/>
      <c r="AR245" s="110"/>
      <c r="AS245" s="110"/>
      <c r="AT245" s="110"/>
      <c r="AU245" s="110"/>
    </row>
    <row r="246" spans="1:47" ht="15.75" customHeight="1" thickBot="1" x14ac:dyDescent="0.4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28"/>
      <c r="AP246" s="110"/>
      <c r="AQ246" s="110"/>
      <c r="AR246" s="110"/>
      <c r="AS246" s="110"/>
      <c r="AT246" s="110"/>
      <c r="AU246" s="110"/>
    </row>
    <row r="247" spans="1:47" ht="15.75" customHeight="1" thickBot="1" x14ac:dyDescent="0.4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28"/>
      <c r="AP247" s="110"/>
      <c r="AQ247" s="110"/>
      <c r="AR247" s="110"/>
      <c r="AS247" s="110"/>
      <c r="AT247" s="110"/>
      <c r="AU247" s="110"/>
    </row>
    <row r="248" spans="1:47" ht="15.75" customHeight="1" thickBot="1" x14ac:dyDescent="0.4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28"/>
      <c r="AP248" s="110"/>
      <c r="AQ248" s="110"/>
      <c r="AR248" s="110"/>
      <c r="AS248" s="110"/>
      <c r="AT248" s="110"/>
      <c r="AU248" s="110"/>
    </row>
    <row r="249" spans="1:47" ht="15.75" customHeight="1" thickBot="1" x14ac:dyDescent="0.4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28"/>
      <c r="AP249" s="110"/>
      <c r="AQ249" s="110"/>
      <c r="AR249" s="110"/>
      <c r="AS249" s="110"/>
      <c r="AT249" s="110"/>
      <c r="AU249" s="110"/>
    </row>
    <row r="250" spans="1:47" ht="15.75" customHeight="1" thickBot="1" x14ac:dyDescent="0.4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28"/>
      <c r="AP250" s="110"/>
      <c r="AQ250" s="110"/>
      <c r="AR250" s="110"/>
      <c r="AS250" s="110"/>
      <c r="AT250" s="110"/>
      <c r="AU250" s="110"/>
    </row>
    <row r="251" spans="1:47" ht="15.75" customHeight="1" thickBot="1" x14ac:dyDescent="0.4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28"/>
      <c r="AP251" s="110"/>
      <c r="AQ251" s="110"/>
      <c r="AR251" s="110"/>
      <c r="AS251" s="110"/>
      <c r="AT251" s="110"/>
      <c r="AU251" s="110"/>
    </row>
    <row r="252" spans="1:47" ht="15.75" customHeight="1" thickBot="1" x14ac:dyDescent="0.4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28"/>
      <c r="AP252" s="110"/>
      <c r="AQ252" s="110"/>
      <c r="AR252" s="110"/>
      <c r="AS252" s="110"/>
      <c r="AT252" s="110"/>
      <c r="AU252" s="110"/>
    </row>
    <row r="253" spans="1:47" ht="15.75" customHeight="1" x14ac:dyDescent="0.4"/>
    <row r="254" spans="1:47" ht="15.75" customHeight="1" x14ac:dyDescent="0.4"/>
    <row r="255" spans="1:47" ht="15.75" customHeight="1" x14ac:dyDescent="0.4"/>
    <row r="256" spans="1:47" ht="15.75" customHeight="1" x14ac:dyDescent="0.4"/>
    <row r="257" ht="15.75" customHeight="1" x14ac:dyDescent="0.4"/>
    <row r="258" ht="15.75" customHeight="1" x14ac:dyDescent="0.4"/>
    <row r="259" ht="15.75" customHeight="1" x14ac:dyDescent="0.4"/>
    <row r="260" ht="15.75" customHeight="1" x14ac:dyDescent="0.4"/>
    <row r="261" ht="15.75" customHeight="1" x14ac:dyDescent="0.4"/>
    <row r="262" ht="15.75" customHeight="1" x14ac:dyDescent="0.4"/>
    <row r="263" ht="15.75" customHeight="1" x14ac:dyDescent="0.4"/>
    <row r="264" ht="15.75" customHeight="1" x14ac:dyDescent="0.4"/>
    <row r="265" ht="15.75" customHeight="1" x14ac:dyDescent="0.4"/>
    <row r="266" ht="15.75" customHeight="1" x14ac:dyDescent="0.4"/>
    <row r="267" ht="15.75" customHeight="1" x14ac:dyDescent="0.4"/>
    <row r="268" ht="15.75" customHeight="1" x14ac:dyDescent="0.4"/>
    <row r="269" ht="15.75" customHeight="1" x14ac:dyDescent="0.4"/>
    <row r="270" ht="15.75" customHeight="1" x14ac:dyDescent="0.4"/>
    <row r="271" ht="15.75" customHeight="1" x14ac:dyDescent="0.4"/>
    <row r="272" ht="15.75" customHeight="1" x14ac:dyDescent="0.4"/>
    <row r="273" ht="15.75" customHeight="1" x14ac:dyDescent="0.4"/>
    <row r="274" ht="15.75" customHeight="1" x14ac:dyDescent="0.4"/>
    <row r="275" ht="15.75" customHeight="1" x14ac:dyDescent="0.4"/>
    <row r="276" ht="15.75" customHeight="1" x14ac:dyDescent="0.4"/>
    <row r="277" ht="15.75" customHeight="1" x14ac:dyDescent="0.4"/>
    <row r="278" ht="15.75" customHeight="1" x14ac:dyDescent="0.4"/>
    <row r="279" ht="15.75" customHeight="1" x14ac:dyDescent="0.4"/>
    <row r="280" ht="15.75" customHeight="1" x14ac:dyDescent="0.4"/>
    <row r="281" ht="15.75" customHeight="1" x14ac:dyDescent="0.4"/>
    <row r="282" ht="15.75" customHeight="1" x14ac:dyDescent="0.4"/>
    <row r="283" ht="15.75" customHeight="1" x14ac:dyDescent="0.4"/>
    <row r="284" ht="15.75" customHeight="1" x14ac:dyDescent="0.4"/>
    <row r="285" ht="15.75" customHeight="1" x14ac:dyDescent="0.4"/>
    <row r="286" ht="15.75" customHeight="1" x14ac:dyDescent="0.4"/>
    <row r="287" ht="15.75" customHeight="1" x14ac:dyDescent="0.4"/>
    <row r="288" ht="15.75" customHeight="1" x14ac:dyDescent="0.4"/>
    <row r="289" ht="15.75" customHeight="1" x14ac:dyDescent="0.4"/>
    <row r="290" ht="15.75" customHeight="1" x14ac:dyDescent="0.4"/>
    <row r="291" ht="15.75" customHeight="1" x14ac:dyDescent="0.4"/>
    <row r="292" ht="15.75" customHeight="1" x14ac:dyDescent="0.4"/>
    <row r="293" ht="15.75" customHeight="1" x14ac:dyDescent="0.4"/>
    <row r="294" ht="15.75" customHeight="1" x14ac:dyDescent="0.4"/>
    <row r="295" ht="15.75" customHeight="1" x14ac:dyDescent="0.4"/>
    <row r="296" ht="15.75" customHeight="1" x14ac:dyDescent="0.4"/>
    <row r="297" ht="15.75" customHeight="1" x14ac:dyDescent="0.4"/>
    <row r="298" ht="15.75" customHeight="1" x14ac:dyDescent="0.4"/>
    <row r="299" ht="15.75" customHeight="1" x14ac:dyDescent="0.4"/>
    <row r="300" ht="15.75" customHeight="1" x14ac:dyDescent="0.4"/>
    <row r="301" ht="15.75" customHeight="1" x14ac:dyDescent="0.4"/>
    <row r="302" ht="15.75" customHeight="1" x14ac:dyDescent="0.4"/>
    <row r="303" ht="15.75" customHeight="1" x14ac:dyDescent="0.4"/>
    <row r="304" ht="15.75" customHeight="1" x14ac:dyDescent="0.4"/>
    <row r="305" ht="15.75" customHeight="1" x14ac:dyDescent="0.4"/>
    <row r="306" ht="15.75" customHeight="1" x14ac:dyDescent="0.4"/>
    <row r="307" ht="15.75" customHeight="1" x14ac:dyDescent="0.4"/>
    <row r="308" ht="15.75" customHeight="1" x14ac:dyDescent="0.4"/>
    <row r="309" ht="15.75" customHeight="1" x14ac:dyDescent="0.4"/>
    <row r="310" ht="15.75" customHeight="1" x14ac:dyDescent="0.4"/>
    <row r="311" ht="15.75" customHeight="1" x14ac:dyDescent="0.4"/>
    <row r="312" ht="15.75" customHeight="1" x14ac:dyDescent="0.4"/>
    <row r="313" ht="15.75" customHeight="1" x14ac:dyDescent="0.4"/>
    <row r="314" ht="15.75" customHeight="1" x14ac:dyDescent="0.4"/>
    <row r="315" ht="15.75" customHeight="1" x14ac:dyDescent="0.4"/>
    <row r="316" ht="15.75" customHeight="1" x14ac:dyDescent="0.4"/>
    <row r="317" ht="15.75" customHeight="1" x14ac:dyDescent="0.4"/>
    <row r="318" ht="15.75" customHeight="1" x14ac:dyDescent="0.4"/>
    <row r="319" ht="15.75" customHeight="1" x14ac:dyDescent="0.4"/>
    <row r="320" ht="15.75" customHeight="1" x14ac:dyDescent="0.4"/>
    <row r="321" ht="15.75" customHeight="1" x14ac:dyDescent="0.4"/>
    <row r="322" ht="15.75" customHeight="1" x14ac:dyDescent="0.4"/>
    <row r="323" ht="15.75" customHeight="1" x14ac:dyDescent="0.4"/>
    <row r="324" ht="15.75" customHeight="1" x14ac:dyDescent="0.4"/>
    <row r="325" ht="15.75" customHeight="1" x14ac:dyDescent="0.4"/>
    <row r="326" ht="15.75" customHeight="1" x14ac:dyDescent="0.4"/>
    <row r="327" ht="15.75" customHeight="1" x14ac:dyDescent="0.4"/>
    <row r="328" ht="15.75" customHeight="1" x14ac:dyDescent="0.4"/>
    <row r="329" ht="15.75" customHeight="1" x14ac:dyDescent="0.4"/>
    <row r="330" ht="15.75" customHeight="1" x14ac:dyDescent="0.4"/>
    <row r="331" ht="15.75" customHeight="1" x14ac:dyDescent="0.4"/>
    <row r="332" ht="15.75" customHeight="1" x14ac:dyDescent="0.4"/>
    <row r="333" ht="15.75" customHeight="1" x14ac:dyDescent="0.4"/>
    <row r="334" ht="15.75" customHeight="1" x14ac:dyDescent="0.4"/>
    <row r="335" ht="15.75" customHeight="1" x14ac:dyDescent="0.4"/>
    <row r="336" ht="15.75" customHeight="1" x14ac:dyDescent="0.4"/>
    <row r="337" ht="15.75" customHeight="1" x14ac:dyDescent="0.4"/>
    <row r="338" ht="15.75" customHeight="1" x14ac:dyDescent="0.4"/>
    <row r="339" ht="15.75" customHeight="1" x14ac:dyDescent="0.4"/>
    <row r="340" ht="15.75" customHeight="1" x14ac:dyDescent="0.4"/>
    <row r="341" ht="15.75" customHeight="1" x14ac:dyDescent="0.4"/>
    <row r="342" ht="15.75" customHeight="1" x14ac:dyDescent="0.4"/>
    <row r="343" ht="15.75" customHeight="1" x14ac:dyDescent="0.4"/>
    <row r="344" ht="15.75" customHeight="1" x14ac:dyDescent="0.4"/>
    <row r="345" ht="15.75" customHeight="1" x14ac:dyDescent="0.4"/>
    <row r="346" ht="15.75" customHeight="1" x14ac:dyDescent="0.4"/>
    <row r="347" ht="15.75" customHeight="1" x14ac:dyDescent="0.4"/>
    <row r="348" ht="15.75" customHeight="1" x14ac:dyDescent="0.4"/>
    <row r="349" ht="15.75" customHeight="1" x14ac:dyDescent="0.4"/>
    <row r="350" ht="15.75" customHeight="1" x14ac:dyDescent="0.4"/>
    <row r="351" ht="15.75" customHeight="1" x14ac:dyDescent="0.4"/>
    <row r="352" ht="15.75" customHeight="1" x14ac:dyDescent="0.4"/>
    <row r="353" ht="15.75" customHeight="1" x14ac:dyDescent="0.4"/>
    <row r="354" ht="15.75" customHeight="1" x14ac:dyDescent="0.4"/>
    <row r="355" ht="15.75" customHeight="1" x14ac:dyDescent="0.4"/>
    <row r="356" ht="15.75" customHeight="1" x14ac:dyDescent="0.4"/>
    <row r="357" ht="15.75" customHeight="1" x14ac:dyDescent="0.4"/>
    <row r="358" ht="15.75" customHeight="1" x14ac:dyDescent="0.4"/>
    <row r="359" ht="15.75" customHeight="1" x14ac:dyDescent="0.4"/>
    <row r="360" ht="15.75" customHeight="1" x14ac:dyDescent="0.4"/>
    <row r="361" ht="15.75" customHeight="1" x14ac:dyDescent="0.4"/>
    <row r="362" ht="15.75" customHeight="1" x14ac:dyDescent="0.4"/>
    <row r="363" ht="15.75" customHeight="1" x14ac:dyDescent="0.4"/>
    <row r="364" ht="15.75" customHeight="1" x14ac:dyDescent="0.4"/>
    <row r="365" ht="15.75" customHeight="1" x14ac:dyDescent="0.4"/>
    <row r="366" ht="15.75" customHeight="1" x14ac:dyDescent="0.4"/>
    <row r="367" ht="15.75" customHeight="1" x14ac:dyDescent="0.4"/>
    <row r="368" ht="15.75" customHeight="1" x14ac:dyDescent="0.4"/>
    <row r="369" ht="15.75" customHeight="1" x14ac:dyDescent="0.4"/>
    <row r="370" ht="15.75" customHeight="1" x14ac:dyDescent="0.4"/>
    <row r="371" ht="15.75" customHeight="1" x14ac:dyDescent="0.4"/>
    <row r="372" ht="15.75" customHeight="1" x14ac:dyDescent="0.4"/>
    <row r="373" ht="15.75" customHeight="1" x14ac:dyDescent="0.4"/>
    <row r="374" ht="15.75" customHeight="1" x14ac:dyDescent="0.4"/>
    <row r="375" ht="15.75" customHeight="1" x14ac:dyDescent="0.4"/>
    <row r="376" ht="15.75" customHeight="1" x14ac:dyDescent="0.4"/>
    <row r="377" ht="15.75" customHeight="1" x14ac:dyDescent="0.4"/>
    <row r="378" ht="15.75" customHeight="1" x14ac:dyDescent="0.4"/>
    <row r="379" ht="15.75" customHeight="1" x14ac:dyDescent="0.4"/>
    <row r="380" ht="15.75" customHeight="1" x14ac:dyDescent="0.4"/>
    <row r="381" ht="15.75" customHeight="1" x14ac:dyDescent="0.4"/>
    <row r="382" ht="15.75" customHeight="1" x14ac:dyDescent="0.4"/>
    <row r="383" ht="15.75" customHeight="1" x14ac:dyDescent="0.4"/>
    <row r="384" ht="15.75" customHeight="1" x14ac:dyDescent="0.4"/>
    <row r="385" ht="15.75" customHeight="1" x14ac:dyDescent="0.4"/>
    <row r="386" ht="15.75" customHeight="1" x14ac:dyDescent="0.4"/>
    <row r="387" ht="15.75" customHeight="1" x14ac:dyDescent="0.4"/>
    <row r="388" ht="15.75" customHeight="1" x14ac:dyDescent="0.4"/>
    <row r="389" ht="15.75" customHeight="1" x14ac:dyDescent="0.4"/>
    <row r="390" ht="15.75" customHeight="1" x14ac:dyDescent="0.4"/>
    <row r="391" ht="15.75" customHeight="1" x14ac:dyDescent="0.4"/>
    <row r="392" ht="15.75" customHeight="1" x14ac:dyDescent="0.4"/>
    <row r="393" ht="15.75" customHeight="1" x14ac:dyDescent="0.4"/>
    <row r="394" ht="15.75" customHeight="1" x14ac:dyDescent="0.4"/>
    <row r="395" ht="15.75" customHeight="1" x14ac:dyDescent="0.4"/>
    <row r="396" ht="15.75" customHeight="1" x14ac:dyDescent="0.4"/>
    <row r="397" ht="15.75" customHeight="1" x14ac:dyDescent="0.4"/>
    <row r="398" ht="15.75" customHeight="1" x14ac:dyDescent="0.4"/>
    <row r="399" ht="15.75" customHeight="1" x14ac:dyDescent="0.4"/>
    <row r="400" ht="15.75" customHeight="1" x14ac:dyDescent="0.4"/>
    <row r="401" ht="15.75" customHeight="1" x14ac:dyDescent="0.4"/>
    <row r="402" ht="15.75" customHeight="1" x14ac:dyDescent="0.4"/>
    <row r="403" ht="15.75" customHeight="1" x14ac:dyDescent="0.4"/>
    <row r="404" ht="15.75" customHeight="1" x14ac:dyDescent="0.4"/>
    <row r="405" ht="15.75" customHeight="1" x14ac:dyDescent="0.4"/>
    <row r="406" ht="15.75" customHeight="1" x14ac:dyDescent="0.4"/>
    <row r="407" ht="15.75" customHeight="1" x14ac:dyDescent="0.4"/>
    <row r="408" ht="15.75" customHeight="1" x14ac:dyDescent="0.4"/>
    <row r="409" ht="15.75" customHeight="1" x14ac:dyDescent="0.4"/>
    <row r="410" ht="15.75" customHeight="1" x14ac:dyDescent="0.4"/>
    <row r="411" ht="15.75" customHeight="1" x14ac:dyDescent="0.4"/>
    <row r="412" ht="15.75" customHeight="1" x14ac:dyDescent="0.4"/>
    <row r="413" ht="15.75" customHeight="1" x14ac:dyDescent="0.4"/>
    <row r="414" ht="15.75" customHeight="1" x14ac:dyDescent="0.4"/>
    <row r="415" ht="15.75" customHeight="1" x14ac:dyDescent="0.4"/>
    <row r="416" ht="15.75" customHeight="1" x14ac:dyDescent="0.4"/>
    <row r="417" ht="15.75" customHeight="1" x14ac:dyDescent="0.4"/>
    <row r="418" ht="15.75" customHeight="1" x14ac:dyDescent="0.4"/>
    <row r="419" ht="15.75" customHeight="1" x14ac:dyDescent="0.4"/>
    <row r="420" ht="15.75" customHeight="1" x14ac:dyDescent="0.4"/>
    <row r="421" ht="15.75" customHeight="1" x14ac:dyDescent="0.4"/>
    <row r="422" ht="15.75" customHeight="1" x14ac:dyDescent="0.4"/>
    <row r="423" ht="15.75" customHeight="1" x14ac:dyDescent="0.4"/>
    <row r="424" ht="15.75" customHeight="1" x14ac:dyDescent="0.4"/>
    <row r="425" ht="15.75" customHeight="1" x14ac:dyDescent="0.4"/>
    <row r="426" ht="15.75" customHeight="1" x14ac:dyDescent="0.4"/>
    <row r="427" ht="15.75" customHeight="1" x14ac:dyDescent="0.4"/>
    <row r="428" ht="15.75" customHeight="1" x14ac:dyDescent="0.4"/>
    <row r="429" ht="15.75" customHeight="1" x14ac:dyDescent="0.4"/>
    <row r="430" ht="15.75" customHeight="1" x14ac:dyDescent="0.4"/>
    <row r="431" ht="15.75" customHeight="1" x14ac:dyDescent="0.4"/>
    <row r="432" ht="15.75" customHeight="1" x14ac:dyDescent="0.4"/>
    <row r="433" ht="15.75" customHeight="1" x14ac:dyDescent="0.4"/>
    <row r="434" ht="15.75" customHeight="1" x14ac:dyDescent="0.4"/>
    <row r="435" ht="15.75" customHeight="1" x14ac:dyDescent="0.4"/>
    <row r="436" ht="15.75" customHeight="1" x14ac:dyDescent="0.4"/>
    <row r="437" ht="15.75" customHeight="1" x14ac:dyDescent="0.4"/>
    <row r="438" ht="15.75" customHeight="1" x14ac:dyDescent="0.4"/>
    <row r="439" ht="15.75" customHeight="1" x14ac:dyDescent="0.4"/>
    <row r="440" ht="15.75" customHeight="1" x14ac:dyDescent="0.4"/>
    <row r="441" ht="15.75" customHeight="1" x14ac:dyDescent="0.4"/>
    <row r="442" ht="15.75" customHeight="1" x14ac:dyDescent="0.4"/>
    <row r="443" ht="15.75" customHeight="1" x14ac:dyDescent="0.4"/>
    <row r="444" ht="15.75" customHeight="1" x14ac:dyDescent="0.4"/>
    <row r="445" ht="15.75" customHeight="1" x14ac:dyDescent="0.4"/>
    <row r="446" ht="15.75" customHeight="1" x14ac:dyDescent="0.4"/>
    <row r="447" ht="15.75" customHeight="1" x14ac:dyDescent="0.4"/>
    <row r="448" ht="15.75" customHeight="1" x14ac:dyDescent="0.4"/>
    <row r="449" ht="15.75" customHeight="1" x14ac:dyDescent="0.4"/>
    <row r="450" ht="15.75" customHeight="1" x14ac:dyDescent="0.4"/>
    <row r="451" ht="15.75" customHeight="1" x14ac:dyDescent="0.4"/>
    <row r="452" ht="15.75" customHeight="1" x14ac:dyDescent="0.4"/>
    <row r="453" ht="15.75" customHeight="1" x14ac:dyDescent="0.4"/>
    <row r="454" ht="15.75" customHeight="1" x14ac:dyDescent="0.4"/>
    <row r="455" ht="15.75" customHeight="1" x14ac:dyDescent="0.4"/>
    <row r="456" ht="15.75" customHeight="1" x14ac:dyDescent="0.4"/>
    <row r="457" ht="15.75" customHeight="1" x14ac:dyDescent="0.4"/>
    <row r="458" ht="15.75" customHeight="1" x14ac:dyDescent="0.4"/>
    <row r="459" ht="15.75" customHeight="1" x14ac:dyDescent="0.4"/>
    <row r="460" ht="15.75" customHeight="1" x14ac:dyDescent="0.4"/>
    <row r="461" ht="15.75" customHeight="1" x14ac:dyDescent="0.4"/>
    <row r="462" ht="15.75" customHeight="1" x14ac:dyDescent="0.4"/>
    <row r="463" ht="15.75" customHeight="1" x14ac:dyDescent="0.4"/>
    <row r="464" ht="15.75" customHeight="1" x14ac:dyDescent="0.4"/>
    <row r="465" ht="15.75" customHeight="1" x14ac:dyDescent="0.4"/>
    <row r="466" ht="15.75" customHeight="1" x14ac:dyDescent="0.4"/>
    <row r="467" ht="15.75" customHeight="1" x14ac:dyDescent="0.4"/>
    <row r="468" ht="15.75" customHeight="1" x14ac:dyDescent="0.4"/>
    <row r="469" ht="15.75" customHeight="1" x14ac:dyDescent="0.4"/>
    <row r="470" ht="15.75" customHeight="1" x14ac:dyDescent="0.4"/>
    <row r="471" ht="15.75" customHeight="1" x14ac:dyDescent="0.4"/>
    <row r="472" ht="15.75" customHeight="1" x14ac:dyDescent="0.4"/>
    <row r="473" ht="15.75" customHeight="1" x14ac:dyDescent="0.4"/>
    <row r="474" ht="15.75" customHeight="1" x14ac:dyDescent="0.4"/>
    <row r="475" ht="15.75" customHeight="1" x14ac:dyDescent="0.4"/>
    <row r="476" ht="15.75" customHeight="1" x14ac:dyDescent="0.4"/>
    <row r="477" ht="15.75" customHeight="1" x14ac:dyDescent="0.4"/>
    <row r="478" ht="15.75" customHeight="1" x14ac:dyDescent="0.4"/>
    <row r="479" ht="15.75" customHeight="1" x14ac:dyDescent="0.4"/>
    <row r="480" ht="15.75" customHeight="1" x14ac:dyDescent="0.4"/>
    <row r="481" ht="15.75" customHeight="1" x14ac:dyDescent="0.4"/>
    <row r="482" ht="15.75" customHeight="1" x14ac:dyDescent="0.4"/>
    <row r="483" ht="15.75" customHeight="1" x14ac:dyDescent="0.4"/>
    <row r="484" ht="15.75" customHeight="1" x14ac:dyDescent="0.4"/>
    <row r="485" ht="15.75" customHeight="1" x14ac:dyDescent="0.4"/>
    <row r="486" ht="15.75" customHeight="1" x14ac:dyDescent="0.4"/>
    <row r="487" ht="15.75" customHeight="1" x14ac:dyDescent="0.4"/>
    <row r="488" ht="15.75" customHeight="1" x14ac:dyDescent="0.4"/>
    <row r="489" ht="15.75" customHeight="1" x14ac:dyDescent="0.4"/>
    <row r="490" ht="15.75" customHeight="1" x14ac:dyDescent="0.4"/>
    <row r="491" ht="15.75" customHeight="1" x14ac:dyDescent="0.4"/>
    <row r="492" ht="15.75" customHeight="1" x14ac:dyDescent="0.4"/>
    <row r="493" ht="15.75" customHeight="1" x14ac:dyDescent="0.4"/>
    <row r="494" ht="15.75" customHeight="1" x14ac:dyDescent="0.4"/>
    <row r="495" ht="15.75" customHeight="1" x14ac:dyDescent="0.4"/>
    <row r="496" ht="15.75" customHeight="1" x14ac:dyDescent="0.4"/>
    <row r="497" ht="15.75" customHeight="1" x14ac:dyDescent="0.4"/>
    <row r="498" ht="15.75" customHeight="1" x14ac:dyDescent="0.4"/>
    <row r="499" ht="15.75" customHeight="1" x14ac:dyDescent="0.4"/>
    <row r="500" ht="15.75" customHeight="1" x14ac:dyDescent="0.4"/>
    <row r="501" ht="15.75" customHeight="1" x14ac:dyDescent="0.4"/>
    <row r="502" ht="15.75" customHeight="1" x14ac:dyDescent="0.4"/>
    <row r="503" ht="15.75" customHeight="1" x14ac:dyDescent="0.4"/>
    <row r="504" ht="15.75" customHeight="1" x14ac:dyDescent="0.4"/>
    <row r="505" ht="15.75" customHeight="1" x14ac:dyDescent="0.4"/>
    <row r="506" ht="15.75" customHeight="1" x14ac:dyDescent="0.4"/>
    <row r="507" ht="15.75" customHeight="1" x14ac:dyDescent="0.4"/>
    <row r="508" ht="15.75" customHeight="1" x14ac:dyDescent="0.4"/>
    <row r="509" ht="15.75" customHeight="1" x14ac:dyDescent="0.4"/>
    <row r="510" ht="15.75" customHeight="1" x14ac:dyDescent="0.4"/>
    <row r="511" ht="15.75" customHeight="1" x14ac:dyDescent="0.4"/>
    <row r="512" ht="15.75" customHeight="1" x14ac:dyDescent="0.4"/>
    <row r="513" ht="15.75" customHeight="1" x14ac:dyDescent="0.4"/>
    <row r="514" ht="15.75" customHeight="1" x14ac:dyDescent="0.4"/>
    <row r="515" ht="15.75" customHeight="1" x14ac:dyDescent="0.4"/>
    <row r="516" ht="15.75" customHeight="1" x14ac:dyDescent="0.4"/>
    <row r="517" ht="15.75" customHeight="1" x14ac:dyDescent="0.4"/>
    <row r="518" ht="15.75" customHeight="1" x14ac:dyDescent="0.4"/>
    <row r="519" ht="15.75" customHeight="1" x14ac:dyDescent="0.4"/>
    <row r="520" ht="15.75" customHeight="1" x14ac:dyDescent="0.4"/>
    <row r="521" ht="15.75" customHeight="1" x14ac:dyDescent="0.4"/>
    <row r="522" ht="15.75" customHeight="1" x14ac:dyDescent="0.4"/>
    <row r="523" ht="15.75" customHeight="1" x14ac:dyDescent="0.4"/>
    <row r="524" ht="15.75" customHeight="1" x14ac:dyDescent="0.4"/>
    <row r="525" ht="15.75" customHeight="1" x14ac:dyDescent="0.4"/>
    <row r="526" ht="15.75" customHeight="1" x14ac:dyDescent="0.4"/>
    <row r="527" ht="15.75" customHeight="1" x14ac:dyDescent="0.4"/>
    <row r="528" ht="15.75" customHeight="1" x14ac:dyDescent="0.4"/>
    <row r="529" ht="15.75" customHeight="1" x14ac:dyDescent="0.4"/>
    <row r="530" ht="15.75" customHeight="1" x14ac:dyDescent="0.4"/>
    <row r="531" ht="15.75" customHeight="1" x14ac:dyDescent="0.4"/>
    <row r="532" ht="15.75" customHeight="1" x14ac:dyDescent="0.4"/>
    <row r="533" ht="15.75" customHeight="1" x14ac:dyDescent="0.4"/>
    <row r="534" ht="15.75" customHeight="1" x14ac:dyDescent="0.4"/>
    <row r="535" ht="15.75" customHeight="1" x14ac:dyDescent="0.4"/>
    <row r="536" ht="15.75" customHeight="1" x14ac:dyDescent="0.4"/>
    <row r="537" ht="15.75" customHeight="1" x14ac:dyDescent="0.4"/>
    <row r="538" ht="15.75" customHeight="1" x14ac:dyDescent="0.4"/>
    <row r="539" ht="15.75" customHeight="1" x14ac:dyDescent="0.4"/>
    <row r="540" ht="15.75" customHeight="1" x14ac:dyDescent="0.4"/>
    <row r="541" ht="15.75" customHeight="1" x14ac:dyDescent="0.4"/>
    <row r="542" ht="15.75" customHeight="1" x14ac:dyDescent="0.4"/>
    <row r="543" ht="15.75" customHeight="1" x14ac:dyDescent="0.4"/>
    <row r="544" ht="15.75" customHeight="1" x14ac:dyDescent="0.4"/>
    <row r="545" ht="15.75" customHeight="1" x14ac:dyDescent="0.4"/>
    <row r="546" ht="15.75" customHeight="1" x14ac:dyDescent="0.4"/>
    <row r="547" ht="15.75" customHeight="1" x14ac:dyDescent="0.4"/>
    <row r="548" ht="15.75" customHeight="1" x14ac:dyDescent="0.4"/>
    <row r="549" ht="15.75" customHeight="1" x14ac:dyDescent="0.4"/>
    <row r="550" ht="15.75" customHeight="1" x14ac:dyDescent="0.4"/>
    <row r="551" ht="15.75" customHeight="1" x14ac:dyDescent="0.4"/>
    <row r="552" ht="15.75" customHeight="1" x14ac:dyDescent="0.4"/>
    <row r="553" ht="15.75" customHeight="1" x14ac:dyDescent="0.4"/>
    <row r="554" ht="15.75" customHeight="1" x14ac:dyDescent="0.4"/>
    <row r="555" ht="15.75" customHeight="1" x14ac:dyDescent="0.4"/>
    <row r="556" ht="15.75" customHeight="1" x14ac:dyDescent="0.4"/>
    <row r="557" ht="15.75" customHeight="1" x14ac:dyDescent="0.4"/>
    <row r="558" ht="15.75" customHeight="1" x14ac:dyDescent="0.4"/>
    <row r="559" ht="15.75" customHeight="1" x14ac:dyDescent="0.4"/>
    <row r="560" ht="15.75" customHeight="1" x14ac:dyDescent="0.4"/>
    <row r="561" ht="15.75" customHeight="1" x14ac:dyDescent="0.4"/>
    <row r="562" ht="15.75" customHeight="1" x14ac:dyDescent="0.4"/>
    <row r="563" ht="15.75" customHeight="1" x14ac:dyDescent="0.4"/>
    <row r="564" ht="15.75" customHeight="1" x14ac:dyDescent="0.4"/>
    <row r="565" ht="15.75" customHeight="1" x14ac:dyDescent="0.4"/>
    <row r="566" ht="15.75" customHeight="1" x14ac:dyDescent="0.4"/>
    <row r="567" ht="15.75" customHeight="1" x14ac:dyDescent="0.4"/>
    <row r="568" ht="15.75" customHeight="1" x14ac:dyDescent="0.4"/>
    <row r="569" ht="15.75" customHeight="1" x14ac:dyDescent="0.4"/>
    <row r="570" ht="15.75" customHeight="1" x14ac:dyDescent="0.4"/>
    <row r="571" ht="15.75" customHeight="1" x14ac:dyDescent="0.4"/>
    <row r="572" ht="15.75" customHeight="1" x14ac:dyDescent="0.4"/>
    <row r="573" ht="15.75" customHeight="1" x14ac:dyDescent="0.4"/>
    <row r="574" ht="15.75" customHeight="1" x14ac:dyDescent="0.4"/>
    <row r="575" ht="15.75" customHeight="1" x14ac:dyDescent="0.4"/>
    <row r="576" ht="15.75" customHeight="1" x14ac:dyDescent="0.4"/>
    <row r="577" ht="15.75" customHeight="1" x14ac:dyDescent="0.4"/>
    <row r="578" ht="15.75" customHeight="1" x14ac:dyDescent="0.4"/>
    <row r="579" ht="15.75" customHeight="1" x14ac:dyDescent="0.4"/>
    <row r="580" ht="15.75" customHeight="1" x14ac:dyDescent="0.4"/>
    <row r="581" ht="15.75" customHeight="1" x14ac:dyDescent="0.4"/>
    <row r="582" ht="15.75" customHeight="1" x14ac:dyDescent="0.4"/>
    <row r="583" ht="15.75" customHeight="1" x14ac:dyDescent="0.4"/>
    <row r="584" ht="15.75" customHeight="1" x14ac:dyDescent="0.4"/>
    <row r="585" ht="15.75" customHeight="1" x14ac:dyDescent="0.4"/>
    <row r="586" ht="15.75" customHeight="1" x14ac:dyDescent="0.4"/>
    <row r="587" ht="15.75" customHeight="1" x14ac:dyDescent="0.4"/>
    <row r="588" ht="15.75" customHeight="1" x14ac:dyDescent="0.4"/>
    <row r="589" ht="15.75" customHeight="1" x14ac:dyDescent="0.4"/>
    <row r="590" ht="15.75" customHeight="1" x14ac:dyDescent="0.4"/>
    <row r="591" ht="15.75" customHeight="1" x14ac:dyDescent="0.4"/>
    <row r="592" ht="15.75" customHeight="1" x14ac:dyDescent="0.4"/>
    <row r="593" ht="15.75" customHeight="1" x14ac:dyDescent="0.4"/>
    <row r="594" ht="15.75" customHeight="1" x14ac:dyDescent="0.4"/>
    <row r="595" ht="15.75" customHeight="1" x14ac:dyDescent="0.4"/>
    <row r="596" ht="15.75" customHeight="1" x14ac:dyDescent="0.4"/>
    <row r="597" ht="15.75" customHeight="1" x14ac:dyDescent="0.4"/>
    <row r="598" ht="15.75" customHeight="1" x14ac:dyDescent="0.4"/>
    <row r="599" ht="15.75" customHeight="1" x14ac:dyDescent="0.4"/>
    <row r="600" ht="15.75" customHeight="1" x14ac:dyDescent="0.4"/>
    <row r="601" ht="15.75" customHeight="1" x14ac:dyDescent="0.4"/>
    <row r="602" ht="15.75" customHeight="1" x14ac:dyDescent="0.4"/>
    <row r="603" ht="15.75" customHeight="1" x14ac:dyDescent="0.4"/>
    <row r="604" ht="15.75" customHeight="1" x14ac:dyDescent="0.4"/>
    <row r="605" ht="15.75" customHeight="1" x14ac:dyDescent="0.4"/>
    <row r="606" ht="15.75" customHeight="1" x14ac:dyDescent="0.4"/>
    <row r="607" ht="15.75" customHeight="1" x14ac:dyDescent="0.4"/>
    <row r="608" ht="15.75" customHeight="1" x14ac:dyDescent="0.4"/>
    <row r="609" ht="15.75" customHeight="1" x14ac:dyDescent="0.4"/>
    <row r="610" ht="15.75" customHeight="1" x14ac:dyDescent="0.4"/>
    <row r="611" ht="15.75" customHeight="1" x14ac:dyDescent="0.4"/>
    <row r="612" ht="15.75" customHeight="1" x14ac:dyDescent="0.4"/>
    <row r="613" ht="15.75" customHeight="1" x14ac:dyDescent="0.4"/>
    <row r="614" ht="15.75" customHeight="1" x14ac:dyDescent="0.4"/>
    <row r="615" ht="15.75" customHeight="1" x14ac:dyDescent="0.4"/>
    <row r="616" ht="15.75" customHeight="1" x14ac:dyDescent="0.4"/>
    <row r="617" ht="15.75" customHeight="1" x14ac:dyDescent="0.4"/>
    <row r="618" ht="15.75" customHeight="1" x14ac:dyDescent="0.4"/>
    <row r="619" ht="15.75" customHeight="1" x14ac:dyDescent="0.4"/>
    <row r="620" ht="15.75" customHeight="1" x14ac:dyDescent="0.4"/>
    <row r="621" ht="15.75" customHeight="1" x14ac:dyDescent="0.4"/>
    <row r="622" ht="15.75" customHeight="1" x14ac:dyDescent="0.4"/>
    <row r="623" ht="15.75" customHeight="1" x14ac:dyDescent="0.4"/>
    <row r="624" ht="15.75" customHeight="1" x14ac:dyDescent="0.4"/>
    <row r="625" ht="15.75" customHeight="1" x14ac:dyDescent="0.4"/>
    <row r="626" ht="15.75" customHeight="1" x14ac:dyDescent="0.4"/>
    <row r="627" ht="15.75" customHeight="1" x14ac:dyDescent="0.4"/>
    <row r="628" ht="15.75" customHeight="1" x14ac:dyDescent="0.4"/>
    <row r="629" ht="15.75" customHeight="1" x14ac:dyDescent="0.4"/>
    <row r="630" ht="15.75" customHeight="1" x14ac:dyDescent="0.4"/>
    <row r="631" ht="15.75" customHeight="1" x14ac:dyDescent="0.4"/>
    <row r="632" ht="15.75" customHeight="1" x14ac:dyDescent="0.4"/>
    <row r="633" ht="15.75" customHeight="1" x14ac:dyDescent="0.4"/>
    <row r="634" ht="15.75" customHeight="1" x14ac:dyDescent="0.4"/>
    <row r="635" ht="15.75" customHeight="1" x14ac:dyDescent="0.4"/>
    <row r="636" ht="15.75" customHeight="1" x14ac:dyDescent="0.4"/>
    <row r="637" ht="15.75" customHeight="1" x14ac:dyDescent="0.4"/>
    <row r="638" ht="15.75" customHeight="1" x14ac:dyDescent="0.4"/>
    <row r="639" ht="15.75" customHeight="1" x14ac:dyDescent="0.4"/>
    <row r="640" ht="15.75" customHeight="1" x14ac:dyDescent="0.4"/>
    <row r="641" ht="15.75" customHeight="1" x14ac:dyDescent="0.4"/>
    <row r="642" ht="15.75" customHeight="1" x14ac:dyDescent="0.4"/>
    <row r="643" ht="15.75" customHeight="1" x14ac:dyDescent="0.4"/>
    <row r="644" ht="15.75" customHeight="1" x14ac:dyDescent="0.4"/>
    <row r="645" ht="15.75" customHeight="1" x14ac:dyDescent="0.4"/>
    <row r="646" ht="15.75" customHeight="1" x14ac:dyDescent="0.4"/>
    <row r="647" ht="15.75" customHeight="1" x14ac:dyDescent="0.4"/>
    <row r="648" ht="15.75" customHeight="1" x14ac:dyDescent="0.4"/>
    <row r="649" ht="15.75" customHeight="1" x14ac:dyDescent="0.4"/>
    <row r="650" ht="15.75" customHeight="1" x14ac:dyDescent="0.4"/>
    <row r="651" ht="15.75" customHeight="1" x14ac:dyDescent="0.4"/>
    <row r="652" ht="15.75" customHeight="1" x14ac:dyDescent="0.4"/>
    <row r="653" ht="15.75" customHeight="1" x14ac:dyDescent="0.4"/>
    <row r="654" ht="15.75" customHeight="1" x14ac:dyDescent="0.4"/>
    <row r="655" ht="15.75" customHeight="1" x14ac:dyDescent="0.4"/>
    <row r="656" ht="15.75" customHeight="1" x14ac:dyDescent="0.4"/>
    <row r="657" ht="15.75" customHeight="1" x14ac:dyDescent="0.4"/>
    <row r="658" ht="15.75" customHeight="1" x14ac:dyDescent="0.4"/>
    <row r="659" ht="15.75" customHeight="1" x14ac:dyDescent="0.4"/>
    <row r="660" ht="15.75" customHeight="1" x14ac:dyDescent="0.4"/>
    <row r="661" ht="15.75" customHeight="1" x14ac:dyDescent="0.4"/>
    <row r="662" ht="15.75" customHeight="1" x14ac:dyDescent="0.4"/>
    <row r="663" ht="15.75" customHeight="1" x14ac:dyDescent="0.4"/>
    <row r="664" ht="15.75" customHeight="1" x14ac:dyDescent="0.4"/>
    <row r="665" ht="15.75" customHeight="1" x14ac:dyDescent="0.4"/>
    <row r="666" ht="15.75" customHeight="1" x14ac:dyDescent="0.4"/>
    <row r="667" ht="15.75" customHeight="1" x14ac:dyDescent="0.4"/>
    <row r="668" ht="15.75" customHeight="1" x14ac:dyDescent="0.4"/>
    <row r="669" ht="15.75" customHeight="1" x14ac:dyDescent="0.4"/>
    <row r="670" ht="15.75" customHeight="1" x14ac:dyDescent="0.4"/>
    <row r="671" ht="15.75" customHeight="1" x14ac:dyDescent="0.4"/>
    <row r="672" ht="15.75" customHeight="1" x14ac:dyDescent="0.4"/>
    <row r="673" ht="15.75" customHeight="1" x14ac:dyDescent="0.4"/>
    <row r="674" ht="15.75" customHeight="1" x14ac:dyDescent="0.4"/>
    <row r="675" ht="15.75" customHeight="1" x14ac:dyDescent="0.4"/>
    <row r="676" ht="15.75" customHeight="1" x14ac:dyDescent="0.4"/>
    <row r="677" ht="15.75" customHeight="1" x14ac:dyDescent="0.4"/>
    <row r="678" ht="15.75" customHeight="1" x14ac:dyDescent="0.4"/>
    <row r="679" ht="15.75" customHeight="1" x14ac:dyDescent="0.4"/>
    <row r="680" ht="15.75" customHeight="1" x14ac:dyDescent="0.4"/>
    <row r="681" ht="15.75" customHeight="1" x14ac:dyDescent="0.4"/>
    <row r="682" ht="15.75" customHeight="1" x14ac:dyDescent="0.4"/>
    <row r="683" ht="15.75" customHeight="1" x14ac:dyDescent="0.4"/>
    <row r="684" ht="15.75" customHeight="1" x14ac:dyDescent="0.4"/>
    <row r="685" ht="15.75" customHeight="1" x14ac:dyDescent="0.4"/>
    <row r="686" ht="15.75" customHeight="1" x14ac:dyDescent="0.4"/>
    <row r="687" ht="15.75" customHeight="1" x14ac:dyDescent="0.4"/>
    <row r="688" ht="15.75" customHeight="1" x14ac:dyDescent="0.4"/>
    <row r="689" ht="15.75" customHeight="1" x14ac:dyDescent="0.4"/>
    <row r="690" ht="15.75" customHeight="1" x14ac:dyDescent="0.4"/>
    <row r="691" ht="15.75" customHeight="1" x14ac:dyDescent="0.4"/>
    <row r="692" ht="15.75" customHeight="1" x14ac:dyDescent="0.4"/>
    <row r="693" ht="15.75" customHeight="1" x14ac:dyDescent="0.4"/>
    <row r="694" ht="15.75" customHeight="1" x14ac:dyDescent="0.4"/>
    <row r="695" ht="15.75" customHeight="1" x14ac:dyDescent="0.4"/>
    <row r="696" ht="15.75" customHeight="1" x14ac:dyDescent="0.4"/>
    <row r="697" ht="15.75" customHeight="1" x14ac:dyDescent="0.4"/>
    <row r="698" ht="15.75" customHeight="1" x14ac:dyDescent="0.4"/>
    <row r="699" ht="15.75" customHeight="1" x14ac:dyDescent="0.4"/>
    <row r="700" ht="15.75" customHeight="1" x14ac:dyDescent="0.4"/>
    <row r="701" ht="15.75" customHeight="1" x14ac:dyDescent="0.4"/>
    <row r="702" ht="15.75" customHeight="1" x14ac:dyDescent="0.4"/>
    <row r="703" ht="15.75" customHeight="1" x14ac:dyDescent="0.4"/>
    <row r="704" ht="15.75" customHeight="1" x14ac:dyDescent="0.4"/>
    <row r="705" ht="15.75" customHeight="1" x14ac:dyDescent="0.4"/>
    <row r="706" ht="15.75" customHeight="1" x14ac:dyDescent="0.4"/>
    <row r="707" ht="15.75" customHeight="1" x14ac:dyDescent="0.4"/>
    <row r="708" ht="15.75" customHeight="1" x14ac:dyDescent="0.4"/>
    <row r="709" ht="15.75" customHeight="1" x14ac:dyDescent="0.4"/>
    <row r="710" ht="15.75" customHeight="1" x14ac:dyDescent="0.4"/>
    <row r="711" ht="15.75" customHeight="1" x14ac:dyDescent="0.4"/>
    <row r="712" ht="15.75" customHeight="1" x14ac:dyDescent="0.4"/>
    <row r="713" ht="15.75" customHeight="1" x14ac:dyDescent="0.4"/>
    <row r="714" ht="15.75" customHeight="1" x14ac:dyDescent="0.4"/>
    <row r="715" ht="15.75" customHeight="1" x14ac:dyDescent="0.4"/>
    <row r="716" ht="15.75" customHeight="1" x14ac:dyDescent="0.4"/>
    <row r="717" ht="15.75" customHeight="1" x14ac:dyDescent="0.4"/>
    <row r="718" ht="15.75" customHeight="1" x14ac:dyDescent="0.4"/>
    <row r="719" ht="15.75" customHeight="1" x14ac:dyDescent="0.4"/>
    <row r="720" ht="15.75" customHeight="1" x14ac:dyDescent="0.4"/>
    <row r="721" ht="15.75" customHeight="1" x14ac:dyDescent="0.4"/>
    <row r="722" ht="15.75" customHeight="1" x14ac:dyDescent="0.4"/>
    <row r="723" ht="15.75" customHeight="1" x14ac:dyDescent="0.4"/>
    <row r="724" ht="15.75" customHeight="1" x14ac:dyDescent="0.4"/>
    <row r="725" ht="15.75" customHeight="1" x14ac:dyDescent="0.4"/>
    <row r="726" ht="15.75" customHeight="1" x14ac:dyDescent="0.4"/>
    <row r="727" ht="15.75" customHeight="1" x14ac:dyDescent="0.4"/>
    <row r="728" ht="15.75" customHeight="1" x14ac:dyDescent="0.4"/>
    <row r="729" ht="15.75" customHeight="1" x14ac:dyDescent="0.4"/>
    <row r="730" ht="15.75" customHeight="1" x14ac:dyDescent="0.4"/>
    <row r="731" ht="15.75" customHeight="1" x14ac:dyDescent="0.4"/>
    <row r="732" ht="15.75" customHeight="1" x14ac:dyDescent="0.4"/>
    <row r="733" ht="15.75" customHeight="1" x14ac:dyDescent="0.4"/>
    <row r="734" ht="15.75" customHeight="1" x14ac:dyDescent="0.4"/>
    <row r="735" ht="15.75" customHeight="1" x14ac:dyDescent="0.4"/>
    <row r="736" ht="15.75" customHeight="1" x14ac:dyDescent="0.4"/>
    <row r="737" ht="15.75" customHeight="1" x14ac:dyDescent="0.4"/>
    <row r="738" ht="15.75" customHeight="1" x14ac:dyDescent="0.4"/>
    <row r="739" ht="15.75" customHeight="1" x14ac:dyDescent="0.4"/>
    <row r="740" ht="15.75" customHeight="1" x14ac:dyDescent="0.4"/>
    <row r="741" ht="15.75" customHeight="1" x14ac:dyDescent="0.4"/>
    <row r="742" ht="15.75" customHeight="1" x14ac:dyDescent="0.4"/>
    <row r="743" ht="15.75" customHeight="1" x14ac:dyDescent="0.4"/>
    <row r="744" ht="15.75" customHeight="1" x14ac:dyDescent="0.4"/>
    <row r="745" ht="15.75" customHeight="1" x14ac:dyDescent="0.4"/>
    <row r="746" ht="15.75" customHeight="1" x14ac:dyDescent="0.4"/>
    <row r="747" ht="15.75" customHeight="1" x14ac:dyDescent="0.4"/>
    <row r="748" ht="15.75" customHeight="1" x14ac:dyDescent="0.4"/>
    <row r="749" ht="15.75" customHeight="1" x14ac:dyDescent="0.4"/>
    <row r="750" ht="15.75" customHeight="1" x14ac:dyDescent="0.4"/>
    <row r="751" ht="15.75" customHeight="1" x14ac:dyDescent="0.4"/>
    <row r="752" ht="15.75" customHeight="1" x14ac:dyDescent="0.4"/>
    <row r="753" ht="15.75" customHeight="1" x14ac:dyDescent="0.4"/>
    <row r="754" ht="15.75" customHeight="1" x14ac:dyDescent="0.4"/>
    <row r="755" ht="15.75" customHeight="1" x14ac:dyDescent="0.4"/>
    <row r="756" ht="15.75" customHeight="1" x14ac:dyDescent="0.4"/>
    <row r="757" ht="15.75" customHeight="1" x14ac:dyDescent="0.4"/>
    <row r="758" ht="15.75" customHeight="1" x14ac:dyDescent="0.4"/>
    <row r="759" ht="15.75" customHeight="1" x14ac:dyDescent="0.4"/>
    <row r="760" ht="15.75" customHeight="1" x14ac:dyDescent="0.4"/>
    <row r="761" ht="15.75" customHeight="1" x14ac:dyDescent="0.4"/>
    <row r="762" ht="15.75" customHeight="1" x14ac:dyDescent="0.4"/>
    <row r="763" ht="15.75" customHeight="1" x14ac:dyDescent="0.4"/>
    <row r="764" ht="15.75" customHeight="1" x14ac:dyDescent="0.4"/>
    <row r="765" ht="15.75" customHeight="1" x14ac:dyDescent="0.4"/>
    <row r="766" ht="15.75" customHeight="1" x14ac:dyDescent="0.4"/>
    <row r="767" ht="15.75" customHeight="1" x14ac:dyDescent="0.4"/>
    <row r="768" ht="15.75" customHeight="1" x14ac:dyDescent="0.4"/>
    <row r="769" ht="15.75" customHeight="1" x14ac:dyDescent="0.4"/>
    <row r="770" ht="15.75" customHeight="1" x14ac:dyDescent="0.4"/>
    <row r="771" ht="15.75" customHeight="1" x14ac:dyDescent="0.4"/>
    <row r="772" ht="15.75" customHeight="1" x14ac:dyDescent="0.4"/>
    <row r="773" ht="15.75" customHeight="1" x14ac:dyDescent="0.4"/>
    <row r="774" ht="15.75" customHeight="1" x14ac:dyDescent="0.4"/>
    <row r="775" ht="15.75" customHeight="1" x14ac:dyDescent="0.4"/>
    <row r="776" ht="15.75" customHeight="1" x14ac:dyDescent="0.4"/>
    <row r="777" ht="15.75" customHeight="1" x14ac:dyDescent="0.4"/>
    <row r="778" ht="15.75" customHeight="1" x14ac:dyDescent="0.4"/>
    <row r="779" ht="15.75" customHeight="1" x14ac:dyDescent="0.4"/>
    <row r="780" ht="15.75" customHeight="1" x14ac:dyDescent="0.4"/>
    <row r="781" ht="15.75" customHeight="1" x14ac:dyDescent="0.4"/>
    <row r="782" ht="15.75" customHeight="1" x14ac:dyDescent="0.4"/>
    <row r="783" ht="15.75" customHeight="1" x14ac:dyDescent="0.4"/>
    <row r="784" ht="15.75" customHeight="1" x14ac:dyDescent="0.4"/>
    <row r="785" ht="15.75" customHeight="1" x14ac:dyDescent="0.4"/>
    <row r="786" ht="15.75" customHeight="1" x14ac:dyDescent="0.4"/>
    <row r="787" ht="15.75" customHeight="1" x14ac:dyDescent="0.4"/>
    <row r="788" ht="15.75" customHeight="1" x14ac:dyDescent="0.4"/>
    <row r="789" ht="15.75" customHeight="1" x14ac:dyDescent="0.4"/>
    <row r="790" ht="15.75" customHeight="1" x14ac:dyDescent="0.4"/>
    <row r="791" ht="15.75" customHeight="1" x14ac:dyDescent="0.4"/>
    <row r="792" ht="15.75" customHeight="1" x14ac:dyDescent="0.4"/>
    <row r="793" ht="15.75" customHeight="1" x14ac:dyDescent="0.4"/>
    <row r="794" ht="15.75" customHeight="1" x14ac:dyDescent="0.4"/>
    <row r="795" ht="15.75" customHeight="1" x14ac:dyDescent="0.4"/>
    <row r="796" ht="15.75" customHeight="1" x14ac:dyDescent="0.4"/>
    <row r="797" ht="15.75" customHeight="1" x14ac:dyDescent="0.4"/>
    <row r="798" ht="15.75" customHeight="1" x14ac:dyDescent="0.4"/>
    <row r="799" ht="15.75" customHeight="1" x14ac:dyDescent="0.4"/>
    <row r="800" ht="15.75" customHeight="1" x14ac:dyDescent="0.4"/>
    <row r="801" ht="15.75" customHeight="1" x14ac:dyDescent="0.4"/>
    <row r="802" ht="15.75" customHeight="1" x14ac:dyDescent="0.4"/>
    <row r="803" ht="15.75" customHeight="1" x14ac:dyDescent="0.4"/>
    <row r="804" ht="15.75" customHeight="1" x14ac:dyDescent="0.4"/>
    <row r="805" ht="15.75" customHeight="1" x14ac:dyDescent="0.4"/>
    <row r="806" ht="15.75" customHeight="1" x14ac:dyDescent="0.4"/>
    <row r="807" ht="15.75" customHeight="1" x14ac:dyDescent="0.4"/>
    <row r="808" ht="15.75" customHeight="1" x14ac:dyDescent="0.4"/>
    <row r="809" ht="15.75" customHeight="1" x14ac:dyDescent="0.4"/>
    <row r="810" ht="15.75" customHeight="1" x14ac:dyDescent="0.4"/>
    <row r="811" ht="15.75" customHeight="1" x14ac:dyDescent="0.4"/>
    <row r="812" ht="15.75" customHeight="1" x14ac:dyDescent="0.4"/>
    <row r="813" ht="15.75" customHeight="1" x14ac:dyDescent="0.4"/>
    <row r="814" ht="15.75" customHeight="1" x14ac:dyDescent="0.4"/>
    <row r="815" ht="15.75" customHeight="1" x14ac:dyDescent="0.4"/>
    <row r="816" ht="15.75" customHeight="1" x14ac:dyDescent="0.4"/>
    <row r="817" ht="15.75" customHeight="1" x14ac:dyDescent="0.4"/>
    <row r="818" ht="15.75" customHeight="1" x14ac:dyDescent="0.4"/>
    <row r="819" ht="15.75" customHeight="1" x14ac:dyDescent="0.4"/>
    <row r="820" ht="15.75" customHeight="1" x14ac:dyDescent="0.4"/>
    <row r="821" ht="15.75" customHeight="1" x14ac:dyDescent="0.4"/>
    <row r="822" ht="15.75" customHeight="1" x14ac:dyDescent="0.4"/>
    <row r="823" ht="15.75" customHeight="1" x14ac:dyDescent="0.4"/>
    <row r="824" ht="15.75" customHeight="1" x14ac:dyDescent="0.4"/>
    <row r="825" ht="15.75" customHeight="1" x14ac:dyDescent="0.4"/>
    <row r="826" ht="15.75" customHeight="1" x14ac:dyDescent="0.4"/>
    <row r="827" ht="15.75" customHeight="1" x14ac:dyDescent="0.4"/>
    <row r="828" ht="15.75" customHeight="1" x14ac:dyDescent="0.4"/>
    <row r="829" ht="15.75" customHeight="1" x14ac:dyDescent="0.4"/>
    <row r="830" ht="15.75" customHeight="1" x14ac:dyDescent="0.4"/>
    <row r="831" ht="15.75" customHeight="1" x14ac:dyDescent="0.4"/>
    <row r="832" ht="15.75" customHeight="1" x14ac:dyDescent="0.4"/>
    <row r="833" ht="15.75" customHeight="1" x14ac:dyDescent="0.4"/>
    <row r="834" ht="15.75" customHeight="1" x14ac:dyDescent="0.4"/>
    <row r="835" ht="15.75" customHeight="1" x14ac:dyDescent="0.4"/>
    <row r="836" ht="15.75" customHeight="1" x14ac:dyDescent="0.4"/>
    <row r="837" ht="15.75" customHeight="1" x14ac:dyDescent="0.4"/>
    <row r="838" ht="15.75" customHeight="1" x14ac:dyDescent="0.4"/>
    <row r="839" ht="15.75" customHeight="1" x14ac:dyDescent="0.4"/>
    <row r="840" ht="15.75" customHeight="1" x14ac:dyDescent="0.4"/>
    <row r="841" ht="15.75" customHeight="1" x14ac:dyDescent="0.4"/>
    <row r="842" ht="15.75" customHeight="1" x14ac:dyDescent="0.4"/>
    <row r="843" ht="15.75" customHeight="1" x14ac:dyDescent="0.4"/>
    <row r="844" ht="15.75" customHeight="1" x14ac:dyDescent="0.4"/>
    <row r="845" ht="15.75" customHeight="1" x14ac:dyDescent="0.4"/>
    <row r="846" ht="15.75" customHeight="1" x14ac:dyDescent="0.4"/>
    <row r="847" ht="15.75" customHeight="1" x14ac:dyDescent="0.4"/>
    <row r="848" ht="15.75" customHeight="1" x14ac:dyDescent="0.4"/>
    <row r="849" ht="15.75" customHeight="1" x14ac:dyDescent="0.4"/>
    <row r="850" ht="15.75" customHeight="1" x14ac:dyDescent="0.4"/>
    <row r="851" ht="15.75" customHeight="1" x14ac:dyDescent="0.4"/>
    <row r="852" ht="15.75" customHeight="1" x14ac:dyDescent="0.4"/>
    <row r="853" ht="15.75" customHeight="1" x14ac:dyDescent="0.4"/>
    <row r="854" ht="15.75" customHeight="1" x14ac:dyDescent="0.4"/>
    <row r="855" ht="15.75" customHeight="1" x14ac:dyDescent="0.4"/>
    <row r="856" ht="15.75" customHeight="1" x14ac:dyDescent="0.4"/>
    <row r="857" ht="15.75" customHeight="1" x14ac:dyDescent="0.4"/>
    <row r="858" ht="15.75" customHeight="1" x14ac:dyDescent="0.4"/>
    <row r="859" ht="15.75" customHeight="1" x14ac:dyDescent="0.4"/>
    <row r="860" ht="15.75" customHeight="1" x14ac:dyDescent="0.4"/>
    <row r="861" ht="15.75" customHeight="1" x14ac:dyDescent="0.4"/>
    <row r="862" ht="15.75" customHeight="1" x14ac:dyDescent="0.4"/>
    <row r="863" ht="15.75" customHeight="1" x14ac:dyDescent="0.4"/>
    <row r="864" ht="15.75" customHeight="1" x14ac:dyDescent="0.4"/>
    <row r="865" ht="15.75" customHeight="1" x14ac:dyDescent="0.4"/>
    <row r="866" ht="15.75" customHeight="1" x14ac:dyDescent="0.4"/>
    <row r="867" ht="15.75" customHeight="1" x14ac:dyDescent="0.4"/>
    <row r="868" ht="15.75" customHeight="1" x14ac:dyDescent="0.4"/>
    <row r="869" ht="15.75" customHeight="1" x14ac:dyDescent="0.4"/>
    <row r="870" ht="15.75" customHeight="1" x14ac:dyDescent="0.4"/>
    <row r="871" ht="15.75" customHeight="1" x14ac:dyDescent="0.4"/>
    <row r="872" ht="15.75" customHeight="1" x14ac:dyDescent="0.4"/>
    <row r="873" ht="15.75" customHeight="1" x14ac:dyDescent="0.4"/>
    <row r="874" ht="15.75" customHeight="1" x14ac:dyDescent="0.4"/>
    <row r="875" ht="15.75" customHeight="1" x14ac:dyDescent="0.4"/>
    <row r="876" ht="15.75" customHeight="1" x14ac:dyDescent="0.4"/>
    <row r="877" ht="15.75" customHeight="1" x14ac:dyDescent="0.4"/>
    <row r="878" ht="15.75" customHeight="1" x14ac:dyDescent="0.4"/>
    <row r="879" ht="15.75" customHeight="1" x14ac:dyDescent="0.4"/>
    <row r="880" ht="15.75" customHeight="1" x14ac:dyDescent="0.4"/>
    <row r="881" ht="15.75" customHeight="1" x14ac:dyDescent="0.4"/>
    <row r="882" ht="15.75" customHeight="1" x14ac:dyDescent="0.4"/>
    <row r="883" ht="15.75" customHeight="1" x14ac:dyDescent="0.4"/>
    <row r="884" ht="15.75" customHeight="1" x14ac:dyDescent="0.4"/>
    <row r="885" ht="15.75" customHeight="1" x14ac:dyDescent="0.4"/>
    <row r="886" ht="15.75" customHeight="1" x14ac:dyDescent="0.4"/>
    <row r="887" ht="15.75" customHeight="1" x14ac:dyDescent="0.4"/>
    <row r="888" ht="15.75" customHeight="1" x14ac:dyDescent="0.4"/>
    <row r="889" ht="15.75" customHeight="1" x14ac:dyDescent="0.4"/>
    <row r="890" ht="15.75" customHeight="1" x14ac:dyDescent="0.4"/>
    <row r="891" ht="15.75" customHeight="1" x14ac:dyDescent="0.4"/>
    <row r="892" ht="15.75" customHeight="1" x14ac:dyDescent="0.4"/>
    <row r="893" ht="15.75" customHeight="1" x14ac:dyDescent="0.4"/>
    <row r="894" ht="15.75" customHeight="1" x14ac:dyDescent="0.4"/>
    <row r="895" ht="15.75" customHeight="1" x14ac:dyDescent="0.4"/>
    <row r="896" ht="15.75" customHeight="1" x14ac:dyDescent="0.4"/>
    <row r="897" ht="15.75" customHeight="1" x14ac:dyDescent="0.4"/>
    <row r="898" ht="15.75" customHeight="1" x14ac:dyDescent="0.4"/>
    <row r="899" ht="15.75" customHeight="1" x14ac:dyDescent="0.4"/>
    <row r="900" ht="15.75" customHeight="1" x14ac:dyDescent="0.4"/>
    <row r="901" ht="15.75" customHeight="1" x14ac:dyDescent="0.4"/>
    <row r="902" ht="15.75" customHeight="1" x14ac:dyDescent="0.4"/>
    <row r="903" ht="15.75" customHeight="1" x14ac:dyDescent="0.4"/>
    <row r="904" ht="15.75" customHeight="1" x14ac:dyDescent="0.4"/>
    <row r="905" ht="15.75" customHeight="1" x14ac:dyDescent="0.4"/>
    <row r="906" ht="15.75" customHeight="1" x14ac:dyDescent="0.4"/>
    <row r="907" ht="15.75" customHeight="1" x14ac:dyDescent="0.4"/>
    <row r="908" ht="15.75" customHeight="1" x14ac:dyDescent="0.4"/>
    <row r="909" ht="15.75" customHeight="1" x14ac:dyDescent="0.4"/>
    <row r="910" ht="15.75" customHeight="1" x14ac:dyDescent="0.4"/>
    <row r="911" ht="15.75" customHeight="1" x14ac:dyDescent="0.4"/>
    <row r="912" ht="15.75" customHeight="1" x14ac:dyDescent="0.4"/>
    <row r="913" ht="15.75" customHeight="1" x14ac:dyDescent="0.4"/>
    <row r="914" ht="15.75" customHeight="1" x14ac:dyDescent="0.4"/>
    <row r="915" ht="15.75" customHeight="1" x14ac:dyDescent="0.4"/>
    <row r="916" ht="15.75" customHeight="1" x14ac:dyDescent="0.4"/>
    <row r="917" ht="15.75" customHeight="1" x14ac:dyDescent="0.4"/>
    <row r="918" ht="15.75" customHeight="1" x14ac:dyDescent="0.4"/>
    <row r="919" ht="15.75" customHeight="1" x14ac:dyDescent="0.4"/>
    <row r="920" ht="15.75" customHeight="1" x14ac:dyDescent="0.4"/>
    <row r="921" ht="15.75" customHeight="1" x14ac:dyDescent="0.4"/>
    <row r="922" ht="15.75" customHeight="1" x14ac:dyDescent="0.4"/>
    <row r="923" ht="15.75" customHeight="1" x14ac:dyDescent="0.4"/>
    <row r="924" ht="15.75" customHeight="1" x14ac:dyDescent="0.4"/>
    <row r="925" ht="15.75" customHeight="1" x14ac:dyDescent="0.4"/>
    <row r="926" ht="15.75" customHeight="1" x14ac:dyDescent="0.4"/>
    <row r="927" ht="15.75" customHeight="1" x14ac:dyDescent="0.4"/>
    <row r="928" ht="15.75" customHeight="1" x14ac:dyDescent="0.4"/>
    <row r="929" ht="15.75" customHeight="1" x14ac:dyDescent="0.4"/>
    <row r="930" ht="15.75" customHeight="1" x14ac:dyDescent="0.4"/>
    <row r="931" ht="15.75" customHeight="1" x14ac:dyDescent="0.4"/>
    <row r="932" ht="15.75" customHeight="1" x14ac:dyDescent="0.4"/>
    <row r="933" ht="15.75" customHeight="1" x14ac:dyDescent="0.4"/>
    <row r="934" ht="15.75" customHeight="1" x14ac:dyDescent="0.4"/>
    <row r="935" ht="15.75" customHeight="1" x14ac:dyDescent="0.4"/>
    <row r="936" ht="15.75" customHeight="1" x14ac:dyDescent="0.4"/>
    <row r="937" ht="15.75" customHeight="1" x14ac:dyDescent="0.4"/>
    <row r="938" ht="15.75" customHeight="1" x14ac:dyDescent="0.4"/>
    <row r="939" ht="15.75" customHeight="1" x14ac:dyDescent="0.4"/>
    <row r="940" ht="15.75" customHeight="1" x14ac:dyDescent="0.4"/>
    <row r="941" ht="15.75" customHeight="1" x14ac:dyDescent="0.4"/>
    <row r="942" ht="15.75" customHeight="1" x14ac:dyDescent="0.4"/>
    <row r="943" ht="15.75" customHeight="1" x14ac:dyDescent="0.4"/>
    <row r="944" ht="15.75" customHeight="1" x14ac:dyDescent="0.4"/>
    <row r="945" ht="15.75" customHeight="1" x14ac:dyDescent="0.4"/>
    <row r="946" ht="15.75" customHeight="1" x14ac:dyDescent="0.4"/>
    <row r="947" ht="15.75" customHeight="1" x14ac:dyDescent="0.4"/>
    <row r="948" ht="15.75" customHeight="1" x14ac:dyDescent="0.4"/>
    <row r="949" ht="15.75" customHeight="1" x14ac:dyDescent="0.4"/>
    <row r="950" ht="15.75" customHeight="1" x14ac:dyDescent="0.4"/>
    <row r="951" ht="15.75" customHeight="1" x14ac:dyDescent="0.4"/>
    <row r="952" ht="15.75" customHeight="1" x14ac:dyDescent="0.4"/>
    <row r="953" ht="15.75" customHeight="1" x14ac:dyDescent="0.4"/>
    <row r="954" ht="15.75" customHeight="1" x14ac:dyDescent="0.4"/>
    <row r="955" ht="15.75" customHeight="1" x14ac:dyDescent="0.4"/>
    <row r="956" ht="15.75" customHeight="1" x14ac:dyDescent="0.4"/>
    <row r="957" ht="15.75" customHeight="1" x14ac:dyDescent="0.4"/>
    <row r="958" ht="15.75" customHeight="1" x14ac:dyDescent="0.4"/>
    <row r="959" ht="15.75" customHeight="1" x14ac:dyDescent="0.4"/>
    <row r="960" ht="15.75" customHeight="1" x14ac:dyDescent="0.4"/>
    <row r="961" ht="15.75" customHeight="1" x14ac:dyDescent="0.4"/>
    <row r="962" ht="15.75" customHeight="1" x14ac:dyDescent="0.4"/>
    <row r="963" ht="15.75" customHeight="1" x14ac:dyDescent="0.4"/>
    <row r="964" ht="15.75" customHeight="1" x14ac:dyDescent="0.4"/>
    <row r="965" ht="15.75" customHeight="1" x14ac:dyDescent="0.4"/>
    <row r="966" ht="15.75" customHeight="1" x14ac:dyDescent="0.4"/>
    <row r="967" ht="15.75" customHeight="1" x14ac:dyDescent="0.4"/>
    <row r="968" ht="15.75" customHeight="1" x14ac:dyDescent="0.4"/>
    <row r="969" ht="15.75" customHeight="1" x14ac:dyDescent="0.4"/>
    <row r="970" ht="15.75" customHeight="1" x14ac:dyDescent="0.4"/>
    <row r="971" ht="15.75" customHeight="1" x14ac:dyDescent="0.4"/>
    <row r="972" ht="15.75" customHeight="1" x14ac:dyDescent="0.4"/>
    <row r="973" ht="15.75" customHeight="1" x14ac:dyDescent="0.4"/>
    <row r="974" ht="15.75" customHeight="1" x14ac:dyDescent="0.4"/>
    <row r="975" ht="15.75" customHeight="1" x14ac:dyDescent="0.4"/>
    <row r="976" ht="15.75" customHeight="1" x14ac:dyDescent="0.4"/>
    <row r="977" ht="15.75" customHeight="1" x14ac:dyDescent="0.4"/>
    <row r="978" ht="15.75" customHeight="1" x14ac:dyDescent="0.4"/>
    <row r="979" ht="15.75" customHeight="1" x14ac:dyDescent="0.4"/>
    <row r="980" ht="15.75" customHeight="1" x14ac:dyDescent="0.4"/>
    <row r="981" ht="15.75" customHeight="1" x14ac:dyDescent="0.4"/>
    <row r="982" ht="15.75" customHeight="1" x14ac:dyDescent="0.4"/>
    <row r="983" ht="15.75" customHeight="1" x14ac:dyDescent="0.4"/>
    <row r="984" ht="15.75" customHeight="1" x14ac:dyDescent="0.4"/>
    <row r="985" ht="15.75" customHeight="1" x14ac:dyDescent="0.4"/>
    <row r="986" ht="15.75" customHeight="1" x14ac:dyDescent="0.4"/>
    <row r="987" ht="15.75" customHeight="1" x14ac:dyDescent="0.4"/>
    <row r="988" ht="15.75" customHeight="1" x14ac:dyDescent="0.4"/>
    <row r="989" ht="15.75" customHeight="1" x14ac:dyDescent="0.4"/>
    <row r="990" ht="15.75" customHeight="1" x14ac:dyDescent="0.4"/>
    <row r="991" ht="15.75" customHeight="1" x14ac:dyDescent="0.4"/>
    <row r="992" ht="15.75" customHeight="1" x14ac:dyDescent="0.4"/>
    <row r="993" ht="15.75" customHeight="1" x14ac:dyDescent="0.4"/>
    <row r="994" ht="15.75" customHeight="1" x14ac:dyDescent="0.4"/>
    <row r="995" ht="15.75" customHeight="1" x14ac:dyDescent="0.4"/>
    <row r="996" ht="15.75" customHeight="1" x14ac:dyDescent="0.4"/>
    <row r="997" ht="15.75" customHeight="1" x14ac:dyDescent="0.4"/>
    <row r="998" ht="15.75" customHeight="1" x14ac:dyDescent="0.4"/>
    <row r="999" ht="15.75" customHeight="1" x14ac:dyDescent="0.4"/>
    <row r="1000" ht="15.75" customHeight="1" x14ac:dyDescent="0.4"/>
  </sheetData>
  <sheetProtection password="DF7C" sheet="1" objects="1" scenarios="1"/>
  <autoFilter ref="A2:AU53">
    <filterColumn colId="1" showButton="0"/>
  </autoFilter>
  <mergeCells count="10">
    <mergeCell ref="B31:C31"/>
    <mergeCell ref="B40:C40"/>
    <mergeCell ref="B47:C47"/>
    <mergeCell ref="B2:C2"/>
    <mergeCell ref="B3:C3"/>
    <mergeCell ref="B4:C4"/>
    <mergeCell ref="B5:C5"/>
    <mergeCell ref="B14:C14"/>
    <mergeCell ref="B22:C22"/>
    <mergeCell ref="B30:C30"/>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06"/>
  <sheetViews>
    <sheetView zoomScale="30" zoomScaleNormal="30" workbookViewId="0">
      <pane xSplit="3" ySplit="3" topLeftCell="K4" activePane="bottomRight" state="frozen"/>
      <selection pane="topRight" activeCell="D1" sqref="D1"/>
      <selection pane="bottomLeft" activeCell="A4" sqref="A4"/>
      <selection pane="bottomRight" activeCell="M15" sqref="M15"/>
    </sheetView>
  </sheetViews>
  <sheetFormatPr baseColWidth="10" defaultColWidth="51.6640625" defaultRowHeight="14.4" x14ac:dyDescent="0.3"/>
  <cols>
    <col min="1" max="1" width="10.109375" customWidth="1"/>
    <col min="2" max="2" width="156.44140625" customWidth="1"/>
    <col min="3" max="3" width="29.33203125" style="7" customWidth="1"/>
    <col min="4" max="4" width="58.88671875" style="7" customWidth="1"/>
    <col min="5" max="6" width="59.88671875" style="7" customWidth="1"/>
    <col min="7" max="7" width="55" style="7" customWidth="1"/>
    <col min="8" max="8" width="74.21875" style="7" customWidth="1"/>
    <col min="9" max="9" width="64.44140625" hidden="1" customWidth="1"/>
    <col min="10" max="10" width="57.6640625" hidden="1" customWidth="1"/>
    <col min="11" max="11" width="67.6640625" customWidth="1"/>
    <col min="12" max="12" width="70.88671875" customWidth="1"/>
    <col min="13" max="13" width="68.109375" customWidth="1"/>
    <col min="14" max="14" width="80.88671875" customWidth="1"/>
    <col min="15" max="15" width="77.88671875" customWidth="1"/>
    <col min="16" max="16" width="70.77734375" customWidth="1"/>
    <col min="17" max="18" width="66.6640625" customWidth="1"/>
    <col min="19" max="19" width="58.109375" hidden="1" customWidth="1"/>
    <col min="20" max="20" width="45.88671875" hidden="1" customWidth="1"/>
  </cols>
  <sheetData>
    <row r="1" spans="2:25" ht="31.2" customHeight="1" thickBot="1" x14ac:dyDescent="0.7">
      <c r="M1" s="820"/>
      <c r="N1" s="821"/>
      <c r="O1" s="821"/>
    </row>
    <row r="2" spans="2:25" s="48" customFormat="1" ht="140.4" customHeight="1" thickBot="1" x14ac:dyDescent="0.4">
      <c r="B2" s="44"/>
      <c r="C2" s="78" t="s">
        <v>1161</v>
      </c>
      <c r="D2" s="45" t="s">
        <v>2544</v>
      </c>
      <c r="E2" s="1039" t="s">
        <v>2543</v>
      </c>
      <c r="F2" s="46" t="s">
        <v>2563</v>
      </c>
      <c r="G2" s="1039" t="s">
        <v>1984</v>
      </c>
      <c r="H2" s="46" t="s">
        <v>2542</v>
      </c>
      <c r="I2" s="1147" t="s">
        <v>6</v>
      </c>
      <c r="J2" s="1147" t="s">
        <v>1875</v>
      </c>
      <c r="K2" s="998" t="s">
        <v>2475</v>
      </c>
      <c r="L2" s="997" t="s">
        <v>2551</v>
      </c>
      <c r="M2" s="998" t="s">
        <v>1848</v>
      </c>
      <c r="N2" s="998" t="s">
        <v>2476</v>
      </c>
      <c r="O2" s="997" t="s">
        <v>2545</v>
      </c>
      <c r="P2" s="998" t="s">
        <v>1849</v>
      </c>
      <c r="Q2" s="998" t="s">
        <v>2477</v>
      </c>
      <c r="R2" s="997" t="s">
        <v>2587</v>
      </c>
      <c r="S2" s="47" t="s">
        <v>1158</v>
      </c>
      <c r="T2" s="47" t="s">
        <v>1157</v>
      </c>
    </row>
    <row r="3" spans="2:25" ht="193.2" customHeight="1" thickTop="1" thickBot="1" x14ac:dyDescent="1.1499999999999999">
      <c r="B3" s="49" t="s">
        <v>1159</v>
      </c>
      <c r="C3" s="43"/>
      <c r="D3" s="1000">
        <f t="shared" ref="D3" si="0">+(D4+D46+D92+D123+D161+D198)/6</f>
        <v>0.24769660011883976</v>
      </c>
      <c r="E3" s="1040">
        <f>+(E4+E46+E92+E123+E161+E198)/6</f>
        <v>0.29256753414565928</v>
      </c>
      <c r="F3" s="698">
        <f>+(F4+F46+F92+F123+F161+F198)/6</f>
        <v>0.31728941041665748</v>
      </c>
      <c r="G3" s="1288">
        <f t="shared" ref="G3:H5" si="1">+M3+E3</f>
        <v>0.49224665044696558</v>
      </c>
      <c r="H3" s="1155">
        <f t="shared" si="1"/>
        <v>0.80223711421976773</v>
      </c>
      <c r="I3" s="999">
        <f>+(I4+I46+I92+I123+I161+I198)/6</f>
        <v>0.17694181972502762</v>
      </c>
      <c r="J3" s="999">
        <f t="shared" ref="J3:P3" si="2">+(J4+J46+J92+J123+J161+J198)/6</f>
        <v>0.25280387096698398</v>
      </c>
      <c r="K3" s="1288">
        <f>+(K4+K46+K92+K123+K161+K198)/6</f>
        <v>0.84057533830791298</v>
      </c>
      <c r="L3" s="1155">
        <f>+(L4+L46+L92+L123+L161+L198)/6</f>
        <v>0.18501820403177074</v>
      </c>
      <c r="M3" s="1288">
        <f t="shared" si="2"/>
        <v>0.1996791163013063</v>
      </c>
      <c r="N3" s="1288">
        <f>+(N4+N46+N92+N123+N161+N198)/6</f>
        <v>0.4849477038031102</v>
      </c>
      <c r="O3" s="1155">
        <f>+(O4+O46+O92+O123+O161+O198)/6</f>
        <v>0.52319293972307812</v>
      </c>
      <c r="P3" s="109">
        <f t="shared" si="2"/>
        <v>0.16573381852847205</v>
      </c>
      <c r="Q3" s="109">
        <f>+(Q4*C4)+(Q46*C46)+(Q92*C92)+(Q123*C123)+(C161*Q161)+(Q198*C198)</f>
        <v>0.45156450190221792</v>
      </c>
      <c r="R3" s="1287">
        <f>+(R4*C4)+(R46*C46)+(R92*C92)+(R123*C123)+(R161*C161)+(R198*C198)</f>
        <v>0.49708320477254825</v>
      </c>
      <c r="S3" s="40"/>
      <c r="T3" s="1"/>
      <c r="U3" s="22"/>
      <c r="X3" s="8">
        <v>697</v>
      </c>
      <c r="Y3" s="775">
        <f>1/X3</f>
        <v>1.4347202295552368E-3</v>
      </c>
    </row>
    <row r="4" spans="2:25" ht="98.4" customHeight="1" thickTop="1" x14ac:dyDescent="0.55000000000000004">
      <c r="B4" s="41" t="str">
        <f>+'Seguridad Humana'!B3:C3</f>
        <v xml:space="preserve"> SEGURIDAD HUMANA
</v>
      </c>
      <c r="C4" s="1589">
        <v>0.3</v>
      </c>
      <c r="D4" s="26">
        <f>+'Seguridad Humana'!J3</f>
        <v>0.27144914611233045</v>
      </c>
      <c r="E4" s="26">
        <f>+'Seguridad Humana'!K3</f>
        <v>0.37391117816579211</v>
      </c>
      <c r="F4" s="26">
        <f>+'Seguridad Humana'!L3</f>
        <v>0.27891300774404798</v>
      </c>
      <c r="G4" s="26">
        <f t="shared" si="1"/>
        <v>0.62879210773800021</v>
      </c>
      <c r="H4" s="26">
        <f t="shared" si="1"/>
        <v>0.79931262285361604</v>
      </c>
      <c r="I4" s="26">
        <f>+'Seguridad Humana'!M3</f>
        <v>0.1963447624265218</v>
      </c>
      <c r="J4" s="26">
        <f>+'Seguridad Humana'!N3</f>
        <v>0.2531166550657612</v>
      </c>
      <c r="K4" s="26">
        <f>+'Seguridad Humana'!AD3</f>
        <v>0.84734962769466726</v>
      </c>
      <c r="L4" s="26">
        <f>+'Seguridad Humana'!AE3</f>
        <v>0.19121125187168028</v>
      </c>
      <c r="M4" s="26">
        <f>+'Seguridad Humana'!AI3</f>
        <v>0.25488092957220809</v>
      </c>
      <c r="N4" s="26">
        <f>+'Seguridad Humana'!AJ3</f>
        <v>0.52039961510956811</v>
      </c>
      <c r="O4" s="26">
        <f>+'Seguridad Humana'!AK3</f>
        <v>0.55531722153017071</v>
      </c>
      <c r="P4" s="42">
        <f>+'Seguridad Humana'!AL3</f>
        <v>0.21296825159703686</v>
      </c>
      <c r="Q4" s="42">
        <f>+'Seguridad Humana'!AM3</f>
        <v>0.47908249879234166</v>
      </c>
      <c r="R4" s="42">
        <f>+'Seguridad Humana'!AN3</f>
        <v>0.52120742165003209</v>
      </c>
      <c r="S4" s="25"/>
      <c r="T4" s="2"/>
      <c r="U4" s="781"/>
      <c r="Y4" s="9"/>
    </row>
    <row r="5" spans="2:25" ht="70.95" customHeight="1" x14ac:dyDescent="0.7">
      <c r="B5" s="30" t="str">
        <f>+'Seguridad Humana'!B4:C4</f>
        <v xml:space="preserve"> Seguridad Ciudadana y Orden Público 
</v>
      </c>
      <c r="C5" s="1589"/>
      <c r="D5" s="23">
        <f t="shared" ref="D5" si="3">+(D6+D7+D8+D9+D10)/5</f>
        <v>0.40844696306703598</v>
      </c>
      <c r="E5" s="23">
        <f>+(E6+E7+E8+E9+E10)/5</f>
        <v>0.48443538520711044</v>
      </c>
      <c r="F5" s="23">
        <f>+(F6+F7+F8+F9+F10)/5</f>
        <v>0.24186410221274723</v>
      </c>
      <c r="G5" s="23">
        <f t="shared" si="1"/>
        <v>0.88476840343177321</v>
      </c>
      <c r="H5" s="23">
        <f t="shared" si="1"/>
        <v>0.88249604373855894</v>
      </c>
      <c r="I5" s="24">
        <f>+(I6+I7+I8+I9+I10)/5</f>
        <v>0.35458117744760276</v>
      </c>
      <c r="J5" s="24">
        <f t="shared" ref="J5" si="4">+(J6+J7+J8+J9+J10)/5</f>
        <v>0.27871913155614692</v>
      </c>
      <c r="K5" s="689">
        <f>+(K6+K7+K8+K9+K10)/5</f>
        <v>0.77851983833052174</v>
      </c>
      <c r="L5" s="689">
        <f>+(L6+L7+L8+L9+L10)/5</f>
        <v>2.600938597354862E-2</v>
      </c>
      <c r="M5" s="23">
        <f>+(M6+M7+M8+M9+M10)/5</f>
        <v>0.40033301822466277</v>
      </c>
      <c r="N5" s="23">
        <f>+(N6+N7+N8+N9+N10)/5</f>
        <v>0.64063194152581171</v>
      </c>
      <c r="O5" s="23">
        <f>+(O6+O7+O8+O9+O10)/5</f>
        <v>0.65510371930358957</v>
      </c>
      <c r="P5" s="31">
        <f>+(P6+P7+P8+P9+P10)</f>
        <v>0.34369348640612268</v>
      </c>
      <c r="Q5" s="31">
        <f>+'Seguridad Humana'!AM4</f>
        <v>0.56618942768161484</v>
      </c>
      <c r="R5" s="31">
        <f>+'Seguridad Humana'!AN4</f>
        <v>0.57576906657050364</v>
      </c>
      <c r="S5" s="25"/>
      <c r="T5" s="2"/>
      <c r="U5" s="83"/>
      <c r="Y5" s="4"/>
    </row>
    <row r="6" spans="2:25" ht="43.2" customHeight="1" x14ac:dyDescent="0.7">
      <c r="B6" s="32" t="str">
        <f>+'Seguridad Humana'!B5</f>
        <v xml:space="preserve"> PLAN ESTRATÉGICO DE SEGURIDAD INTEGRAL TITAN 24</v>
      </c>
      <c r="C6" s="1589"/>
      <c r="D6" s="5">
        <f>+'Seguridad Humana'!J5</f>
        <v>0.37666666666666665</v>
      </c>
      <c r="E6" s="5">
        <f>+'Seguridad Humana'!K5</f>
        <v>0.38750000000000001</v>
      </c>
      <c r="F6" s="5">
        <f>+'Seguridad Humana'!L5</f>
        <v>0.15625</v>
      </c>
      <c r="G6" s="5">
        <f>+M6+E6</f>
        <v>0.6875</v>
      </c>
      <c r="H6" s="5">
        <f t="shared" ref="H6:H68" si="5">+N6+F6</f>
        <v>0.56624999999999992</v>
      </c>
      <c r="I6" s="5">
        <f>+'Seguridad Humana'!M5</f>
        <v>0.26083333333333331</v>
      </c>
      <c r="J6" s="5">
        <f>+'Seguridad Humana'!N5</f>
        <v>0.17749999999999999</v>
      </c>
      <c r="K6" s="5">
        <f>+'Seguridad Humana'!AD5</f>
        <v>0.75</v>
      </c>
      <c r="L6" s="5"/>
      <c r="M6" s="5">
        <f>+'Seguridad Humana'!AI5</f>
        <v>0.3</v>
      </c>
      <c r="N6" s="5">
        <f>+'Seguridad Humana'!AJ5</f>
        <v>0.41</v>
      </c>
      <c r="O6" s="1298">
        <f>+'Seguridad Humana'!AK5</f>
        <v>0.43249999999999994</v>
      </c>
      <c r="P6" s="33">
        <f>+'Seguridad Humana'!AL5</f>
        <v>0.109375</v>
      </c>
      <c r="Q6" s="33">
        <f>+'Seguridad Humana'!AM5</f>
        <v>0.39</v>
      </c>
      <c r="R6" s="33">
        <f>+'Seguridad Humana'!AN5</f>
        <v>0.40312500000000007</v>
      </c>
      <c r="S6" s="25"/>
      <c r="T6" s="2"/>
      <c r="U6" s="83"/>
    </row>
    <row r="7" spans="2:25" ht="28.2" customHeight="1" x14ac:dyDescent="0.7">
      <c r="B7" s="32" t="str">
        <f>+'Seguridad Humana'!B12:C12</f>
        <v>EL CUERPO DE BOMBEROS AVANZA</v>
      </c>
      <c r="C7" s="1589"/>
      <c r="D7" s="5">
        <f>+'Seguridad Humana'!J12</f>
        <v>0.66600000000000004</v>
      </c>
      <c r="E7" s="5">
        <f>+'Seguridad Humana'!K12</f>
        <v>1</v>
      </c>
      <c r="F7" s="5">
        <f>+'Seguridad Humana'!L12</f>
        <v>0.33333333333333331</v>
      </c>
      <c r="G7" s="5">
        <v>1</v>
      </c>
      <c r="H7" s="5">
        <f t="shared" si="5"/>
        <v>1</v>
      </c>
      <c r="I7" s="5">
        <f>+'Seguridad Humana'!M12</f>
        <v>0.35</v>
      </c>
      <c r="J7" s="5">
        <f>+'Seguridad Humana'!N12</f>
        <v>0.35</v>
      </c>
      <c r="K7" s="5">
        <f>+'Seguridad Humana'!AD12</f>
        <v>0.5</v>
      </c>
      <c r="L7" s="5">
        <f>+'Seguridad Humana'!AE12</f>
        <v>0</v>
      </c>
      <c r="M7" s="5">
        <f>+'Seguridad Humana'!AI12</f>
        <v>0.66600000000000004</v>
      </c>
      <c r="N7" s="652">
        <f>+'Seguridad Humana'!AJ12</f>
        <v>0.66666666666666663</v>
      </c>
      <c r="O7" s="652">
        <f>+'Seguridad Humana'!AK12</f>
        <v>0.66666666666666663</v>
      </c>
      <c r="P7" s="33">
        <f>+'Seguridad Humana'!AL12</f>
        <v>9.7499999999999989E-2</v>
      </c>
      <c r="Q7" s="33">
        <f>+'Seguridad Humana'!AM12</f>
        <v>0.64999999999999991</v>
      </c>
      <c r="R7" s="33">
        <f>+'Seguridad Humana'!AN12</f>
        <v>0.64999999999999991</v>
      </c>
      <c r="S7" s="25"/>
      <c r="T7" s="2"/>
      <c r="U7" s="83"/>
    </row>
    <row r="8" spans="2:25" ht="45" customHeight="1" x14ac:dyDescent="0.7">
      <c r="B8" s="32" t="str">
        <f>+'Seguridad Humana'!B16:C16</f>
        <v>SEGURIDAD YA CON DOTACIÓN A LOS ORGANISMOS DE SEGURIDAD, SOCORRO, JUSTICIA Y CONVIVENCIA Y TECNOLOGÍA PARA LA PREVENCIÓN</v>
      </c>
      <c r="C8" s="1589"/>
      <c r="D8" s="5">
        <f>+'Seguridad Humana'!J16</f>
        <v>0.21866537089073543</v>
      </c>
      <c r="E8" s="5">
        <f>+'Seguridad Humana'!K16</f>
        <v>0.52361748159110777</v>
      </c>
      <c r="F8" s="5">
        <f>+'Seguridad Humana'!L16</f>
        <v>0.27343801106373616</v>
      </c>
      <c r="G8" s="5">
        <f t="shared" ref="G8:G39" si="6">+M8+E8</f>
        <v>0.71259979493664383</v>
      </c>
      <c r="H8" s="5">
        <f t="shared" si="5"/>
        <v>0.98018855202612842</v>
      </c>
      <c r="I8" s="5">
        <f>+'Seguridad Humana'!M16</f>
        <v>0.23116977612690295</v>
      </c>
      <c r="J8" s="5">
        <f>+'Seguridad Humana'!N16</f>
        <v>0.53003621333629014</v>
      </c>
      <c r="K8" s="5">
        <f>+'Seguridad Humana'!AD16</f>
        <v>0.76968252498594181</v>
      </c>
      <c r="L8" s="5">
        <f>+'Seguridad Humana'!AE16</f>
        <v>0</v>
      </c>
      <c r="M8" s="85">
        <f>+'Seguridad Humana'!AI16</f>
        <v>0.18898231334553608</v>
      </c>
      <c r="N8" s="5">
        <f>+'Seguridad Humana'!AJ16</f>
        <v>0.70675054096239232</v>
      </c>
      <c r="O8" s="5">
        <f>+'Seguridad Humana'!AK16</f>
        <v>0.70675054096239232</v>
      </c>
      <c r="P8" s="33">
        <f>+'Seguridad Humana'!AL16</f>
        <v>3.7150208628344908E-2</v>
      </c>
      <c r="Q8" s="33">
        <f>+'Seguridad Humana'!AM16</f>
        <v>0.60071725893871608</v>
      </c>
      <c r="R8" s="33">
        <f>+'Seguridad Humana'!AN16</f>
        <v>0.60071725893871608</v>
      </c>
      <c r="S8" s="25"/>
      <c r="T8" s="2"/>
      <c r="U8" s="83"/>
    </row>
    <row r="9" spans="2:25" ht="36" customHeight="1" x14ac:dyDescent="0.7">
      <c r="B9" s="32" t="str">
        <f>+'Seguridad Humana'!B23:C23</f>
        <v xml:space="preserve"> SEGURIDAD YA EN LAS PLAYAS DE CARTAGENA</v>
      </c>
      <c r="C9" s="1589"/>
      <c r="D9" s="5">
        <f>+'Seguridad Humana'!J23</f>
        <v>0.625</v>
      </c>
      <c r="E9" s="5">
        <f>+'Seguridad Humana'!K23</f>
        <v>0.25</v>
      </c>
      <c r="F9" s="5">
        <f>+'Seguridad Humana'!L23</f>
        <v>0.125</v>
      </c>
      <c r="G9" s="5">
        <f t="shared" si="6"/>
        <v>0.875</v>
      </c>
      <c r="H9" s="5">
        <f t="shared" si="5"/>
        <v>0.875</v>
      </c>
      <c r="I9" s="85">
        <f>+'Seguridad Humana'!M23</f>
        <v>0.77499999999999991</v>
      </c>
      <c r="J9" s="5">
        <f>+'Seguridad Humana'!N23</f>
        <v>7.4999999999999997E-2</v>
      </c>
      <c r="K9" s="5">
        <f>+'Seguridad Humana'!AD23</f>
        <v>1</v>
      </c>
      <c r="L9" s="5">
        <f>+'Seguridad Humana'!AE23</f>
        <v>0</v>
      </c>
      <c r="M9" s="5">
        <f>+'Seguridad Humana'!AI23</f>
        <v>0.625</v>
      </c>
      <c r="N9" s="5">
        <f>+'Seguridad Humana'!AJ23</f>
        <v>0.75</v>
      </c>
      <c r="O9" s="5">
        <f>+'Seguridad Humana'!AK23</f>
        <v>0.75</v>
      </c>
      <c r="P9" s="33">
        <f>+'Seguridad Humana'!AL23</f>
        <v>7.7499999999999999E-2</v>
      </c>
      <c r="Q9" s="33">
        <f>+'Seguridad Humana'!AM23</f>
        <v>0.85</v>
      </c>
      <c r="R9" s="33">
        <f>+'Seguridad Humana'!AN23</f>
        <v>0.85</v>
      </c>
      <c r="S9" s="25"/>
      <c r="T9" s="2"/>
      <c r="U9" s="83"/>
    </row>
    <row r="10" spans="2:25" ht="48" customHeight="1" x14ac:dyDescent="0.7">
      <c r="B10" s="32" t="str">
        <f>+'Seguridad Humana'!B26:C26</f>
        <v xml:space="preserve"> EDUCACIÓN, CULTURA Y SEGURIDAD VIAL PARA AVANZAR</v>
      </c>
      <c r="C10" s="1589"/>
      <c r="D10" s="5">
        <f>+'Seguridad Humana'!J26</f>
        <v>0.15590277777777778</v>
      </c>
      <c r="E10" s="5">
        <f>+'Seguridad Humana'!K26</f>
        <v>0.26105944444444446</v>
      </c>
      <c r="F10" s="5">
        <f>+'Seguridad Humana'!L26</f>
        <v>0.32129916666666669</v>
      </c>
      <c r="G10" s="5">
        <f t="shared" si="6"/>
        <v>0.48274222222222224</v>
      </c>
      <c r="H10" s="5">
        <f t="shared" si="5"/>
        <v>0.99104166666666671</v>
      </c>
      <c r="I10" s="5">
        <f>+'Seguridad Humana'!M26</f>
        <v>0.15590277777777778</v>
      </c>
      <c r="J10" s="5">
        <f>+'Seguridad Humana'!N26</f>
        <v>0.26105944444444446</v>
      </c>
      <c r="K10" s="5">
        <f>+'Seguridad Humana'!AD26</f>
        <v>0.87291666666666667</v>
      </c>
      <c r="L10" s="5">
        <f>+'Seguridad Humana'!AE26</f>
        <v>0.13004692986774311</v>
      </c>
      <c r="M10" s="5">
        <f>+'Seguridad Humana'!AI26</f>
        <v>0.22168277777777778</v>
      </c>
      <c r="N10" s="5">
        <f>+'Seguridad Humana'!AJ26</f>
        <v>0.66974250000000002</v>
      </c>
      <c r="O10" s="5">
        <f>+'Seguridad Humana'!AK26</f>
        <v>0.71960138888888892</v>
      </c>
      <c r="P10" s="34">
        <f>+'Seguridad Humana'!AL26</f>
        <v>2.216827777777778E-2</v>
      </c>
      <c r="Q10" s="34">
        <f>+'Seguridad Humana'!AM26</f>
        <v>0.66974250000000002</v>
      </c>
      <c r="R10" s="34">
        <f>+'Seguridad Humana'!AN26</f>
        <v>0.71960138888888892</v>
      </c>
      <c r="S10" s="25"/>
      <c r="T10" s="2"/>
      <c r="U10" s="83"/>
    </row>
    <row r="11" spans="2:25" ht="99" customHeight="1" x14ac:dyDescent="0.7">
      <c r="B11" s="30" t="str">
        <f>+'Seguridad Humana'!B31:C31</f>
        <v xml:space="preserve">Construccion de paz, Derechos Humanos y Convivencia
</v>
      </c>
      <c r="C11" s="1589"/>
      <c r="D11" s="23">
        <f t="shared" ref="D11:I11" si="7">+(D12+D13+D14+D15+D16+D17+D18+D19)/8</f>
        <v>0.23923611111111112</v>
      </c>
      <c r="E11" s="23">
        <f t="shared" si="7"/>
        <v>0.33642940083979328</v>
      </c>
      <c r="F11" s="23">
        <f>+(F12+F13+F14+F15+F16+F17+F18+F19)/8</f>
        <v>0.27502184415298797</v>
      </c>
      <c r="G11" s="23">
        <f t="shared" si="6"/>
        <v>0.58684348701403577</v>
      </c>
      <c r="H11" s="23">
        <f>+N11+F11</f>
        <v>0.79066222089425975</v>
      </c>
      <c r="I11" s="24">
        <f t="shared" si="7"/>
        <v>0.16062499999999999</v>
      </c>
      <c r="J11" s="24">
        <f t="shared" ref="J11" si="8">+(J12+J13+J14+J15+J16+J17+J18+J19)/8</f>
        <v>0.2766173449612403</v>
      </c>
      <c r="K11" s="23">
        <f>+(K12+K13+K14+K15+K16+K17+K18+K19)/8</f>
        <v>0.82692475233100227</v>
      </c>
      <c r="L11" s="23">
        <f>+(L12+L13+L14+L15+L16+L17+L18+L19)/8</f>
        <v>8.0256403164495699E-2</v>
      </c>
      <c r="M11" s="23">
        <f>+(M12+M13+M14+M15+M16+M17+M18+M19)/8</f>
        <v>0.25041408617424243</v>
      </c>
      <c r="N11" s="23">
        <f>+(N12+N13+N14+N15+N16+N17+N18+N19)/8</f>
        <v>0.51564037674127183</v>
      </c>
      <c r="O11" s="23">
        <f>+(O12+O13+O14+O15+O16+O17+O18+O19)/8</f>
        <v>0.55721489320920936</v>
      </c>
      <c r="P11" s="31">
        <f>+(P12+P13+P14+P15+P16+P17+P18+P19)</f>
        <v>0.19896443750000001</v>
      </c>
      <c r="Q11" s="31">
        <f>+'Seguridad Humana'!AM31</f>
        <v>0.49297341860465116</v>
      </c>
      <c r="R11" s="31">
        <f>+'Seguridad Humana'!AN31</f>
        <v>0.54219734284707533</v>
      </c>
      <c r="S11" s="25"/>
      <c r="T11" s="2"/>
      <c r="U11" s="83"/>
    </row>
    <row r="12" spans="2:25" ht="40.200000000000003" customHeight="1" x14ac:dyDescent="0.7">
      <c r="B12" s="32" t="str">
        <f>+'Seguridad Humana'!B32:C32</f>
        <v xml:space="preserve"> UNA VIDA LIBRE DE VIOLENCIA PARA LAS MUJERES</v>
      </c>
      <c r="C12" s="1589"/>
      <c r="D12" s="5">
        <f>+'Seguridad Humana'!J32</f>
        <v>0.17500000000000002</v>
      </c>
      <c r="E12" s="5">
        <f>+'Seguridad Humana'!K32</f>
        <v>0.25</v>
      </c>
      <c r="F12" s="5">
        <f>+'Seguridad Humana'!L32</f>
        <v>0.28333333333333333</v>
      </c>
      <c r="G12" s="5">
        <f t="shared" si="6"/>
        <v>0.61919999999999997</v>
      </c>
      <c r="H12" s="5">
        <v>1</v>
      </c>
      <c r="I12" s="5">
        <f>+'Seguridad Humana'!M32</f>
        <v>0.1525</v>
      </c>
      <c r="J12" s="5">
        <f>+'Seguridad Humana'!N32</f>
        <v>0.245</v>
      </c>
      <c r="K12" s="5">
        <f>+'Seguridad Humana'!AD32</f>
        <v>1</v>
      </c>
      <c r="L12" s="5">
        <f>+'Seguridad Humana'!AE32</f>
        <v>0.28622222222222221</v>
      </c>
      <c r="M12" s="5">
        <f>+'Seguridad Humana'!AI32</f>
        <v>0.36919999999999997</v>
      </c>
      <c r="N12" s="5">
        <f>+'Seguridad Humana'!AJ32</f>
        <v>0.84073333333333322</v>
      </c>
      <c r="O12" s="5">
        <f>+'Seguridad Humana'!AK32</f>
        <v>0.89826666666666666</v>
      </c>
      <c r="P12" s="33">
        <f>+'Seguridad Humana'!AL32</f>
        <v>6.1731000000000001E-2</v>
      </c>
      <c r="Q12" s="33">
        <f>+'Seguridad Humana'!AM32</f>
        <v>0.87988</v>
      </c>
      <c r="R12" s="33">
        <f>+'Seguridad Humana'!AN32</f>
        <v>0.95291999999999999</v>
      </c>
      <c r="S12" s="25"/>
      <c r="T12" s="2"/>
      <c r="U12" s="83"/>
    </row>
    <row r="13" spans="2:25" ht="30" customHeight="1" x14ac:dyDescent="0.7">
      <c r="B13" s="32" t="str">
        <f>+'Seguridad Humana'!B36:C36</f>
        <v xml:space="preserve"> DERECHO A LA PAZ Y CONVIVENCIA CON EQUIDAD DE GÉNERO</v>
      </c>
      <c r="C13" s="1589"/>
      <c r="D13" s="5">
        <f>+'Seguridad Humana'!J36</f>
        <v>0.25</v>
      </c>
      <c r="E13" s="5">
        <f>+'Seguridad Humana'!K36</f>
        <v>0.21249999999999999</v>
      </c>
      <c r="F13" s="5">
        <f>+'Seguridad Humana'!L36</f>
        <v>0.22500000000000001</v>
      </c>
      <c r="G13" s="5">
        <f t="shared" si="6"/>
        <v>0.54749999999999999</v>
      </c>
      <c r="H13" s="5">
        <f t="shared" si="5"/>
        <v>0.77249999999999996</v>
      </c>
      <c r="I13" s="5">
        <f>+'Seguridad Humana'!M36</f>
        <v>0.25</v>
      </c>
      <c r="J13" s="5">
        <f>+'Seguridad Humana'!N36</f>
        <v>0.19</v>
      </c>
      <c r="K13" s="5">
        <f>+'Seguridad Humana'!AD36</f>
        <v>1</v>
      </c>
      <c r="L13" s="5">
        <f>+'Seguridad Humana'!AE36</f>
        <v>0</v>
      </c>
      <c r="M13" s="5">
        <f>+'Seguridad Humana'!AI36</f>
        <v>0.33499999999999996</v>
      </c>
      <c r="N13" s="5">
        <f>+'Seguridad Humana'!AJ36</f>
        <v>0.54749999999999999</v>
      </c>
      <c r="O13" s="5">
        <f>+'Seguridad Humana'!AK36</f>
        <v>0.54749999999999999</v>
      </c>
      <c r="P13" s="33">
        <f>+'Seguridad Humana'!AL36</f>
        <v>3.8600000000000002E-2</v>
      </c>
      <c r="Q13" s="33">
        <f>+'Seguridad Humana'!AM36</f>
        <v>0.57599999999999996</v>
      </c>
      <c r="R13" s="33">
        <f>+'Seguridad Humana'!AN36</f>
        <v>0.57599999999999996</v>
      </c>
      <c r="S13" s="25"/>
      <c r="T13" s="2"/>
      <c r="U13" s="83"/>
    </row>
    <row r="14" spans="2:25" ht="28.2" customHeight="1" x14ac:dyDescent="0.7">
      <c r="B14" s="32" t="str">
        <f>+'Seguridad Humana'!B39:C39</f>
        <v>CARTAGENA AVANZA EN CONVIVENCIA</v>
      </c>
      <c r="C14" s="1589"/>
      <c r="D14" s="5">
        <f>+'Seguridad Humana'!J39</f>
        <v>0.18333333333333335</v>
      </c>
      <c r="E14" s="5">
        <f>+'Seguridad Humana'!K39</f>
        <v>0.3520833333333333</v>
      </c>
      <c r="F14" s="5">
        <f>+'Seguridad Humana'!L39</f>
        <v>0.2722222222222222</v>
      </c>
      <c r="G14" s="5">
        <f t="shared" si="6"/>
        <v>0.62291666666666667</v>
      </c>
      <c r="H14" s="5">
        <f t="shared" si="5"/>
        <v>0.89722222222222214</v>
      </c>
      <c r="I14" s="5">
        <f>+'Seguridad Humana'!M39</f>
        <v>0.18333333333333335</v>
      </c>
      <c r="J14" s="5">
        <f>+'Seguridad Humana'!N39</f>
        <v>0.31458333333333333</v>
      </c>
      <c r="K14" s="5">
        <f>+'Seguridad Humana'!AD39</f>
        <v>0.75</v>
      </c>
      <c r="L14" s="5"/>
      <c r="M14" s="5">
        <f>+'Seguridad Humana'!AI39</f>
        <v>0.27083333333333337</v>
      </c>
      <c r="N14" s="5">
        <f>+'Seguridad Humana'!AJ39</f>
        <v>0.625</v>
      </c>
      <c r="O14" s="1298">
        <f>+'Seguridad Humana'!AK39</f>
        <v>0.6875</v>
      </c>
      <c r="P14" s="33">
        <f>+'Seguridad Humana'!AL39</f>
        <v>3.6874999999999998E-2</v>
      </c>
      <c r="Q14" s="33">
        <f>+'Seguridad Humana'!AM39</f>
        <v>0.57499999999999996</v>
      </c>
      <c r="R14" s="33">
        <f>+'Seguridad Humana'!AN39</f>
        <v>0.63749999999999996</v>
      </c>
      <c r="S14" s="25"/>
      <c r="T14" s="2"/>
      <c r="U14" s="83"/>
    </row>
    <row r="15" spans="2:25" ht="69" customHeight="1" x14ac:dyDescent="0.7">
      <c r="B15" s="32" t="str">
        <f>+'Seguridad Humana'!B44:C44</f>
        <v xml:space="preserve"> AVANZANDO EN EL FORTALECIMIENTO DE CASAS DE JUSTICIA, COMISARÍAS DE FAMILIA E INSPECCIONES DE POLICÍA</v>
      </c>
      <c r="C15" s="1589"/>
      <c r="D15" s="5">
        <f>+'Seguridad Humana'!J44</f>
        <v>0.30555555555555552</v>
      </c>
      <c r="E15" s="5">
        <f>+'Seguridad Humana'!K44</f>
        <v>0.6347222222222223</v>
      </c>
      <c r="F15" s="5">
        <f>+'Seguridad Humana'!L44</f>
        <v>0.43806818181818186</v>
      </c>
      <c r="G15" s="5">
        <f t="shared" si="6"/>
        <v>0.71805555555555567</v>
      </c>
      <c r="H15" s="5">
        <f t="shared" si="5"/>
        <v>0.90829199134199134</v>
      </c>
      <c r="I15" s="5">
        <f>+'Seguridad Humana'!M44</f>
        <v>0.16666666666666666</v>
      </c>
      <c r="J15" s="5">
        <f>+'Seguridad Humana'!N44</f>
        <v>0.53083333333333338</v>
      </c>
      <c r="K15" s="5">
        <f>+'Seguridad Humana'!AD44</f>
        <v>0.66666666666666663</v>
      </c>
      <c r="L15" s="5"/>
      <c r="M15" s="5">
        <f>+'Seguridad Humana'!AI44</f>
        <v>8.3333333333333329E-2</v>
      </c>
      <c r="N15" s="5">
        <f>+'Seguridad Humana'!AJ44</f>
        <v>0.47022380952380949</v>
      </c>
      <c r="O15" s="1298">
        <f>+'Seguridad Humana'!AK44</f>
        <v>0.4312770562770562</v>
      </c>
      <c r="P15" s="33">
        <f>+'Seguridad Humana'!AL44</f>
        <v>3.7499999999999999E-3</v>
      </c>
      <c r="Q15" s="33">
        <f>+'Seguridad Humana'!AM44</f>
        <v>0.29582333333333333</v>
      </c>
      <c r="R15" s="33">
        <f>+'Seguridad Humana'!AN44</f>
        <v>0.30189393939393938</v>
      </c>
      <c r="S15" s="25"/>
      <c r="T15" s="2"/>
      <c r="U15" s="83"/>
    </row>
    <row r="16" spans="2:25" ht="46.2" customHeight="1" x14ac:dyDescent="0.7">
      <c r="B16" s="32" t="str">
        <f>+'Seguridad Humana'!B52:C52</f>
        <v xml:space="preserve"> ATENCIÓN INTEGRAL A JÓVENES EN SITUACIÓN DE RIESGO SOCIAL</v>
      </c>
      <c r="C16" s="1589"/>
      <c r="D16" s="5">
        <f>+'Seguridad Humana'!J52</f>
        <v>0.25</v>
      </c>
      <c r="E16" s="5">
        <f>+'Seguridad Humana'!K52</f>
        <v>0.32750000000000001</v>
      </c>
      <c r="F16" s="5">
        <f>+'Seguridad Humana'!L52</f>
        <v>0.21789999999999998</v>
      </c>
      <c r="G16" s="5">
        <f t="shared" si="6"/>
        <v>0.58950000000000002</v>
      </c>
      <c r="H16" s="5">
        <f t="shared" si="5"/>
        <v>0.71970000000000001</v>
      </c>
      <c r="I16" s="5">
        <f>+'Seguridad Humana'!M52</f>
        <v>0.125</v>
      </c>
      <c r="J16" s="5">
        <f>+'Seguridad Humana'!N52</f>
        <v>0.32750000000000001</v>
      </c>
      <c r="K16" s="5">
        <f>+'Seguridad Humana'!AD52</f>
        <v>0.75</v>
      </c>
      <c r="L16" s="5">
        <f>+'Seguridad Humana'!AE52</f>
        <v>9.2495669760410099E-2</v>
      </c>
      <c r="M16" s="5">
        <f>+'Seguridad Humana'!AI52</f>
        <v>0.26200000000000001</v>
      </c>
      <c r="N16" s="5">
        <f>+'Seguridad Humana'!AJ52</f>
        <v>0.50180000000000002</v>
      </c>
      <c r="O16" s="5">
        <f>+'Seguridad Humana'!AK52</f>
        <v>0.51910000000000001</v>
      </c>
      <c r="P16" s="33">
        <f>+'Seguridad Humana'!AL52</f>
        <v>1.9650000000000001E-2</v>
      </c>
      <c r="Q16" s="33">
        <f>+'Seguridad Humana'!AM52</f>
        <v>0.50180000000000002</v>
      </c>
      <c r="R16" s="33">
        <f>+'Seguridad Humana'!AN52</f>
        <v>0.51910000000000001</v>
      </c>
      <c r="S16" s="25"/>
      <c r="T16" s="2"/>
      <c r="U16" s="83"/>
    </row>
    <row r="17" spans="2:21" ht="45" customHeight="1" x14ac:dyDescent="0.7">
      <c r="B17" s="32" t="str">
        <f>+'Seguridad Humana'!B57:C57</f>
        <v>ASISTENCIA, ATENCIÓN Y REPARACIÓN EFECTIVA E INTEGRAL A LAS VÍCTIMAS DEL CONFLICTO ARMADO</v>
      </c>
      <c r="C17" s="1589"/>
      <c r="D17" s="5">
        <f>+'Seguridad Humana'!J57</f>
        <v>0.25</v>
      </c>
      <c r="E17" s="5">
        <f>+'Seguridad Humana'!K57</f>
        <v>0.29290000000000005</v>
      </c>
      <c r="F17" s="5">
        <f>+'Seguridad Humana'!L57</f>
        <v>0.31080769230769228</v>
      </c>
      <c r="G17" s="5">
        <f t="shared" si="6"/>
        <v>0.52662727272727272</v>
      </c>
      <c r="H17" s="5">
        <f t="shared" si="5"/>
        <v>0.59582085020242914</v>
      </c>
      <c r="I17" s="5">
        <f>+'Seguridad Humana'!M57</f>
        <v>0.14500000000000005</v>
      </c>
      <c r="J17" s="5">
        <f>+'Seguridad Humana'!N57</f>
        <v>0.14290000000000003</v>
      </c>
      <c r="K17" s="5">
        <f>+'Seguridad Humana'!AD57</f>
        <v>0.95048135198135209</v>
      </c>
      <c r="L17" s="5"/>
      <c r="M17" s="5">
        <f>+'Seguridad Humana'!AI57</f>
        <v>0.2337272727272727</v>
      </c>
      <c r="N17" s="5">
        <f>+'Seguridad Humana'!AJ57</f>
        <v>0.28501315789473686</v>
      </c>
      <c r="O17" s="1298">
        <f>+'Seguridad Humana'!AK57</f>
        <v>0.34340789473684213</v>
      </c>
      <c r="P17" s="33">
        <f>+'Seguridad Humana'!AL57</f>
        <v>1.2710000000000006E-2</v>
      </c>
      <c r="Q17" s="33">
        <f>+'Seguridad Humana'!AM57</f>
        <v>0.26117500000000005</v>
      </c>
      <c r="R17" s="33">
        <f>+'Seguridad Humana'!AN57</f>
        <v>0.35152500000000009</v>
      </c>
      <c r="S17" s="25"/>
      <c r="T17" s="2"/>
      <c r="U17" s="83"/>
    </row>
    <row r="18" spans="2:21" ht="46.2" customHeight="1" x14ac:dyDescent="0.7">
      <c r="B18" s="32" t="str">
        <f>+'Seguridad Humana'!B77:C77</f>
        <v>DERECHOS HUMANOS PARA LA VIDA DIGNA</v>
      </c>
      <c r="C18" s="1589"/>
      <c r="D18" s="5">
        <f>+'Seguridad Humana'!J77</f>
        <v>0.25</v>
      </c>
      <c r="E18" s="5">
        <f>+'Seguridad Humana'!K77</f>
        <v>0.37172965116279072</v>
      </c>
      <c r="F18" s="5">
        <f>+'Seguridad Humana'!L77</f>
        <v>0.20284332354247414</v>
      </c>
      <c r="G18" s="5">
        <f t="shared" si="6"/>
        <v>0.57094840116279078</v>
      </c>
      <c r="H18" s="5">
        <f t="shared" si="5"/>
        <v>0.72436270338743547</v>
      </c>
      <c r="I18" s="5">
        <f>+'Seguridad Humana'!M77</f>
        <v>0.13750000000000001</v>
      </c>
      <c r="J18" s="5">
        <f>+'Seguridad Humana'!N77</f>
        <v>0.33712209302325585</v>
      </c>
      <c r="K18" s="5">
        <f>+'Seguridad Humana'!AD77</f>
        <v>0.99824999999999997</v>
      </c>
      <c r="L18" s="5"/>
      <c r="M18" s="5">
        <f>+'Seguridad Humana'!AI77</f>
        <v>0.19921875</v>
      </c>
      <c r="N18" s="5">
        <f>+'Seguridad Humana'!AJ77</f>
        <v>0.52151937984496133</v>
      </c>
      <c r="O18" s="1298">
        <f>+'Seguridad Humana'!AK77</f>
        <v>0.65344530577088733</v>
      </c>
      <c r="P18" s="33">
        <f>+'Seguridad Humana'!AL77</f>
        <v>1.3148437499999999E-2</v>
      </c>
      <c r="Q18" s="33">
        <f>+'Seguridad Humana'!AM77</f>
        <v>0.52630418604651164</v>
      </c>
      <c r="R18" s="33">
        <f>+'Seguridad Humana'!AN77</f>
        <v>0.65691085271317839</v>
      </c>
      <c r="S18" s="25"/>
      <c r="T18" s="2"/>
      <c r="U18" s="83"/>
    </row>
    <row r="19" spans="2:21" ht="44.4" customHeight="1" x14ac:dyDescent="0.7">
      <c r="B19" s="32" t="str">
        <f>+'Seguridad Humana'!B87:C87</f>
        <v>SISTEMA PENITENCIARIO Y CARCELARIO EN EL MARCO DE LOS DERECHOS HUMANOS</v>
      </c>
      <c r="C19" s="1589"/>
      <c r="D19" s="5">
        <f>+'Seguridad Humana'!J87</f>
        <v>0.25</v>
      </c>
      <c r="E19" s="5">
        <f>+'Seguridad Humana'!K87</f>
        <v>0.25</v>
      </c>
      <c r="F19" s="5">
        <f>+'Seguridad Humana'!L87</f>
        <v>0.25</v>
      </c>
      <c r="G19" s="5">
        <f t="shared" si="6"/>
        <v>0.5</v>
      </c>
      <c r="H19" s="5">
        <f t="shared" si="5"/>
        <v>0.58333333333333326</v>
      </c>
      <c r="I19" s="5">
        <f>+'Seguridad Humana'!M87</f>
        <v>0.125</v>
      </c>
      <c r="J19" s="5">
        <f>+'Seguridad Humana'!N87</f>
        <v>0.125</v>
      </c>
      <c r="K19" s="5">
        <f>+'Seguridad Humana'!AD87</f>
        <v>0.5</v>
      </c>
      <c r="L19" s="5">
        <f>+'Seguridad Humana'!AE87</f>
        <v>0.26333333333333331</v>
      </c>
      <c r="M19" s="5">
        <f>+'Seguridad Humana'!AI87</f>
        <v>0.25</v>
      </c>
      <c r="N19" s="5">
        <f>+'Seguridad Humana'!AJ87</f>
        <v>0.33333333333333331</v>
      </c>
      <c r="O19" s="5">
        <f>+'Seguridad Humana'!AK87</f>
        <v>0.37722222222222224</v>
      </c>
      <c r="P19" s="33">
        <f>+'Seguridad Humana'!AL87</f>
        <v>1.2500000000000001E-2</v>
      </c>
      <c r="Q19" s="33">
        <f>+'Seguridad Humana'!AM87</f>
        <v>0.1875</v>
      </c>
      <c r="R19" s="33">
        <f>+'Seguridad Humana'!AN87</f>
        <v>0.22041666666666668</v>
      </c>
      <c r="S19" s="25"/>
      <c r="T19" s="2"/>
      <c r="U19" s="83"/>
    </row>
    <row r="20" spans="2:21" ht="88.95" customHeight="1" x14ac:dyDescent="0.7">
      <c r="B20" s="30" t="str">
        <f>+'Seguridad Humana'!B91:C91</f>
        <v xml:space="preserve"> Salud Pública y Aseguramiento
</v>
      </c>
      <c r="C20" s="1589"/>
      <c r="D20" s="23">
        <f t="shared" ref="D20:I20" si="9">+(D21+D22+D23+D24+D25)/5</f>
        <v>0.23229102167182664</v>
      </c>
      <c r="E20" s="23">
        <f t="shared" si="9"/>
        <v>0.33879772961816307</v>
      </c>
      <c r="F20" s="23">
        <f t="shared" ref="F20" si="10">+(F21+F22+F23+F24+F25)/5</f>
        <v>0.26478457172342618</v>
      </c>
      <c r="G20" s="23">
        <f t="shared" si="6"/>
        <v>0.54395347999674115</v>
      </c>
      <c r="H20" s="23">
        <f t="shared" si="5"/>
        <v>0.7032139679102718</v>
      </c>
      <c r="I20" s="24">
        <f t="shared" si="9"/>
        <v>0.15700735294117646</v>
      </c>
      <c r="J20" s="24">
        <f t="shared" ref="J20" si="11">+(J21+J22+J23+J24+J25)/5</f>
        <v>0.37183088235294115</v>
      </c>
      <c r="K20" s="23">
        <f>+(K21+K22+K23+K24+K25)/5</f>
        <v>0.88713331914538984</v>
      </c>
      <c r="L20" s="23">
        <f>+(L21+L22+L23+L24+L25)/5</f>
        <v>0.21561724085353823</v>
      </c>
      <c r="M20" s="23">
        <f>+(M21+M22+M23+M24+M25)/5</f>
        <v>0.20515575037857808</v>
      </c>
      <c r="N20" s="23">
        <f>+(N21+N22+N23+N24+N25)/5</f>
        <v>0.43842939618684557</v>
      </c>
      <c r="O20" s="23">
        <f>+(O21+O22+O23+O24+O25)/5</f>
        <v>0.47089768099188162</v>
      </c>
      <c r="P20" s="31">
        <f>+(P21+P22+P23+P24+P25)</f>
        <v>0.19010083782604881</v>
      </c>
      <c r="Q20" s="31">
        <f>+'Seguridad Humana'!AM91</f>
        <v>0.40754170935687423</v>
      </c>
      <c r="R20" s="31">
        <f>+'Seguridad Humana'!AN91</f>
        <v>0.47208931869570703</v>
      </c>
      <c r="S20" s="25"/>
      <c r="T20" s="2"/>
      <c r="U20" s="83"/>
    </row>
    <row r="21" spans="2:21" ht="54" customHeight="1" x14ac:dyDescent="0.7">
      <c r="B21" s="32" t="str">
        <f>+'Seguridad Humana'!B92:C92</f>
        <v xml:space="preserve"> SALUD CON COBERTURA, ACCESIBILIDAD, CALIDAD E INCLUSIÓN</v>
      </c>
      <c r="C21" s="1589"/>
      <c r="D21" s="5">
        <f>+'Seguridad Humana'!J92</f>
        <v>0.25</v>
      </c>
      <c r="E21" s="5">
        <f>+'Seguridad Humana'!K92</f>
        <v>0.29166666666666669</v>
      </c>
      <c r="F21" s="5">
        <f>+'Seguridad Humana'!L92</f>
        <v>0.29166666666666669</v>
      </c>
      <c r="G21" s="5">
        <f t="shared" si="6"/>
        <v>0.50460164873866309</v>
      </c>
      <c r="H21" s="5">
        <f t="shared" si="5"/>
        <v>0.76295173834439778</v>
      </c>
      <c r="I21" s="5">
        <f>+'Seguridad Humana'!M92</f>
        <v>0.16250000000000003</v>
      </c>
      <c r="J21" s="5">
        <f>+'Seguridad Humana'!N92</f>
        <v>0.33750000000000002</v>
      </c>
      <c r="K21" s="5">
        <f>+'Seguridad Humana'!AD92</f>
        <v>0.86536666666666673</v>
      </c>
      <c r="L21" s="5">
        <f>+'Seguridad Humana'!AE92</f>
        <v>0.17938834745033574</v>
      </c>
      <c r="M21" s="5">
        <f>+'Seguridad Humana'!AI92</f>
        <v>0.21293498207199635</v>
      </c>
      <c r="N21" s="5">
        <f>+'Seguridad Humana'!AJ92</f>
        <v>0.47128507167773109</v>
      </c>
      <c r="O21" s="5">
        <f>+'Seguridad Humana'!AK92</f>
        <v>0.51613215854031502</v>
      </c>
      <c r="P21" s="33">
        <f>+'Seguridad Humana'!AL92</f>
        <v>5.944380429531565E-2</v>
      </c>
      <c r="Q21" s="33">
        <f>+'Seguridad Humana'!AM92</f>
        <v>0.34224696772547941</v>
      </c>
      <c r="R21" s="33">
        <f>+'Seguridad Humana'!AN92</f>
        <v>0.41792820200213243</v>
      </c>
      <c r="S21" s="25"/>
      <c r="T21" s="2"/>
      <c r="U21" s="83"/>
    </row>
    <row r="22" spans="2:21" ht="31.2" customHeight="1" x14ac:dyDescent="0.7">
      <c r="B22" s="32" t="s">
        <v>1607</v>
      </c>
      <c r="C22" s="1589"/>
      <c r="D22" s="5">
        <f>+'Seguridad Humana'!J99</f>
        <v>0.17499999999999999</v>
      </c>
      <c r="E22" s="5">
        <f>+'Seguridad Humana'!K99</f>
        <v>0.27500000000000002</v>
      </c>
      <c r="F22" s="5">
        <f>+'Seguridad Humana'!L99</f>
        <v>0.27500000000000002</v>
      </c>
      <c r="G22" s="5">
        <f t="shared" si="6"/>
        <v>0.47331666666666672</v>
      </c>
      <c r="H22" s="5">
        <f t="shared" si="5"/>
        <v>0.77511666666666668</v>
      </c>
      <c r="I22" s="5">
        <f>+'Seguridad Humana'!M99</f>
        <v>0.19</v>
      </c>
      <c r="J22" s="5">
        <f>+'Seguridad Humana'!N99</f>
        <v>0.27</v>
      </c>
      <c r="K22" s="5">
        <f>+'Seguridad Humana'!AD99</f>
        <v>1</v>
      </c>
      <c r="L22" s="5">
        <f>+'Seguridad Humana'!AE99</f>
        <v>0.14946666666666666</v>
      </c>
      <c r="M22" s="5">
        <f>+'Seguridad Humana'!AI99</f>
        <v>0.19831666666666667</v>
      </c>
      <c r="N22" s="5">
        <f>+'Seguridad Humana'!AJ99</f>
        <v>0.50011666666666665</v>
      </c>
      <c r="O22" s="5">
        <f>+'Seguridad Humana'!AK99</f>
        <v>0.53748333333333331</v>
      </c>
      <c r="P22" s="33">
        <f>+'Seguridad Humana'!AL99</f>
        <v>2.1048000000000001E-2</v>
      </c>
      <c r="Q22" s="33">
        <f>+'Seguridad Humana'!AM99</f>
        <v>0.50266000000000011</v>
      </c>
      <c r="R22" s="33">
        <f>+'Seguridad Humana'!AN99</f>
        <v>0.5475000000000001</v>
      </c>
      <c r="S22" s="25"/>
      <c r="T22" s="2"/>
      <c r="U22" s="83"/>
    </row>
    <row r="23" spans="2:21" ht="70.2" customHeight="1" x14ac:dyDescent="0.7">
      <c r="B23" s="32" t="s">
        <v>1608</v>
      </c>
      <c r="C23" s="1589"/>
      <c r="D23" s="5">
        <f>+'Seguridad Humana'!J102</f>
        <v>0.25</v>
      </c>
      <c r="E23" s="5">
        <f>+'Seguridad Humana'!K102</f>
        <v>0.625</v>
      </c>
      <c r="F23" s="5">
        <f>+'Seguridad Humana'!L102</f>
        <v>0.25</v>
      </c>
      <c r="G23" s="5">
        <f t="shared" si="6"/>
        <v>0.74137931034482762</v>
      </c>
      <c r="H23" s="5">
        <f t="shared" si="5"/>
        <v>0.61637931034482762</v>
      </c>
      <c r="I23" s="5">
        <f>+'Seguridad Humana'!M102</f>
        <v>0.05</v>
      </c>
      <c r="J23" s="5">
        <f>+'Seguridad Humana'!N102</f>
        <v>0.85000000000000009</v>
      </c>
      <c r="K23" s="5">
        <f>+'Seguridad Humana'!AD102</f>
        <v>0.625</v>
      </c>
      <c r="L23" s="5">
        <f>+'Seguridad Humana'!AE102</f>
        <v>0.27586206896551724</v>
      </c>
      <c r="M23" s="5">
        <f>+'Seguridad Humana'!AI102</f>
        <v>0.11637931034482758</v>
      </c>
      <c r="N23" s="5">
        <f>+'Seguridad Humana'!AJ102</f>
        <v>0.36637931034482762</v>
      </c>
      <c r="O23" s="5">
        <f>+'Seguridad Humana'!AK102</f>
        <v>0.40086206896551724</v>
      </c>
      <c r="P23" s="33">
        <f>+'Seguridad Humana'!AL102</f>
        <v>4.6551724137931039E-3</v>
      </c>
      <c r="Q23" s="33">
        <f>+'Seguridad Humana'!AM102</f>
        <v>9.6551724137931047E-2</v>
      </c>
      <c r="R23" s="33">
        <f>+'Seguridad Humana'!AN102</f>
        <v>0.31034482758620691</v>
      </c>
      <c r="S23" s="25"/>
      <c r="T23" s="2"/>
      <c r="U23" s="83"/>
    </row>
    <row r="24" spans="2:21" ht="28.95" customHeight="1" x14ac:dyDescent="0.7">
      <c r="B24" s="32" t="s">
        <v>1629</v>
      </c>
      <c r="C24" s="1589"/>
      <c r="D24" s="5">
        <f>+'Seguridad Humana'!J105</f>
        <v>0.23645510835913311</v>
      </c>
      <c r="E24" s="5">
        <f>+'Seguridad Humana'!K105</f>
        <v>0.25232198142414858</v>
      </c>
      <c r="F24" s="5">
        <f>+'Seguridad Humana'!L105</f>
        <v>0.2572561919504644</v>
      </c>
      <c r="G24" s="5">
        <f t="shared" si="6"/>
        <v>0.50046977423354821</v>
      </c>
      <c r="H24" s="5">
        <f t="shared" si="5"/>
        <v>0.79912212419546669</v>
      </c>
      <c r="I24" s="5">
        <f>+'Seguridad Humana'!M105</f>
        <v>0.2325367647058823</v>
      </c>
      <c r="J24" s="5">
        <f>+'Seguridad Humana'!N105</f>
        <v>0.25165441176470582</v>
      </c>
      <c r="K24" s="5">
        <f>+'Seguridad Humana'!AD105</f>
        <v>0.94529992906028248</v>
      </c>
      <c r="L24" s="5">
        <f>+'Seguridad Humana'!AE105</f>
        <v>0.17336912118517148</v>
      </c>
      <c r="M24" s="5">
        <f>+'Seguridad Humana'!AI105</f>
        <v>0.24814779280939966</v>
      </c>
      <c r="N24" s="5">
        <f>+'Seguridad Humana'!AJ105</f>
        <v>0.54186593224500235</v>
      </c>
      <c r="O24" s="5">
        <f>+'Seguridad Humana'!AK105</f>
        <v>0.56876084412024253</v>
      </c>
      <c r="P24" s="33">
        <f>+'Seguridad Humana'!AL105</f>
        <v>9.7453861116940044E-2</v>
      </c>
      <c r="Q24" s="33">
        <f>+'Seguridad Humana'!AM105</f>
        <v>0.53208524559790826</v>
      </c>
      <c r="R24" s="33">
        <f>+'Seguridad Humana'!AN105</f>
        <v>0.55694991309084985</v>
      </c>
      <c r="S24" s="25"/>
      <c r="T24" s="2"/>
      <c r="U24" s="83"/>
    </row>
    <row r="25" spans="2:21" ht="46.2" customHeight="1" x14ac:dyDescent="0.7">
      <c r="B25" s="32" t="s">
        <v>1630</v>
      </c>
      <c r="C25" s="1589"/>
      <c r="D25" s="5">
        <f>+'Seguridad Humana'!J125</f>
        <v>0.25</v>
      </c>
      <c r="E25" s="5">
        <f>+'Seguridad Humana'!K125</f>
        <v>0.25</v>
      </c>
      <c r="F25" s="5">
        <f>+'Seguridad Humana'!L125</f>
        <v>0.25</v>
      </c>
      <c r="G25" s="5">
        <f t="shared" si="6"/>
        <v>0.5</v>
      </c>
      <c r="H25" s="5">
        <f t="shared" si="5"/>
        <v>0.5625</v>
      </c>
      <c r="I25" s="5">
        <f>+'Seguridad Humana'!M125</f>
        <v>0.15</v>
      </c>
      <c r="J25" s="5">
        <f>+'Seguridad Humana'!N125</f>
        <v>0.15</v>
      </c>
      <c r="K25" s="5">
        <f>+'Seguridad Humana'!AD125</f>
        <v>1</v>
      </c>
      <c r="L25" s="5">
        <f>+'Seguridad Humana'!AE125</f>
        <v>0.3</v>
      </c>
      <c r="M25" s="5">
        <f>+'Seguridad Humana'!AI125</f>
        <v>0.25</v>
      </c>
      <c r="N25" s="5">
        <f>+'Seguridad Humana'!AJ125</f>
        <v>0.3125</v>
      </c>
      <c r="O25" s="5">
        <f>+'Seguridad Humana'!AK125</f>
        <v>0.33124999999999999</v>
      </c>
      <c r="P25" s="33">
        <f>+'Seguridad Humana'!AL125</f>
        <v>7.4999999999999997E-3</v>
      </c>
      <c r="Q25" s="33">
        <f>+'Seguridad Humana'!AM125</f>
        <v>0.3</v>
      </c>
      <c r="R25" s="33">
        <f>+'Seguridad Humana'!AN125</f>
        <v>0.34499999999999997</v>
      </c>
      <c r="S25" s="25"/>
      <c r="T25" s="2"/>
      <c r="U25" s="83"/>
    </row>
    <row r="26" spans="2:21" ht="78.599999999999994" customHeight="1" x14ac:dyDescent="0.7">
      <c r="B26" s="30" t="str">
        <f>+'Seguridad Humana'!B130:C130</f>
        <v xml:space="preserve">Atención Integral a Grupos de Especial Protección
</v>
      </c>
      <c r="C26" s="1589"/>
      <c r="D26" s="23">
        <f>+(D27+D28+D29+D30+D31+D32+D33)/6</f>
        <v>0.3193759495300631</v>
      </c>
      <c r="E26" s="23">
        <f>+(E27+E28+E29+E30+E31+E32+E33)/7</f>
        <v>0.36067241266804129</v>
      </c>
      <c r="F26" s="23">
        <f>+(F27+F28+F29+F30+F31+F32+F33)/7</f>
        <v>0.28501877948421306</v>
      </c>
      <c r="G26" s="23">
        <f t="shared" si="6"/>
        <v>0.6068847164726574</v>
      </c>
      <c r="H26" s="23">
        <f t="shared" si="5"/>
        <v>0.91385788056208472</v>
      </c>
      <c r="I26" s="24">
        <f>+(I27+I28+I29+I30+I31+I32+I33)/6</f>
        <v>0.17451004248744692</v>
      </c>
      <c r="J26" s="24">
        <f>+(J27+J28+J29+J30+J31+J32+J33)/7</f>
        <v>0.31558347607692649</v>
      </c>
      <c r="K26" s="23">
        <f>+(K27+K28+K29+K30+K31+K32+K33)/7</f>
        <v>0.95449776895021254</v>
      </c>
      <c r="L26" s="23">
        <f>+(L27+L28+L29+L30+L31+L32+L33)/7</f>
        <v>0.21435420408027589</v>
      </c>
      <c r="M26" s="23">
        <f>+(M27+M28+M29+M30+M31+M32+M33)/6</f>
        <v>0.24621230380461609</v>
      </c>
      <c r="N26" s="23">
        <f>+(N27+N28+N29+N30+N31+N32+N33)/6</f>
        <v>0.62883910107787166</v>
      </c>
      <c r="O26" s="23">
        <f>+(O27+O28+O29+O30+O31+O32+O33)/6</f>
        <v>0.6882798055588667</v>
      </c>
      <c r="P26" s="31">
        <f>+(P27+P28+P29+P30+P31+P32+P33)</f>
        <v>0.18458001541682623</v>
      </c>
      <c r="Q26" s="31">
        <f>+'Seguridad Humana'!AM130</f>
        <v>0.47851879245993212</v>
      </c>
      <c r="R26" s="31">
        <f>+'Seguridad Humana'!AN130</f>
        <v>0.52726154508305056</v>
      </c>
      <c r="S26" s="25"/>
      <c r="T26" s="2"/>
      <c r="U26" s="83"/>
    </row>
    <row r="27" spans="2:21" ht="42.6" customHeight="1" x14ac:dyDescent="0.7">
      <c r="B27" s="32" t="s">
        <v>1611</v>
      </c>
      <c r="C27" s="1589"/>
      <c r="D27" s="5">
        <f>+'Seguridad Humana'!J131</f>
        <v>0.33333333333333331</v>
      </c>
      <c r="E27" s="5">
        <f>+'Seguridad Humana'!K131</f>
        <v>0.39999999999999997</v>
      </c>
      <c r="F27" s="5">
        <f>+'Seguridad Humana'!L131</f>
        <v>0.32999999999999996</v>
      </c>
      <c r="G27" s="5">
        <f t="shared" si="6"/>
        <v>0.62653274519154345</v>
      </c>
      <c r="H27" s="5">
        <f t="shared" si="5"/>
        <v>0.89705472103004291</v>
      </c>
      <c r="I27" s="5">
        <f>+'Seguridad Humana'!M131</f>
        <v>0.21750000000000003</v>
      </c>
      <c r="J27" s="5">
        <f>+'Seguridad Humana'!N131</f>
        <v>0.21250000000000002</v>
      </c>
      <c r="K27" s="5">
        <f>+'Seguridad Humana'!AD131</f>
        <v>0.95842359833776136</v>
      </c>
      <c r="L27" s="5">
        <f>+'Seguridad Humana'!AE131</f>
        <v>0.12305879364129627</v>
      </c>
      <c r="M27" s="5">
        <f>+'Seguridad Humana'!AI131</f>
        <v>0.22653274519154346</v>
      </c>
      <c r="N27" s="5">
        <f>+'Seguridad Humana'!AJ131</f>
        <v>0.56705472103004295</v>
      </c>
      <c r="O27" s="5">
        <f>+'Seguridad Humana'!AK131</f>
        <v>0.64396646705585314</v>
      </c>
      <c r="P27" s="33">
        <f>+'Seguridad Humana'!AL131</f>
        <v>3.155922746781116E-2</v>
      </c>
      <c r="Q27" s="33">
        <f>+'Seguridad Humana'!AM131</f>
        <v>0.42271566523605159</v>
      </c>
      <c r="R27" s="33">
        <f>+'Seguridad Humana'!AN131</f>
        <v>0.50317642713369037</v>
      </c>
      <c r="S27" s="25"/>
      <c r="T27" s="2"/>
      <c r="U27" s="83"/>
    </row>
    <row r="28" spans="2:21" ht="81" customHeight="1" x14ac:dyDescent="0.7">
      <c r="B28" s="32" t="s">
        <v>1612</v>
      </c>
      <c r="C28" s="1589"/>
      <c r="D28" s="5">
        <f>+'Seguridad Humana'!J140</f>
        <v>0.23392236384704518</v>
      </c>
      <c r="E28" s="5">
        <f>+'Seguridad Humana'!K140</f>
        <v>0.25535921205098494</v>
      </c>
      <c r="F28" s="5">
        <f>+'Seguridad Humana'!L140</f>
        <v>0.25535921205098494</v>
      </c>
      <c r="G28" s="5">
        <f t="shared" si="6"/>
        <v>0.39325028968713793</v>
      </c>
      <c r="H28" s="5">
        <f t="shared" si="5"/>
        <v>0.77462340672074159</v>
      </c>
      <c r="I28" s="5">
        <f>+'Seguridad Humana'!M140</f>
        <v>0.22106025492468134</v>
      </c>
      <c r="J28" s="5">
        <f>+'Seguridad Humana'!N140</f>
        <v>0.2596465816917729</v>
      </c>
      <c r="K28" s="5">
        <f>+'Seguridad Humana'!AD140</f>
        <v>1</v>
      </c>
      <c r="L28" s="5">
        <f>+'Seguridad Humana'!AE140</f>
        <v>0.14777777777777779</v>
      </c>
      <c r="M28" s="5">
        <f>+'Seguridad Humana'!AI140</f>
        <v>0.13789107763615296</v>
      </c>
      <c r="N28" s="5">
        <f>+'Seguridad Humana'!AJ140</f>
        <v>0.51926419466975671</v>
      </c>
      <c r="O28" s="5">
        <f>+'Seguridad Humana'!AK140</f>
        <v>0.55779258400927001</v>
      </c>
      <c r="P28" s="33">
        <f>+'Seguridad Humana'!AL140</f>
        <v>4.9640787949015074E-2</v>
      </c>
      <c r="Q28" s="33">
        <f>+'Seguridad Humana'!AM140</f>
        <v>0.53467555040556203</v>
      </c>
      <c r="R28" s="33">
        <f>+'Seguridad Humana'!AN140</f>
        <v>0.60402665121668608</v>
      </c>
      <c r="S28" s="25"/>
      <c r="T28" s="2"/>
      <c r="U28" s="83"/>
    </row>
    <row r="29" spans="2:21" ht="51" customHeight="1" x14ac:dyDescent="0.7">
      <c r="B29" s="32" t="s">
        <v>1613</v>
      </c>
      <c r="C29" s="1589"/>
      <c r="D29" s="5">
        <f>+'Seguridad Humana'!J143</f>
        <v>0.25</v>
      </c>
      <c r="E29" s="5">
        <f>+'Seguridad Humana'!K143</f>
        <v>0.27083333333333337</v>
      </c>
      <c r="F29" s="5">
        <f>+'Seguridad Humana'!L143</f>
        <v>0.27500000000000002</v>
      </c>
      <c r="G29" s="5">
        <f t="shared" si="6"/>
        <v>0.47375</v>
      </c>
      <c r="H29" s="5">
        <f t="shared" si="5"/>
        <v>0.74458333333333337</v>
      </c>
      <c r="I29" s="5">
        <f>+'Seguridad Humana'!M143</f>
        <v>0.25</v>
      </c>
      <c r="J29" s="5">
        <f>+'Seguridad Humana'!N143</f>
        <v>0.28000000000000003</v>
      </c>
      <c r="K29" s="5">
        <f>+'Seguridad Humana'!AD143</f>
        <v>0.98529411764705888</v>
      </c>
      <c r="L29" s="5">
        <f>+'Seguridad Humana'!AE143</f>
        <v>0.10714285714285714</v>
      </c>
      <c r="M29" s="5">
        <f>+'Seguridad Humana'!AI143</f>
        <v>0.20291666666666666</v>
      </c>
      <c r="N29" s="5">
        <f>+'Seguridad Humana'!AJ143</f>
        <v>0.46958333333333335</v>
      </c>
      <c r="O29" s="5">
        <f>+'Seguridad Humana'!AK143</f>
        <v>0.50708333333333333</v>
      </c>
      <c r="P29" s="33">
        <f>+'Seguridad Humana'!AL143</f>
        <v>1.9800000000000002E-2</v>
      </c>
      <c r="Q29" s="33">
        <f>+'Seguridad Humana'!AM143</f>
        <v>0.47299999999999998</v>
      </c>
      <c r="R29" s="33">
        <f>+'Seguridad Humana'!AN143</f>
        <v>0.503</v>
      </c>
      <c r="S29" s="25"/>
      <c r="T29" s="2"/>
      <c r="U29" s="83"/>
    </row>
    <row r="30" spans="2:21" ht="41.4" customHeight="1" x14ac:dyDescent="0.7">
      <c r="B30" s="32" t="s">
        <v>1614</v>
      </c>
      <c r="C30" s="1589"/>
      <c r="D30" s="5">
        <f>+'Seguridad Humana'!J148</f>
        <v>0.25</v>
      </c>
      <c r="E30" s="5">
        <f>+'Seguridad Humana'!K148</f>
        <v>0.22500000000000001</v>
      </c>
      <c r="F30" s="5">
        <f>+'Seguridad Humana'!L148</f>
        <v>0.25</v>
      </c>
      <c r="G30" s="5">
        <f t="shared" si="6"/>
        <v>0.63333333333333341</v>
      </c>
      <c r="H30" s="5">
        <f t="shared" si="5"/>
        <v>0.8</v>
      </c>
      <c r="I30" s="5">
        <f>+'Seguridad Humana'!M148</f>
        <v>0.15000000000000002</v>
      </c>
      <c r="J30" s="5">
        <f>+'Seguridad Humana'!N148</f>
        <v>0.20374999999999999</v>
      </c>
      <c r="K30" s="5">
        <f>+'Seguridad Humana'!AD148</f>
        <v>1</v>
      </c>
      <c r="L30" s="5">
        <f>+'Seguridad Humana'!AE148</f>
        <v>0.36249999999999999</v>
      </c>
      <c r="M30" s="5">
        <f>+'Seguridad Humana'!AI148</f>
        <v>0.40833333333333338</v>
      </c>
      <c r="N30" s="5">
        <f>+'Seguridad Humana'!AJ148</f>
        <v>0.55000000000000004</v>
      </c>
      <c r="O30" s="5">
        <f>+'Seguridad Humana'!AK148</f>
        <v>0.62812500000000004</v>
      </c>
      <c r="P30" s="33">
        <f>+'Seguridad Humana'!AL148</f>
        <v>4.4250000000000005E-2</v>
      </c>
      <c r="Q30" s="33">
        <f>+'Seguridad Humana'!AM148</f>
        <v>0.45500000000000002</v>
      </c>
      <c r="R30" s="33">
        <f>+'Seguridad Humana'!AN148</f>
        <v>0.49249999999999999</v>
      </c>
      <c r="S30" s="25"/>
      <c r="T30" s="2"/>
      <c r="U30" s="83"/>
    </row>
    <row r="31" spans="2:21" ht="40.950000000000003" customHeight="1" x14ac:dyDescent="0.7">
      <c r="B31" s="32" t="s">
        <v>1631</v>
      </c>
      <c r="C31" s="1589"/>
      <c r="D31" s="5">
        <f>+'Seguridad Humana'!J153</f>
        <v>0.625</v>
      </c>
      <c r="E31" s="5">
        <f>+'Seguridad Humana'!K153</f>
        <v>0.45611434329197087</v>
      </c>
      <c r="F31" s="5">
        <f>+'Seguridad Humana'!L153</f>
        <v>0.28477224433850634</v>
      </c>
      <c r="G31" s="5">
        <f t="shared" si="6"/>
        <v>0.70611434329197087</v>
      </c>
      <c r="H31" s="5">
        <f t="shared" si="5"/>
        <v>0.90010460177260321</v>
      </c>
      <c r="I31" s="5">
        <f>+'Seguridad Humana'!M153</f>
        <v>6.25E-2</v>
      </c>
      <c r="J31" s="5">
        <f>+'Seguridad Humana'!N153</f>
        <v>0.36258775084671224</v>
      </c>
      <c r="K31" s="5">
        <f>+'Seguridad Humana'!AD153</f>
        <v>0.96026666666666682</v>
      </c>
      <c r="L31" s="5">
        <f>+'Seguridad Humana'!AE153</f>
        <v>0.51</v>
      </c>
      <c r="M31" s="5">
        <f>+'Seguridad Humana'!AI153</f>
        <v>0.25</v>
      </c>
      <c r="N31" s="5">
        <f>+'Seguridad Humana'!AJ153</f>
        <v>0.61533235743409687</v>
      </c>
      <c r="O31" s="5">
        <f>+'Seguridad Humana'!AK153</f>
        <v>0.65341144895474268</v>
      </c>
      <c r="P31" s="33">
        <f>+'Seguridad Humana'!AL153</f>
        <v>1.2500000000000002E-3</v>
      </c>
      <c r="Q31" s="33">
        <f>+'Seguridad Humana'!AM153</f>
        <v>0.60701098663218656</v>
      </c>
      <c r="R31" s="33">
        <f>+'Seguridad Humana'!AN153</f>
        <v>0.67261858825950505</v>
      </c>
      <c r="S31" s="25"/>
      <c r="T31" s="2"/>
      <c r="U31" s="83"/>
    </row>
    <row r="32" spans="2:21" ht="28.95" customHeight="1" x14ac:dyDescent="0.7">
      <c r="B32" s="32" t="s">
        <v>1632</v>
      </c>
      <c r="C32" s="1589"/>
      <c r="D32" s="5">
        <f>+'Seguridad Humana'!J160</f>
        <v>0.22400000000000003</v>
      </c>
      <c r="E32" s="5">
        <f>+'Seguridad Humana'!K160</f>
        <v>0.29239999999999999</v>
      </c>
      <c r="F32" s="5">
        <f>+'Seguridad Humana'!L160</f>
        <v>0.25</v>
      </c>
      <c r="G32" s="5">
        <f t="shared" si="6"/>
        <v>0.54400000000000004</v>
      </c>
      <c r="H32" s="5">
        <f t="shared" si="5"/>
        <v>0.86180000000000001</v>
      </c>
      <c r="I32" s="5">
        <f>+'Seguridad Humana'!M160</f>
        <v>0.14599999999999999</v>
      </c>
      <c r="J32" s="5">
        <f>+'Seguridad Humana'!N160</f>
        <v>0.2656</v>
      </c>
      <c r="K32" s="5">
        <f>+'Seguridad Humana'!AD160</f>
        <v>0.96250000000000002</v>
      </c>
      <c r="L32" s="5">
        <f>+'Seguridad Humana'!AE160</f>
        <v>0.125</v>
      </c>
      <c r="M32" s="5">
        <f>+'Seguridad Humana'!AI160</f>
        <v>0.25159999999999999</v>
      </c>
      <c r="N32" s="5">
        <f>+'Seguridad Humana'!AJ160</f>
        <v>0.61180000000000001</v>
      </c>
      <c r="O32" s="5">
        <f>+'Seguridad Humana'!AK160</f>
        <v>0.63680000000000003</v>
      </c>
      <c r="P32" s="33">
        <f>+'Seguridad Humana'!AL160</f>
        <v>3.8080000000000003E-2</v>
      </c>
      <c r="Q32" s="33">
        <f>+'Seguridad Humana'!AM160</f>
        <v>0.48270000000000007</v>
      </c>
      <c r="R32" s="33">
        <f>+'Seguridad Humana'!AN160</f>
        <v>0.49520000000000008</v>
      </c>
      <c r="S32" s="25"/>
      <c r="T32" s="2"/>
      <c r="U32" s="83"/>
    </row>
    <row r="33" spans="2:21" ht="39.6" customHeight="1" x14ac:dyDescent="0.7">
      <c r="B33" s="32" t="s">
        <v>1633</v>
      </c>
      <c r="C33" s="1589"/>
      <c r="D33" s="5">
        <f>+'Seguridad Humana'!J166</f>
        <v>0</v>
      </c>
      <c r="E33" s="5">
        <f>+'Seguridad Humana'!K166</f>
        <v>0.625</v>
      </c>
      <c r="F33" s="5">
        <f>+'Seguridad Humana'!L166</f>
        <v>0.35</v>
      </c>
      <c r="G33" s="5">
        <f t="shared" si="6"/>
        <v>0.625</v>
      </c>
      <c r="H33" s="5">
        <f t="shared" si="5"/>
        <v>0.79</v>
      </c>
      <c r="I33" s="5">
        <f>+'Seguridad Humana'!M166</f>
        <v>0</v>
      </c>
      <c r="J33" s="5">
        <f>+'Seguridad Humana'!N166</f>
        <v>0.625</v>
      </c>
      <c r="K33" s="5">
        <f>+'Seguridad Humana'!AD166</f>
        <v>0.81500000000000006</v>
      </c>
      <c r="L33" s="5">
        <f>+'Seguridad Humana'!AE166</f>
        <v>0.125</v>
      </c>
      <c r="M33" s="5">
        <f>+'Seguridad Humana'!AI166</f>
        <v>0</v>
      </c>
      <c r="N33" s="5">
        <f>+'Seguridad Humana'!AJ166</f>
        <v>0.44000000000000006</v>
      </c>
      <c r="O33" s="5">
        <f>+'Seguridad Humana'!AK166</f>
        <v>0.50250000000000006</v>
      </c>
      <c r="P33" s="33">
        <f>+'Seguridad Humana'!AL166</f>
        <v>0</v>
      </c>
      <c r="Q33" s="33">
        <f>+'Seguridad Humana'!AM166</f>
        <v>0.437</v>
      </c>
      <c r="R33" s="33">
        <f>+'Seguridad Humana'!AN166</f>
        <v>0.48699999999999999</v>
      </c>
      <c r="S33" s="25"/>
      <c r="T33" s="2"/>
      <c r="U33" s="83"/>
    </row>
    <row r="34" spans="2:21" ht="88.95" customHeight="1" x14ac:dyDescent="0.7">
      <c r="B34" s="30" t="str">
        <f>+'Seguridad Humana'!B171:C171</f>
        <v xml:space="preserve">Superación de la pobreza extrema y soberanía alimentaria
</v>
      </c>
      <c r="C34" s="1589"/>
      <c r="D34" s="23">
        <f t="shared" ref="D34:I34" si="12">+(D35+D36+D37+D38+D39+D40+D41+D42+D43+D44+D45)/11</f>
        <v>0.15789568518161531</v>
      </c>
      <c r="E34" s="23">
        <f t="shared" si="12"/>
        <v>0.31747360226895655</v>
      </c>
      <c r="F34" s="23">
        <f>+(F35+F36+F37+F38+F39+F40+F41+F42+F43+F44+F45)/11</f>
        <v>0.32787574114686546</v>
      </c>
      <c r="G34" s="23">
        <f t="shared" si="6"/>
        <v>0.48976309154789766</v>
      </c>
      <c r="H34" s="23">
        <f t="shared" si="5"/>
        <v>0.79616715845974406</v>
      </c>
      <c r="I34" s="24">
        <f t="shared" si="12"/>
        <v>0.13500023925638274</v>
      </c>
      <c r="J34" s="24">
        <f t="shared" ref="J34:K34" si="13">+(J35+J36+J37+J38+J39+J40+J41+J42+J43+J44+J45)/11</f>
        <v>0.29944978534279126</v>
      </c>
      <c r="K34" s="23">
        <f t="shared" si="13"/>
        <v>0.78967245971620981</v>
      </c>
      <c r="L34" s="23">
        <f t="shared" ref="L34" si="14">+(L35+L36+L37+L38+L39+L40+L41+L42+L43+L44+L45)/11</f>
        <v>0.17870705917192112</v>
      </c>
      <c r="M34" s="23">
        <f>+(M35+M36+M37+M38+M39+M40+M41+M42+M43+M44+M45)/11</f>
        <v>0.17228948927894114</v>
      </c>
      <c r="N34" s="23">
        <f>+(N35+N36+N37+N38+N39+N40+N41+N42+N43+N44+N45)/11</f>
        <v>0.46829141731287866</v>
      </c>
      <c r="O34" s="23">
        <f>+(O35+O36+O37+O38+O39+O40+O41+O42+O43+O44+O45)/11</f>
        <v>0.50341569509571538</v>
      </c>
      <c r="P34" s="31">
        <f>+(P35+P36+P37+P38+P39+P40+P41+P42+P43+P44+P45)</f>
        <v>0.14750248083618644</v>
      </c>
      <c r="Q34" s="31">
        <f>+'Seguridad Humana'!AM171</f>
        <v>0.46847685808282769</v>
      </c>
      <c r="R34" s="31">
        <f>+'Seguridad Humana'!AN171</f>
        <v>0.50644210731584249</v>
      </c>
      <c r="S34" s="25"/>
      <c r="T34" s="2"/>
      <c r="U34" s="83"/>
    </row>
    <row r="35" spans="2:21" ht="61.95" customHeight="1" x14ac:dyDescent="0.7">
      <c r="B35" s="32" t="s">
        <v>1618</v>
      </c>
      <c r="C35" s="1589"/>
      <c r="D35" s="5">
        <f>+'Seguridad Humana'!J172</f>
        <v>0.125</v>
      </c>
      <c r="E35" s="5">
        <f>+'Seguridad Humana'!K172</f>
        <v>0.33096590909090906</v>
      </c>
      <c r="F35" s="5">
        <f>+'Seguridad Humana'!L172</f>
        <v>0.33096590909090906</v>
      </c>
      <c r="G35" s="5">
        <f t="shared" si="6"/>
        <v>0.49196590909090909</v>
      </c>
      <c r="H35" s="5">
        <f t="shared" si="5"/>
        <v>0.67926704545454542</v>
      </c>
      <c r="I35" s="5">
        <f>+'Seguridad Humana'!M172</f>
        <v>8.7499999999999994E-2</v>
      </c>
      <c r="J35" s="5">
        <f>+'Seguridad Humana'!N172</f>
        <v>0.33607954545454544</v>
      </c>
      <c r="K35" s="5">
        <f>+'Seguridad Humana'!AD172</f>
        <v>0.78054545454545454</v>
      </c>
      <c r="L35" s="5">
        <f>+'Seguridad Humana'!AE172</f>
        <v>5.0714285714285712E-2</v>
      </c>
      <c r="M35" s="5">
        <f>+'Seguridad Humana'!AI172</f>
        <v>0.161</v>
      </c>
      <c r="N35" s="5">
        <f>+'Seguridad Humana'!AJ172</f>
        <v>0.34830113636363635</v>
      </c>
      <c r="O35" s="5">
        <f>+'Seguridad Humana'!AK172</f>
        <v>0.36443749999999997</v>
      </c>
      <c r="P35" s="33">
        <f>+'Seguridad Humana'!AL172</f>
        <v>5.6350000000000003E-3</v>
      </c>
      <c r="Q35" s="33">
        <f>+'Seguridad Humana'!AM172</f>
        <v>0.35053068181818181</v>
      </c>
      <c r="R35" s="33">
        <f>+'Seguridad Humana'!AN172</f>
        <v>0.36021249999999994</v>
      </c>
      <c r="S35" s="25"/>
      <c r="T35" s="2"/>
      <c r="U35" s="83"/>
    </row>
    <row r="36" spans="2:21" ht="45" customHeight="1" x14ac:dyDescent="0.7">
      <c r="B36" s="32" t="s">
        <v>1619</v>
      </c>
      <c r="C36" s="1589"/>
      <c r="D36" s="5">
        <f>+'Seguridad Humana'!J175</f>
        <v>0.30833333333333335</v>
      </c>
      <c r="E36" s="5">
        <f>+'Seguridad Humana'!K175</f>
        <v>0.48893333333333339</v>
      </c>
      <c r="F36" s="5">
        <f>+'Seguridad Humana'!L175</f>
        <v>0.25829999999999997</v>
      </c>
      <c r="G36" s="5">
        <f t="shared" si="6"/>
        <v>0.87200833333333339</v>
      </c>
      <c r="H36" s="5">
        <v>1</v>
      </c>
      <c r="I36" s="5">
        <f>+'Seguridad Humana'!M175</f>
        <v>0.20500000000000002</v>
      </c>
      <c r="J36" s="5">
        <f>+'Seguridad Humana'!N175</f>
        <v>0.46671999999999997</v>
      </c>
      <c r="K36" s="5">
        <f>+'Seguridad Humana'!AD175</f>
        <v>1</v>
      </c>
      <c r="L36" s="5">
        <f>+'Seguridad Humana'!AE175</f>
        <v>0.33614128532133036</v>
      </c>
      <c r="M36" s="5">
        <f>+'Seguridad Humana'!AI175</f>
        <v>0.383075</v>
      </c>
      <c r="N36" s="5">
        <f>+'Seguridad Humana'!AJ175</f>
        <v>0.76648888888888889</v>
      </c>
      <c r="O36" s="5">
        <f>+'Seguridad Humana'!AK175</f>
        <v>0.82507777777777769</v>
      </c>
      <c r="P36" s="33">
        <f>+'Seguridad Humana'!AL175</f>
        <v>2.6718500000000003E-2</v>
      </c>
      <c r="Q36" s="33">
        <f>+'Seguridad Humana'!AM175</f>
        <v>0.75401999999999991</v>
      </c>
      <c r="R36" s="33">
        <f>+'Seguridad Humana'!AN175</f>
        <v>0.81911</v>
      </c>
      <c r="S36" s="25"/>
      <c r="T36" s="2"/>
      <c r="U36" s="83"/>
    </row>
    <row r="37" spans="2:21" ht="30.6" customHeight="1" x14ac:dyDescent="0.7">
      <c r="B37" s="32" t="s">
        <v>1634</v>
      </c>
      <c r="C37" s="1589"/>
      <c r="D37" s="5">
        <f>+'Seguridad Humana'!J179</f>
        <v>0.1752103260310604</v>
      </c>
      <c r="E37" s="5">
        <f>+'Seguridad Humana'!K179</f>
        <v>0.31178031471767975</v>
      </c>
      <c r="F37" s="5">
        <f>+'Seguridad Humana'!L179</f>
        <v>0.37729867324899724</v>
      </c>
      <c r="G37" s="5">
        <f t="shared" si="6"/>
        <v>0.42014576416743804</v>
      </c>
      <c r="H37" s="5">
        <f t="shared" si="5"/>
        <v>0.79539924663169803</v>
      </c>
      <c r="I37" s="5">
        <f>+'Seguridad Humana'!M179</f>
        <v>0.17445397511056257</v>
      </c>
      <c r="J37" s="5">
        <f>+'Seguridad Humana'!N179</f>
        <v>0.31513853748842946</v>
      </c>
      <c r="K37" s="5">
        <f>+'Seguridad Humana'!AD179</f>
        <v>0.94106875000000001</v>
      </c>
      <c r="L37" s="5">
        <f>+'Seguridad Humana'!AE179</f>
        <v>0.30189780163599178</v>
      </c>
      <c r="M37" s="5">
        <f>+'Seguridad Humana'!AI179</f>
        <v>0.1083654494497583</v>
      </c>
      <c r="N37" s="5">
        <f>+'Seguridad Humana'!AJ179</f>
        <v>0.41810057338270079</v>
      </c>
      <c r="O37" s="5">
        <f>+'Seguridad Humana'!AK179</f>
        <v>0.53296018049984573</v>
      </c>
      <c r="P37" s="33">
        <f>+'Seguridad Humana'!AL179</f>
        <v>1.2047093098837808E-2</v>
      </c>
      <c r="Q37" s="33">
        <f>+'Seguridad Humana'!AM179</f>
        <v>0.4377733158490178</v>
      </c>
      <c r="R37" s="33">
        <f>+'Seguridad Humana'!AN179</f>
        <v>0.55898957297130514</v>
      </c>
      <c r="S37" s="25"/>
      <c r="T37" s="2"/>
      <c r="U37" s="83"/>
    </row>
    <row r="38" spans="2:21" ht="34.200000000000003" customHeight="1" x14ac:dyDescent="0.7">
      <c r="B38" s="32" t="s">
        <v>1635</v>
      </c>
      <c r="C38" s="1589"/>
      <c r="D38" s="5">
        <f>+'Seguridad Humana'!J184</f>
        <v>4.2000000000000003E-2</v>
      </c>
      <c r="E38" s="5">
        <f>+'Seguridad Humana'!K184</f>
        <v>0.33</v>
      </c>
      <c r="F38" s="5">
        <f>+'Seguridad Humana'!L184</f>
        <v>0.33</v>
      </c>
      <c r="G38" s="5">
        <f t="shared" si="6"/>
        <v>0.33</v>
      </c>
      <c r="H38" s="5">
        <f t="shared" si="5"/>
        <v>0.35500000000000004</v>
      </c>
      <c r="I38" s="5">
        <f>+'Seguridad Humana'!M184</f>
        <v>4.2000000000000003E-2</v>
      </c>
      <c r="J38" s="5">
        <f>+'Seguridad Humana'!N184</f>
        <v>0.33</v>
      </c>
      <c r="K38" s="5">
        <f>+'Seguridad Humana'!AD184</f>
        <v>7.575757575757576E-2</v>
      </c>
      <c r="L38" s="5">
        <f>+'Seguridad Humana'!AE184</f>
        <v>0</v>
      </c>
      <c r="M38" s="5">
        <f>+'Seguridad Humana'!AI184</f>
        <v>0</v>
      </c>
      <c r="N38" s="5">
        <f>+'Seguridad Humana'!AJ184</f>
        <v>2.5000000000000001E-2</v>
      </c>
      <c r="O38" s="5">
        <f>+'Seguridad Humana'!AK184</f>
        <v>2.5000000000000001E-2</v>
      </c>
      <c r="P38" s="33">
        <f>+'Seguridad Humana'!AL184</f>
        <v>0</v>
      </c>
      <c r="Q38" s="33">
        <f>+'Seguridad Humana'!AM184</f>
        <v>2.5000000000000001E-2</v>
      </c>
      <c r="R38" s="33">
        <f>+'Seguridad Humana'!AN184</f>
        <v>2.5000000000000001E-2</v>
      </c>
      <c r="S38" s="25"/>
      <c r="T38" s="2"/>
      <c r="U38" s="83"/>
    </row>
    <row r="39" spans="2:21" ht="53.4" customHeight="1" x14ac:dyDescent="0.7">
      <c r="B39" s="32" t="s">
        <v>1636</v>
      </c>
      <c r="C39" s="1589"/>
      <c r="D39" s="5">
        <f>+'Seguridad Humana'!J186</f>
        <v>0.13873355263157894</v>
      </c>
      <c r="E39" s="5">
        <f>+'Seguridad Humana'!K186</f>
        <v>0.30382894736842103</v>
      </c>
      <c r="F39" s="5">
        <f>+'Seguridad Humana'!L186</f>
        <v>0.26398026315789475</v>
      </c>
      <c r="G39" s="5">
        <f t="shared" si="6"/>
        <v>0.48595970394736843</v>
      </c>
      <c r="H39" s="5">
        <f t="shared" si="5"/>
        <v>0.8467506578947368</v>
      </c>
      <c r="I39" s="5">
        <f>+'Seguridad Humana'!M186</f>
        <v>0.11001315789473685</v>
      </c>
      <c r="J39" s="5">
        <f>+'Seguridad Humana'!N186</f>
        <v>0.30417105263157895</v>
      </c>
      <c r="K39" s="5">
        <f>+'Seguridad Humana'!AD186</f>
        <v>0.98120000000000007</v>
      </c>
      <c r="L39" s="5">
        <f>+'Seguridad Humana'!AE186</f>
        <v>8.4964285714285714E-2</v>
      </c>
      <c r="M39" s="5">
        <f>+'Seguridad Humana'!AI186</f>
        <v>0.18213075657894739</v>
      </c>
      <c r="N39" s="5">
        <f>+'Seguridad Humana'!AJ186</f>
        <v>0.58277039473684211</v>
      </c>
      <c r="O39" s="5">
        <f>+'Seguridad Humana'!AK186</f>
        <v>0.60002302631578952</v>
      </c>
      <c r="P39" s="33">
        <f>+'Seguridad Humana'!AL186</f>
        <v>1.4271164473684213E-2</v>
      </c>
      <c r="Q39" s="33">
        <f>+'Seguridad Humana'!AM186</f>
        <v>0.58047085526315789</v>
      </c>
      <c r="R39" s="33">
        <f>+'Seguridad Humana'!AN186</f>
        <v>0.59690822368421048</v>
      </c>
      <c r="S39" s="25"/>
      <c r="T39" s="2"/>
      <c r="U39" s="83"/>
    </row>
    <row r="40" spans="2:21" ht="33" customHeight="1" x14ac:dyDescent="0.7">
      <c r="B40" s="32" t="s">
        <v>1623</v>
      </c>
      <c r="C40" s="1589"/>
      <c r="D40" s="5">
        <f>+'Seguridad Humana'!J192</f>
        <v>1.2500000000000001E-2</v>
      </c>
      <c r="E40" s="5">
        <f>+'Seguridad Humana'!K192</f>
        <v>0.31666666666666665</v>
      </c>
      <c r="F40" s="5">
        <f>+'Seguridad Humana'!L192</f>
        <v>0.42500000000000004</v>
      </c>
      <c r="G40" s="5">
        <f t="shared" ref="G40:G67" si="15">+M40+E40</f>
        <v>0.32916666666666666</v>
      </c>
      <c r="H40" s="5">
        <f t="shared" si="5"/>
        <v>0.51005833333333339</v>
      </c>
      <c r="I40" s="5">
        <f>+'Seguridad Humana'!M192</f>
        <v>3.7499999999999999E-3</v>
      </c>
      <c r="J40" s="5">
        <f>+'Seguridad Humana'!N192</f>
        <v>0.32333333333333331</v>
      </c>
      <c r="K40" s="5">
        <f>+'Seguridad Humana'!AD192</f>
        <v>0.24791666666666667</v>
      </c>
      <c r="L40" s="5">
        <f>+'Seguridad Humana'!AE192</f>
        <v>8.8749999999999996E-2</v>
      </c>
      <c r="M40" s="5">
        <f>+'Seguridad Humana'!AI192</f>
        <v>1.2500000000000001E-2</v>
      </c>
      <c r="N40" s="5">
        <f>+'Seguridad Humana'!AJ192</f>
        <v>8.5058333333333333E-2</v>
      </c>
      <c r="O40" s="5">
        <f>+'Seguridad Humana'!AK192</f>
        <v>0.12068333333333334</v>
      </c>
      <c r="P40" s="33">
        <f>+'Seguridad Humana'!AL192</f>
        <v>3.7500000000000001E-4</v>
      </c>
      <c r="Q40" s="33">
        <f>+'Seguridad Humana'!AM192</f>
        <v>8.6501666666666671E-2</v>
      </c>
      <c r="R40" s="33">
        <f>+'Seguridad Humana'!AN192</f>
        <v>0.13547666666666666</v>
      </c>
      <c r="S40" s="25"/>
      <c r="T40" s="2"/>
      <c r="U40" s="83"/>
    </row>
    <row r="41" spans="2:21" ht="53.4" customHeight="1" x14ac:dyDescent="0.7">
      <c r="B41" s="32" t="s">
        <v>1624</v>
      </c>
      <c r="C41" s="1589"/>
      <c r="D41" s="5">
        <f>+'Seguridad Humana'!J195</f>
        <v>0.19771672771672774</v>
      </c>
      <c r="E41" s="5">
        <f>+'Seguridad Humana'!K195</f>
        <v>0.28894993894993898</v>
      </c>
      <c r="F41" s="5">
        <f>+'Seguridad Humana'!L195</f>
        <v>0.23064713064713063</v>
      </c>
      <c r="G41" s="5">
        <f t="shared" si="15"/>
        <v>0.4896703296703297</v>
      </c>
      <c r="H41" s="5">
        <f t="shared" si="5"/>
        <v>0.81882783882783872</v>
      </c>
      <c r="I41" s="5">
        <f>+'Seguridad Humana'!M195</f>
        <v>0.19857509157509157</v>
      </c>
      <c r="J41" s="5">
        <f>+'Seguridad Humana'!N195</f>
        <v>0.29342490842490843</v>
      </c>
      <c r="K41" s="5">
        <f>+'Seguridad Humana'!AD195</f>
        <v>0.99259259259259258</v>
      </c>
      <c r="L41" s="5">
        <f>+'Seguridad Humana'!AE195</f>
        <v>0.47455197132616483</v>
      </c>
      <c r="M41" s="5">
        <f>+'Seguridad Humana'!AI195</f>
        <v>0.20072039072039072</v>
      </c>
      <c r="N41" s="5">
        <f>+'Seguridad Humana'!AJ195</f>
        <v>0.58818070818070811</v>
      </c>
      <c r="O41" s="5">
        <f>+'Seguridad Humana'!AK195</f>
        <v>0.69858363858363859</v>
      </c>
      <c r="P41" s="33">
        <f>+'Seguridad Humana'!AL195</f>
        <v>1.9708058608058607E-2</v>
      </c>
      <c r="Q41" s="33">
        <f>+'Seguridad Humana'!AM195</f>
        <v>0.64027106227106223</v>
      </c>
      <c r="R41" s="33">
        <f>+'Seguridad Humana'!AN195</f>
        <v>0.74387545787545784</v>
      </c>
      <c r="S41" s="25"/>
      <c r="T41" s="2"/>
      <c r="U41" s="83"/>
    </row>
    <row r="42" spans="2:21" ht="48.6" customHeight="1" x14ac:dyDescent="0.7">
      <c r="B42" s="32" t="s">
        <v>1625</v>
      </c>
      <c r="C42" s="1589"/>
      <c r="D42" s="5">
        <f>+'Seguridad Humana'!J199</f>
        <v>0.14374999999999999</v>
      </c>
      <c r="E42" s="5">
        <f>+'Seguridad Humana'!K199</f>
        <v>0.36074640522875817</v>
      </c>
      <c r="F42" s="5">
        <f>+'Seguridad Humana'!L199</f>
        <v>0.30612745098039212</v>
      </c>
      <c r="G42" s="5">
        <f t="shared" si="15"/>
        <v>0.61816307189542485</v>
      </c>
      <c r="H42" s="5">
        <f t="shared" si="5"/>
        <v>0.72476470588235298</v>
      </c>
      <c r="I42" s="5">
        <f>+'Seguridad Humana'!M199</f>
        <v>6.7500000000000004E-2</v>
      </c>
      <c r="J42" s="5">
        <f>+'Seguridad Humana'!N199</f>
        <v>0.36927960784313729</v>
      </c>
      <c r="K42" s="5">
        <f>+'Seguridad Humana'!AD199</f>
        <v>0.70303030303030312</v>
      </c>
      <c r="L42" s="5">
        <f>+'Seguridad Humana'!AE199</f>
        <v>4.6175438596491224E-2</v>
      </c>
      <c r="M42" s="5">
        <f>+'Seguridad Humana'!AI199</f>
        <v>0.25741666666666668</v>
      </c>
      <c r="N42" s="5">
        <f>+'Seguridad Humana'!AJ199</f>
        <v>0.4186372549019608</v>
      </c>
      <c r="O42" s="5">
        <f>+'Seguridad Humana'!AK199</f>
        <v>0.43686111111111109</v>
      </c>
      <c r="P42" s="33">
        <f>+'Seguridad Humana'!AL199</f>
        <v>1.4611666666666665E-2</v>
      </c>
      <c r="Q42" s="33">
        <f>+'Seguridad Humana'!AM199</f>
        <v>0.40015588235294119</v>
      </c>
      <c r="R42" s="33">
        <f>+'Seguridad Humana'!AN199</f>
        <v>0.41186666666666666</v>
      </c>
      <c r="S42" s="25"/>
      <c r="T42" s="2"/>
      <c r="U42" s="83"/>
    </row>
    <row r="43" spans="2:21" ht="60.6" customHeight="1" x14ac:dyDescent="0.7">
      <c r="B43" s="32" t="s">
        <v>1637</v>
      </c>
      <c r="C43" s="1589"/>
      <c r="D43" s="5">
        <f>+'Seguridad Humana'!J203</f>
        <v>0.24264705882352941</v>
      </c>
      <c r="E43" s="5">
        <f>+'Seguridad Humana'!K203</f>
        <v>0.30147058823529416</v>
      </c>
      <c r="F43" s="5">
        <f>+'Seguridad Humana'!L203</f>
        <v>0.24264705882352941</v>
      </c>
      <c r="G43" s="5">
        <f t="shared" si="15"/>
        <v>0.54411764705882359</v>
      </c>
      <c r="H43" s="5">
        <f t="shared" si="5"/>
        <v>0.81617647058823528</v>
      </c>
      <c r="I43" s="5">
        <f>+'Seguridad Humana'!M203</f>
        <v>0.24044117647058824</v>
      </c>
      <c r="J43" s="5">
        <f>+'Seguridad Humana'!N203</f>
        <v>0.31691176470588234</v>
      </c>
      <c r="K43" s="5">
        <f>+'Seguridad Humana'!AD203</f>
        <v>1</v>
      </c>
      <c r="L43" s="5">
        <f>+'Seguridad Humana'!AE203</f>
        <v>0</v>
      </c>
      <c r="M43" s="5">
        <f>+'Seguridad Humana'!AI203</f>
        <v>0.24264705882352941</v>
      </c>
      <c r="N43" s="5">
        <f>+'Seguridad Humana'!AJ203</f>
        <v>0.57352941176470584</v>
      </c>
      <c r="O43" s="5">
        <f>+'Seguridad Humana'!AK203</f>
        <v>0.57352941176470584</v>
      </c>
      <c r="P43" s="33">
        <f>+'Seguridad Humana'!AL203</f>
        <v>2.4044117647058827E-2</v>
      </c>
      <c r="Q43" s="33">
        <f>+'Seguridad Humana'!AM203</f>
        <v>0.59558823529411775</v>
      </c>
      <c r="R43" s="33">
        <f>+'Seguridad Humana'!AN203</f>
        <v>0.59558823529411775</v>
      </c>
      <c r="S43" s="25"/>
      <c r="T43" s="2"/>
      <c r="U43" s="83"/>
    </row>
    <row r="44" spans="2:21" ht="47.4" customHeight="1" x14ac:dyDescent="0.7">
      <c r="B44" s="32" t="s">
        <v>1628</v>
      </c>
      <c r="C44" s="1589"/>
      <c r="D44" s="5">
        <f>+'Seguridad Humana'!J206</f>
        <v>0.20833333333333331</v>
      </c>
      <c r="E44" s="5">
        <f>+'Seguridad Humana'!K206</f>
        <v>0.2361111111111111</v>
      </c>
      <c r="F44" s="5">
        <f>+'Seguridad Humana'!L206</f>
        <v>0.21666666666666667</v>
      </c>
      <c r="G44" s="5">
        <f t="shared" si="15"/>
        <v>0.34305555555555556</v>
      </c>
      <c r="H44" s="5">
        <f t="shared" si="5"/>
        <v>0.80138888888888893</v>
      </c>
      <c r="I44" s="5">
        <f>+'Seguridad Humana'!M206</f>
        <v>0.2</v>
      </c>
      <c r="J44" s="5">
        <f>+'Seguridad Humana'!N206</f>
        <v>0.23888888888888887</v>
      </c>
      <c r="K44" s="5">
        <f>+'Seguridad Humana'!AD206</f>
        <v>1</v>
      </c>
      <c r="L44" s="5">
        <f>+'Seguridad Humana'!AE206</f>
        <v>8.2582582582582581E-2</v>
      </c>
      <c r="M44" s="5">
        <f>+'Seguridad Humana'!AI206</f>
        <v>0.10694444444444444</v>
      </c>
      <c r="N44" s="5">
        <f>+'Seguridad Humana'!AJ206</f>
        <v>0.58472222222222225</v>
      </c>
      <c r="O44" s="5">
        <f>+'Seguridad Humana'!AK206</f>
        <v>0.6</v>
      </c>
      <c r="P44" s="33">
        <f>+'Seguridad Humana'!AL206</f>
        <v>5.8611111111111112E-3</v>
      </c>
      <c r="Q44" s="33">
        <f>+'Seguridad Humana'!AM206</f>
        <v>0.55444444444444452</v>
      </c>
      <c r="R44" s="33">
        <f>+'Seguridad Humana'!AN206</f>
        <v>0.57000000000000006</v>
      </c>
      <c r="S44" s="25"/>
      <c r="T44" s="2"/>
      <c r="U44" s="83"/>
    </row>
    <row r="45" spans="2:21" ht="81" customHeight="1" x14ac:dyDescent="0.7">
      <c r="B45" s="35" t="s">
        <v>1627</v>
      </c>
      <c r="C45" s="1590"/>
      <c r="D45" s="36">
        <f>+'Seguridad Humana'!J209</f>
        <v>0.14262820512820512</v>
      </c>
      <c r="E45" s="36">
        <f>+'Seguridad Humana'!K209</f>
        <v>0.22275641025641027</v>
      </c>
      <c r="F45" s="36">
        <f>+'Seguridad Humana'!L209</f>
        <v>0.625</v>
      </c>
      <c r="G45" s="36">
        <f t="shared" si="15"/>
        <v>0.46314102564102566</v>
      </c>
      <c r="H45" s="36">
        <v>1</v>
      </c>
      <c r="I45" s="36">
        <f>+'Seguridad Humana'!M209</f>
        <v>0.15576923076923077</v>
      </c>
      <c r="J45" s="36">
        <f>+'Seguridad Humana'!N209</f>
        <v>0</v>
      </c>
      <c r="K45" s="36">
        <f>+'Seguridad Humana'!AD209</f>
        <v>0.9642857142857143</v>
      </c>
      <c r="L45" s="36">
        <f>+'Seguridad Humana'!AE209</f>
        <v>0.5</v>
      </c>
      <c r="M45" s="36">
        <f>+'Seguridad Humana'!AI209</f>
        <v>0.24038461538461539</v>
      </c>
      <c r="N45" s="36">
        <f>+'Seguridad Humana'!AJ209</f>
        <v>0.76041666666666674</v>
      </c>
      <c r="O45" s="36">
        <f>+'Seguridad Humana'!AK209</f>
        <v>0.76041666666666674</v>
      </c>
      <c r="P45" s="37">
        <f>+'Seguridad Humana'!AL209</f>
        <v>2.4230769230769233E-2</v>
      </c>
      <c r="Q45" s="37">
        <f>+'Seguridad Humana'!AM209</f>
        <v>0.71250000000000002</v>
      </c>
      <c r="R45" s="37">
        <f>+'Seguridad Humana'!AN209</f>
        <v>0.71250000000000002</v>
      </c>
      <c r="S45" s="25"/>
      <c r="T45" s="2"/>
      <c r="U45" s="83"/>
    </row>
    <row r="46" spans="2:21" ht="61.2" x14ac:dyDescent="0.7">
      <c r="B46" s="38" t="str">
        <f>+'Vida Digna'!B3:C3</f>
        <v xml:space="preserve"> VIDA DIGNA
</v>
      </c>
      <c r="C46" s="1591">
        <v>0.2</v>
      </c>
      <c r="D46" s="691">
        <f>+'Vida Digna'!J3</f>
        <v>0.25323854832043019</v>
      </c>
      <c r="E46" s="691">
        <f>+'Vida Digna'!K3</f>
        <v>0.29872026705958277</v>
      </c>
      <c r="F46" s="691">
        <f>+'Vida Digna'!L3</f>
        <v>0.31001232315895783</v>
      </c>
      <c r="G46" s="691">
        <f t="shared" si="15"/>
        <v>0.51679316213702775</v>
      </c>
      <c r="H46" s="691">
        <f t="shared" si="5"/>
        <v>0.82276088820641258</v>
      </c>
      <c r="I46" s="691">
        <f>+'Vida Digna'!M3</f>
        <v>0.20215522261646302</v>
      </c>
      <c r="J46" s="691">
        <f>+'Vida Digna'!N3</f>
        <v>0.26377249543649056</v>
      </c>
      <c r="K46" s="691">
        <f>+'Vida Digna'!AD3</f>
        <v>0.71907447715303718</v>
      </c>
      <c r="L46" s="691">
        <f>+'Vida Digna'!AE3</f>
        <v>0.27856668470614288</v>
      </c>
      <c r="M46" s="691">
        <f>+'Vida Digna'!AI3</f>
        <v>0.21807289507744496</v>
      </c>
      <c r="N46" s="691">
        <f>+'Vida Digna'!AJ3</f>
        <v>0.5127485650474547</v>
      </c>
      <c r="O46" s="691">
        <f>+'Vida Digna'!AK3</f>
        <v>0.56537558510342345</v>
      </c>
      <c r="P46" s="692">
        <f>+'Vida Digna'!AL3</f>
        <v>0.17961900387690335</v>
      </c>
      <c r="Q46" s="692">
        <f>+'Vida Digna'!AM3</f>
        <v>0.48090129462939524</v>
      </c>
      <c r="R46" s="692">
        <f>+'Vida Digna'!AN3</f>
        <v>0.53288230613882503</v>
      </c>
      <c r="S46" s="25"/>
      <c r="T46" s="2"/>
      <c r="U46" s="83"/>
    </row>
    <row r="47" spans="2:21" ht="84.6" customHeight="1" x14ac:dyDescent="0.7">
      <c r="B47" s="30" t="str">
        <f>+'Vida Digna'!B4:C4</f>
        <v xml:space="preserve"> Educación
</v>
      </c>
      <c r="C47" s="1592"/>
      <c r="D47" s="23">
        <f>+(D48+D49+D50+D51+D52+D53+D54+D55+D56+D57+D58+D59+D60+D61+D62+D63)/15</f>
        <v>0.26981900399515463</v>
      </c>
      <c r="E47" s="23">
        <f>+(E48+E49+E50+E51+E52+E53+E54+E55+E56+E57+E58+E59+E60+E61+E62+E63)/16</f>
        <v>0.26016382169667063</v>
      </c>
      <c r="F47" s="23">
        <f>+(F48+F49+F50+F51+F52+F53+F54+F55+F56+F57+F58+F59+F60+F61+F62+F63)/16</f>
        <v>0.26864479781308737</v>
      </c>
      <c r="G47" s="23">
        <f t="shared" si="15"/>
        <v>0.4734945434130825</v>
      </c>
      <c r="H47" s="23">
        <f t="shared" si="5"/>
        <v>0.77414858915772211</v>
      </c>
      <c r="I47" s="24">
        <f>+(I48+I49+I50+I51+I52+I53+I54+I55+I56+I57+I58+I59+I60+I61+I62+I63)/15</f>
        <v>0.25378937395993473</v>
      </c>
      <c r="J47" s="24">
        <f t="shared" ref="J47" si="16">+(J48+J49+J50+J51+J52+J53+J54+J55+J56+J57+J58+J59+J60+J61+J62+J63)/15</f>
        <v>0.33318807472732404</v>
      </c>
      <c r="K47" s="24">
        <f>+(K48+K49+K50+K51+K52+K53+K54+K55+K56+K57+K58+K59+K60+K61+K62+K63)/16</f>
        <v>0.85063192848151603</v>
      </c>
      <c r="L47" s="24">
        <f>+(L48+L49+L50+L51+L52+L53+L54+L55+L56+L57+L58+L59+L60+L61+L62+L63)/16</f>
        <v>0.31459107233382766</v>
      </c>
      <c r="M47" s="23">
        <f>+(M48+M49+M50+M51+M52+M53+M54+M55+M56+M57+M58+M59+M60+M61+M62+M63)/15</f>
        <v>0.21333072171641188</v>
      </c>
      <c r="N47" s="23">
        <f>+(N48+N49+N50+N51+N52+N53+N54+N55+N56+N57+N58+N59+N60+N61+N62+N63)/16</f>
        <v>0.50550379134463475</v>
      </c>
      <c r="O47" s="23">
        <f>+(O48+O49+O50+O51+O52+O53+O54+O55+O56+O57+O58+O59+O60+O61+O62+O63)/16</f>
        <v>0.54582005569608971</v>
      </c>
      <c r="P47" s="31">
        <f>+(P48+P49+P50+P51+P52+P53+P54+P55+P56+P57+P58+P59+P60+P61+P62+P63)</f>
        <v>0.19538897473062464</v>
      </c>
      <c r="Q47" s="31">
        <f>+'Vida Digna'!AM4</f>
        <v>0.44645446238331843</v>
      </c>
      <c r="R47" s="31">
        <f>+'Vida Digna'!AN4</f>
        <v>0.49742369396749242</v>
      </c>
      <c r="S47" s="25"/>
      <c r="T47" s="2"/>
      <c r="U47" s="83"/>
    </row>
    <row r="48" spans="2:21" ht="32.4" customHeight="1" x14ac:dyDescent="0.7">
      <c r="B48" s="32" t="s">
        <v>1683</v>
      </c>
      <c r="C48" s="1592"/>
      <c r="D48" s="5">
        <f>+'Vida Digna'!J5</f>
        <v>0.13533333333333333</v>
      </c>
      <c r="E48" s="5">
        <f>+'Vida Digna'!K5</f>
        <v>0.26333333333333325</v>
      </c>
      <c r="F48" s="5">
        <f>+'Vida Digna'!L5</f>
        <v>0.36180555555555549</v>
      </c>
      <c r="G48" s="5">
        <f t="shared" si="15"/>
        <v>0.36946666666666661</v>
      </c>
      <c r="H48" s="5">
        <f t="shared" si="5"/>
        <v>0.65183333333333326</v>
      </c>
      <c r="I48" s="5">
        <f>+'Vida Digna'!M5</f>
        <v>0.12433333333333335</v>
      </c>
      <c r="J48" s="5">
        <f>+'Vida Digna'!N5</f>
        <v>1.2288333333333334</v>
      </c>
      <c r="K48" s="5">
        <f>+'Vida Digna'!AD5</f>
        <v>0.70866013071895428</v>
      </c>
      <c r="L48" s="5">
        <f>+'Vida Digna'!AE5</f>
        <v>0.13186520222123937</v>
      </c>
      <c r="M48" s="5">
        <f>+'Vida Digna'!AI5</f>
        <v>0.10613333333333333</v>
      </c>
      <c r="N48" s="5">
        <f>+'Vida Digna'!AJ5</f>
        <v>0.29002777777777777</v>
      </c>
      <c r="O48" s="5">
        <f>+'Vida Digna'!AK5</f>
        <v>0.33427777777777773</v>
      </c>
      <c r="P48" s="33">
        <f>+'Vida Digna'!AL5</f>
        <v>2.4725000000000007E-2</v>
      </c>
      <c r="Q48" s="33">
        <f>+'Vida Digna'!AM5</f>
        <v>0.34426666666666667</v>
      </c>
      <c r="R48" s="33">
        <f>+'Vida Digna'!AN5</f>
        <v>0.38286666666666669</v>
      </c>
      <c r="S48" s="25"/>
      <c r="T48" s="2"/>
      <c r="U48" s="83"/>
    </row>
    <row r="49" spans="2:21" ht="50.4" customHeight="1" x14ac:dyDescent="0.7">
      <c r="B49" s="32" t="s">
        <v>1641</v>
      </c>
      <c r="C49" s="1592"/>
      <c r="D49" s="5">
        <f>+'Vida Digna'!J12</f>
        <v>0.33035714285714285</v>
      </c>
      <c r="E49" s="5">
        <f>+'Vida Digna'!K12</f>
        <v>0.43154761904761907</v>
      </c>
      <c r="F49" s="5">
        <f>+'Vida Digna'!L12</f>
        <v>0.24404761904761904</v>
      </c>
      <c r="G49" s="5">
        <f t="shared" si="15"/>
        <v>0.66666666666666674</v>
      </c>
      <c r="H49" s="5">
        <f t="shared" si="5"/>
        <v>0.81845238095238093</v>
      </c>
      <c r="I49" s="5">
        <f>+'Vida Digna'!M12</f>
        <v>0.33928571428571425</v>
      </c>
      <c r="J49" s="5">
        <f>+'Vida Digna'!N12</f>
        <v>0.47023809523809523</v>
      </c>
      <c r="K49" s="5">
        <f>+'Vida Digna'!AD12</f>
        <v>1</v>
      </c>
      <c r="L49" s="5">
        <f>+'Vida Digna'!AE12</f>
        <v>0.5</v>
      </c>
      <c r="M49" s="5">
        <f>+'Vida Digna'!AI12</f>
        <v>0.23511904761904762</v>
      </c>
      <c r="N49" s="5">
        <f>+'Vida Digna'!AJ12</f>
        <v>0.57440476190476186</v>
      </c>
      <c r="O49" s="5">
        <f>+'Vida Digna'!AK12</f>
        <v>0.69940476190476186</v>
      </c>
      <c r="P49" s="33">
        <f>+'Vida Digna'!AL12</f>
        <v>5.261904761904761E-3</v>
      </c>
      <c r="Q49" s="33">
        <f>+'Vida Digna'!AM12</f>
        <v>0.58452380952380956</v>
      </c>
      <c r="R49" s="33">
        <f>+'Vida Digna'!AN12</f>
        <v>0.73452380952380958</v>
      </c>
      <c r="S49" s="25"/>
      <c r="T49" s="2"/>
      <c r="U49" s="83"/>
    </row>
    <row r="50" spans="2:21" ht="39.6" customHeight="1" x14ac:dyDescent="0.7">
      <c r="B50" s="32" t="s">
        <v>1684</v>
      </c>
      <c r="C50" s="1592"/>
      <c r="D50" s="5">
        <f>+'Vida Digna'!J15</f>
        <v>0.24305555555555555</v>
      </c>
      <c r="E50" s="5">
        <f>+'Vida Digna'!K15</f>
        <v>0.26562064156206416</v>
      </c>
      <c r="F50" s="5">
        <f>+'Vida Digna'!L15</f>
        <v>0.29013947001394697</v>
      </c>
      <c r="G50" s="5">
        <f t="shared" si="15"/>
        <v>0.51059598300484288</v>
      </c>
      <c r="H50" s="5">
        <f t="shared" si="5"/>
        <v>0.68818619810177828</v>
      </c>
      <c r="I50" s="5">
        <f>+'Vida Digna'!M15</f>
        <v>0.22361111111111112</v>
      </c>
      <c r="J50" s="5">
        <f>+'Vida Digna'!N15</f>
        <v>0.2536436541143654</v>
      </c>
      <c r="K50" s="5">
        <f>+'Vida Digna'!AD15</f>
        <v>0.74378181818181821</v>
      </c>
      <c r="L50" s="5">
        <f>+'Vida Digna'!AE15</f>
        <v>0.29472727272727273</v>
      </c>
      <c r="M50" s="5">
        <f>+'Vida Digna'!AI15</f>
        <v>0.24497534144277869</v>
      </c>
      <c r="N50" s="5">
        <f>+'Vida Digna'!AJ15</f>
        <v>0.39804672808783126</v>
      </c>
      <c r="O50" s="5">
        <f>+'Vida Digna'!AK15</f>
        <v>0.4717285462696495</v>
      </c>
      <c r="P50" s="33">
        <f>+'Vida Digna'!AL15</f>
        <v>2.2443072307612263E-2</v>
      </c>
      <c r="Q50" s="33">
        <f>+'Vida Digna'!AM15</f>
        <v>0.43835776173121815</v>
      </c>
      <c r="R50" s="33">
        <f>+'Vida Digna'!AN15</f>
        <v>0.53328957991303627</v>
      </c>
      <c r="S50" s="25"/>
      <c r="T50" s="2"/>
      <c r="U50" s="83"/>
    </row>
    <row r="51" spans="2:21" ht="36.6" x14ac:dyDescent="0.7">
      <c r="B51" s="32" t="s">
        <v>1643</v>
      </c>
      <c r="C51" s="1592"/>
      <c r="D51" s="5">
        <f>+'Vida Digna'!J21</f>
        <v>0.28974632671496775</v>
      </c>
      <c r="E51" s="5">
        <f>+'Vida Digna'!K21</f>
        <v>0.22570672713529855</v>
      </c>
      <c r="F51" s="5">
        <f>+'Vida Digna'!L21</f>
        <v>0.21716221447928766</v>
      </c>
      <c r="G51" s="5">
        <f t="shared" si="15"/>
        <v>0.6101491436683073</v>
      </c>
      <c r="H51" s="5">
        <f t="shared" si="5"/>
        <v>0.76486380270265286</v>
      </c>
      <c r="I51" s="5">
        <f>+'Vida Digna'!M21</f>
        <v>0.28333533359143115</v>
      </c>
      <c r="J51" s="5">
        <f>+'Vida Digna'!N21</f>
        <v>0.22066402116402117</v>
      </c>
      <c r="K51" s="5">
        <f>+'Vida Digna'!AD21</f>
        <v>0.75412917795844614</v>
      </c>
      <c r="L51" s="5">
        <f>+'Vida Digna'!AE21</f>
        <v>0.61597492523579489</v>
      </c>
      <c r="M51" s="5">
        <f>+'Vida Digna'!AI21</f>
        <v>0.38444241653300881</v>
      </c>
      <c r="N51" s="5">
        <f>+'Vida Digna'!AJ21</f>
        <v>0.54770158822336523</v>
      </c>
      <c r="O51" s="5">
        <f>+'Vida Digna'!AK21</f>
        <v>0.66380860664048824</v>
      </c>
      <c r="P51" s="33">
        <f>+'Vida Digna'!AL21</f>
        <v>3.9090985933668859E-2</v>
      </c>
      <c r="Q51" s="33">
        <f>+'Vida Digna'!AM21</f>
        <v>0.56458837430636211</v>
      </c>
      <c r="R51" s="33">
        <f>+'Vida Digna'!AN21</f>
        <v>0.67562312072525499</v>
      </c>
      <c r="S51" s="25"/>
      <c r="T51" s="2"/>
      <c r="U51" s="83"/>
    </row>
    <row r="52" spans="2:21" ht="21.6" customHeight="1" x14ac:dyDescent="0.7">
      <c r="B52" s="32" t="s">
        <v>1644</v>
      </c>
      <c r="C52" s="1592"/>
      <c r="D52" s="5">
        <f>+'Vida Digna'!J29</f>
        <v>0.15707666719467767</v>
      </c>
      <c r="E52" s="5">
        <f>+'Vida Digna'!K29</f>
        <v>0.26624623792174879</v>
      </c>
      <c r="F52" s="5">
        <f>+'Vida Digna'!L29</f>
        <v>0.25778816199376947</v>
      </c>
      <c r="G52" s="5">
        <f t="shared" si="15"/>
        <v>0.5515008712181213</v>
      </c>
      <c r="H52" s="5">
        <v>1</v>
      </c>
      <c r="I52" s="5">
        <f>+'Vida Digna'!M29</f>
        <v>0.14557658799303025</v>
      </c>
      <c r="J52" s="5">
        <f>+'Vida Digna'!N29</f>
        <v>0.263632583557738</v>
      </c>
      <c r="K52" s="5">
        <f>+'Vida Digna'!AD29</f>
        <v>1</v>
      </c>
      <c r="L52" s="5">
        <f>+'Vida Digna'!AE29</f>
        <v>0.80629539951573848</v>
      </c>
      <c r="M52" s="5">
        <f>+'Vida Digna'!AI29</f>
        <v>0.28525463329637252</v>
      </c>
      <c r="N52" s="5">
        <f>+'Vida Digna'!AJ29</f>
        <v>0.78257167749089174</v>
      </c>
      <c r="O52" s="5">
        <f>+'Vida Digna'!AK29</f>
        <v>0.89077102803738317</v>
      </c>
      <c r="P52" s="33">
        <f>+'Vida Digna'!AL29</f>
        <v>1.4958914145414224E-2</v>
      </c>
      <c r="Q52" s="33">
        <f>+'Vida Digna'!AM29</f>
        <v>0.80359971487406945</v>
      </c>
      <c r="R52" s="33">
        <f>+'Vida Digna'!AN29</f>
        <v>0.90011682242990654</v>
      </c>
      <c r="S52" s="25"/>
      <c r="T52" s="2"/>
      <c r="U52" s="83"/>
    </row>
    <row r="53" spans="2:21" ht="37.200000000000003" customHeight="1" x14ac:dyDescent="0.7">
      <c r="B53" s="32" t="s">
        <v>1645</v>
      </c>
      <c r="C53" s="1592"/>
      <c r="D53" s="5">
        <f>+'Vida Digna'!J34</f>
        <v>0.44396853146853149</v>
      </c>
      <c r="E53" s="5">
        <f>+'Vida Digna'!K34</f>
        <v>0.2717074592074592</v>
      </c>
      <c r="F53" s="5">
        <f>+'Vida Digna'!L34</f>
        <v>0.12613636363636363</v>
      </c>
      <c r="G53" s="5">
        <f t="shared" si="15"/>
        <v>0.41523310023310023</v>
      </c>
      <c r="H53" s="5">
        <f t="shared" si="5"/>
        <v>0.76856060606060606</v>
      </c>
      <c r="I53" s="5">
        <f>+'Vida Digna'!M34</f>
        <v>0.55517482517482519</v>
      </c>
      <c r="J53" s="5">
        <f>+'Vida Digna'!N34</f>
        <v>0.28403263403263401</v>
      </c>
      <c r="K53" s="5">
        <f>+'Vida Digna'!AD34</f>
        <v>0.96666666666666667</v>
      </c>
      <c r="L53" s="5">
        <f>+'Vida Digna'!AE34</f>
        <v>0.33333333333333331</v>
      </c>
      <c r="M53" s="5">
        <f>+'Vida Digna'!AI34</f>
        <v>0.14352564102564103</v>
      </c>
      <c r="N53" s="5">
        <f>+'Vida Digna'!AJ34</f>
        <v>0.64242424242424245</v>
      </c>
      <c r="O53" s="5">
        <f>+'Vida Digna'!AK34</f>
        <v>0.64242424242424245</v>
      </c>
      <c r="P53" s="33">
        <f>+'Vida Digna'!AL34</f>
        <v>3.6297435897435898E-3</v>
      </c>
      <c r="Q53" s="33">
        <f>+'Vida Digna'!AM34</f>
        <v>0.71393939393939398</v>
      </c>
      <c r="R53" s="33">
        <f>+'Vida Digna'!AN34</f>
        <v>0.71393939393939398</v>
      </c>
      <c r="S53" s="25"/>
      <c r="T53" s="2"/>
      <c r="U53" s="83"/>
    </row>
    <row r="54" spans="2:21" ht="36.6" x14ac:dyDescent="0.7">
      <c r="B54" s="32" t="s">
        <v>1685</v>
      </c>
      <c r="C54" s="1592"/>
      <c r="D54" s="5">
        <f>+'Vida Digna'!J39</f>
        <v>0.40860215053763443</v>
      </c>
      <c r="E54" s="5">
        <f>+'Vida Digna'!K39</f>
        <v>0.19892473118279572</v>
      </c>
      <c r="F54" s="5">
        <f>+'Vida Digna'!L39</f>
        <v>0.25</v>
      </c>
      <c r="G54" s="5">
        <f t="shared" si="15"/>
        <v>0.442349045274959</v>
      </c>
      <c r="H54" s="5">
        <f t="shared" si="5"/>
        <v>0.9699403239556692</v>
      </c>
      <c r="I54" s="5">
        <f>+'Vida Digna'!M39</f>
        <v>0.34516129032258069</v>
      </c>
      <c r="J54" s="5">
        <f>+'Vida Digna'!N39</f>
        <v>0.21935483870967742</v>
      </c>
      <c r="K54" s="5">
        <f>+'Vida Digna'!AD39</f>
        <v>0.84513213981244684</v>
      </c>
      <c r="L54" s="5">
        <f>+'Vida Digna'!AE39</f>
        <v>0.1111111111111111</v>
      </c>
      <c r="M54" s="5">
        <f>+'Vida Digna'!AI39</f>
        <v>0.24342431409216325</v>
      </c>
      <c r="N54" s="5">
        <f>+'Vida Digna'!AJ39</f>
        <v>0.7199403239556692</v>
      </c>
      <c r="O54" s="5">
        <f>+'Vida Digna'!AK39</f>
        <v>0.7199403239556692</v>
      </c>
      <c r="P54" s="33">
        <f>+'Vida Digna'!AL39</f>
        <v>9.3589740945466543E-3</v>
      </c>
      <c r="Q54" s="33">
        <f>+'Vida Digna'!AM39</f>
        <v>0.57991048593350381</v>
      </c>
      <c r="R54" s="33">
        <f>+'Vida Digna'!AN39</f>
        <v>0.57991048593350381</v>
      </c>
      <c r="S54" s="25"/>
      <c r="T54" s="2"/>
      <c r="U54" s="83"/>
    </row>
    <row r="55" spans="2:21" ht="34.200000000000003" customHeight="1" x14ac:dyDescent="0.7">
      <c r="B55" s="32" t="s">
        <v>1647</v>
      </c>
      <c r="C55" s="1592"/>
      <c r="D55" s="5">
        <f>+'Vida Digna'!J43</f>
        <v>0.40173750334135255</v>
      </c>
      <c r="E55" s="5">
        <f>+'Vida Digna'!K43</f>
        <v>0.22403635391606525</v>
      </c>
      <c r="F55" s="5">
        <f>+'Vida Digna'!L43</f>
        <v>0.21467187917669073</v>
      </c>
      <c r="G55" s="5">
        <f t="shared" si="15"/>
        <v>0.39633520449077786</v>
      </c>
      <c r="H55" s="5">
        <f t="shared" si="5"/>
        <v>0.73373630045442395</v>
      </c>
      <c r="I55" s="5">
        <f>+'Vida Digna'!M43</f>
        <v>0.32804397219994652</v>
      </c>
      <c r="J55" s="5">
        <f>+'Vida Digna'!N43</f>
        <v>0.24091753541833738</v>
      </c>
      <c r="K55" s="5">
        <f>+'Vida Digna'!AD43</f>
        <v>0.67272727272727273</v>
      </c>
      <c r="L55" s="5">
        <f>+'Vida Digna'!AE43</f>
        <v>0.47272727272727266</v>
      </c>
      <c r="M55" s="5">
        <f>+'Vida Digna'!AI43</f>
        <v>0.17229885057471264</v>
      </c>
      <c r="N55" s="5">
        <f>+'Vida Digna'!AJ43</f>
        <v>0.51906442127773322</v>
      </c>
      <c r="O55" s="5">
        <f>+'Vida Digna'!AK43</f>
        <v>0.58843090082865535</v>
      </c>
      <c r="P55" s="33">
        <f>+'Vida Digna'!AL43</f>
        <v>2.7574712643678163E-3</v>
      </c>
      <c r="Q55" s="33">
        <f>+'Vida Digna'!AM43</f>
        <v>0.44778401496925957</v>
      </c>
      <c r="R55" s="33">
        <f>+'Vida Digna'!AN43</f>
        <v>0.56065490510558669</v>
      </c>
      <c r="S55" s="25"/>
      <c r="T55" s="2"/>
      <c r="U55" s="83"/>
    </row>
    <row r="56" spans="2:21" ht="25.95" customHeight="1" x14ac:dyDescent="0.7">
      <c r="B56" s="32" t="s">
        <v>1648</v>
      </c>
      <c r="C56" s="1592"/>
      <c r="D56" s="5">
        <f>+'Vida Digna'!J49</f>
        <v>0</v>
      </c>
      <c r="E56" s="5">
        <f>+'Vida Digna'!K49</f>
        <v>6.6666666666666666E-2</v>
      </c>
      <c r="F56" s="5">
        <f>+'Vida Digna'!L49</f>
        <v>0.33333333333333331</v>
      </c>
      <c r="G56" s="5">
        <f t="shared" si="15"/>
        <v>6.6666666666666666E-2</v>
      </c>
      <c r="H56" s="5">
        <f t="shared" si="5"/>
        <v>0.66666666666666663</v>
      </c>
      <c r="I56" s="5">
        <f>+'Vida Digna'!M49</f>
        <v>0</v>
      </c>
      <c r="J56" s="5">
        <f>+'Vida Digna'!N49</f>
        <v>6.6666666666666666E-2</v>
      </c>
      <c r="K56" s="5">
        <f>+'Vida Digna'!AD49</f>
        <v>1</v>
      </c>
      <c r="L56" s="5">
        <f>+'Vida Digna'!AE49</f>
        <v>0</v>
      </c>
      <c r="M56" s="5">
        <f>+'Vida Digna'!AI49</f>
        <v>0</v>
      </c>
      <c r="N56" s="5">
        <f>+'Vida Digna'!AJ49</f>
        <v>0.33333333333333331</v>
      </c>
      <c r="O56" s="5">
        <f>+'Vida Digna'!AK49</f>
        <v>0.33333333333333331</v>
      </c>
      <c r="P56" s="33">
        <f>+'Vida Digna'!AL49</f>
        <v>0</v>
      </c>
      <c r="Q56" s="33">
        <f>+'Vida Digna'!AM49</f>
        <v>0.33333333333333331</v>
      </c>
      <c r="R56" s="33">
        <f>+'Vida Digna'!AN49</f>
        <v>0.33333333333333331</v>
      </c>
      <c r="S56" s="25"/>
      <c r="T56" s="2"/>
      <c r="U56" s="83"/>
    </row>
    <row r="57" spans="2:21" ht="55.95" customHeight="1" x14ac:dyDescent="0.7">
      <c r="B57" s="32" t="s">
        <v>1649</v>
      </c>
      <c r="C57" s="1592"/>
      <c r="D57" s="5">
        <f>+'Vida Digna'!J52</f>
        <v>0.20288161993769471</v>
      </c>
      <c r="E57" s="5">
        <f>+'Vida Digna'!K52</f>
        <v>0.21845794392523366</v>
      </c>
      <c r="F57" s="5">
        <f>+'Vida Digna'!L52</f>
        <v>0.25</v>
      </c>
      <c r="G57" s="5">
        <f t="shared" si="15"/>
        <v>0.60311526479750777</v>
      </c>
      <c r="H57" s="5">
        <v>1</v>
      </c>
      <c r="I57" s="5">
        <f>+'Vida Digna'!M52</f>
        <v>0.18177570093457943</v>
      </c>
      <c r="J57" s="5">
        <f>+'Vida Digna'!N52</f>
        <v>0.19813084112149532</v>
      </c>
      <c r="K57" s="5">
        <f>+'Vida Digna'!AD52</f>
        <v>0.98888888888888893</v>
      </c>
      <c r="L57" s="5">
        <f>+'Vida Digna'!AE52</f>
        <v>0.15866666666666665</v>
      </c>
      <c r="M57" s="5">
        <f>+'Vida Digna'!AI52</f>
        <v>0.38465732087227411</v>
      </c>
      <c r="N57" s="5">
        <f>+'Vida Digna'!AJ52</f>
        <v>0.77749999999999997</v>
      </c>
      <c r="O57" s="5">
        <f>+'Vida Digna'!AK52</f>
        <v>0.81716666666666671</v>
      </c>
      <c r="P57" s="33">
        <f>+'Vida Digna'!AL52</f>
        <v>7.6028037383177559E-3</v>
      </c>
      <c r="Q57" s="33">
        <f>+'Vida Digna'!AM52</f>
        <v>0.84124999999999994</v>
      </c>
      <c r="R57" s="33">
        <f>+'Vida Digna'!AN52</f>
        <v>0.90074999999999994</v>
      </c>
      <c r="S57" s="25"/>
      <c r="T57" s="2"/>
      <c r="U57" s="83"/>
    </row>
    <row r="58" spans="2:21" ht="52.95" customHeight="1" x14ac:dyDescent="0.7">
      <c r="B58" s="32" t="s">
        <v>1650</v>
      </c>
      <c r="C58" s="1592"/>
      <c r="D58" s="5">
        <f>+'Vida Digna'!J56</f>
        <v>0.19781931464174454</v>
      </c>
      <c r="E58" s="5">
        <f>+'Vida Digna'!K56</f>
        <v>0.12694704049844238</v>
      </c>
      <c r="F58" s="5">
        <f>+'Vida Digna'!L56</f>
        <v>0.3259345794392523</v>
      </c>
      <c r="G58" s="5">
        <f t="shared" si="15"/>
        <v>0.24143302180685361</v>
      </c>
      <c r="H58" s="5">
        <f t="shared" si="5"/>
        <v>0.69852024922118372</v>
      </c>
      <c r="I58" s="5">
        <f>+'Vida Digna'!M56</f>
        <v>0.17172897196261683</v>
      </c>
      <c r="J58" s="5">
        <f>+'Vida Digna'!N56</f>
        <v>0.16542056074766354</v>
      </c>
      <c r="K58" s="5">
        <f>+'Vida Digna'!AD56</f>
        <v>1</v>
      </c>
      <c r="L58" s="5">
        <f>+'Vida Digna'!AE56</f>
        <v>0.61627906976744184</v>
      </c>
      <c r="M58" s="5">
        <f>+'Vida Digna'!AI56</f>
        <v>0.11448598130841121</v>
      </c>
      <c r="N58" s="5">
        <f>+'Vida Digna'!AJ56</f>
        <v>0.37258566978193147</v>
      </c>
      <c r="O58" s="5">
        <f>+'Vida Digna'!AK56</f>
        <v>0.35591900311526481</v>
      </c>
      <c r="P58" s="33">
        <f>+'Vida Digna'!AL56</f>
        <v>2.9345794392523369E-3</v>
      </c>
      <c r="Q58" s="33">
        <f>+'Vida Digna'!AM56</f>
        <v>0.47887850467289728</v>
      </c>
      <c r="R58" s="33">
        <f>+'Vida Digna'!AN56</f>
        <v>0.45887850467289726</v>
      </c>
      <c r="S58" s="25"/>
      <c r="T58" s="2"/>
      <c r="U58" s="83"/>
    </row>
    <row r="59" spans="2:21" ht="46.95" customHeight="1" x14ac:dyDescent="0.7">
      <c r="B59" s="32" t="s">
        <v>1686</v>
      </c>
      <c r="C59" s="1592"/>
      <c r="D59" s="5">
        <f>+'Vida Digna'!J60</f>
        <v>0.21443137254901962</v>
      </c>
      <c r="E59" s="5">
        <f>+'Vida Digna'!K60</f>
        <v>0.2941830065359477</v>
      </c>
      <c r="F59" s="5">
        <f>+'Vida Digna'!L60</f>
        <v>0.32348459383753497</v>
      </c>
      <c r="G59" s="5">
        <f t="shared" si="15"/>
        <v>0.48618660130718949</v>
      </c>
      <c r="H59" s="5">
        <f t="shared" si="5"/>
        <v>0.63706512605042009</v>
      </c>
      <c r="I59" s="5">
        <f>+'Vida Digna'!M60</f>
        <v>0.15490686274509805</v>
      </c>
      <c r="J59" s="5">
        <f>+'Vida Digna'!N60</f>
        <v>0.28919771241830067</v>
      </c>
      <c r="K59" s="5">
        <f>+'Vida Digna'!AD60</f>
        <v>0.51087674487674484</v>
      </c>
      <c r="L59" s="5">
        <f>+'Vida Digna'!AE60</f>
        <v>8.6831070702038451E-2</v>
      </c>
      <c r="M59" s="5">
        <f>+'Vida Digna'!AI60</f>
        <v>0.19200359477124182</v>
      </c>
      <c r="N59" s="5">
        <f>+'Vida Digna'!AJ60</f>
        <v>0.31358053221288518</v>
      </c>
      <c r="O59" s="5">
        <f>+'Vida Digna'!AK60</f>
        <v>0.34188258636788049</v>
      </c>
      <c r="P59" s="33">
        <f>+'Vida Digna'!AL60</f>
        <v>1.4392630718954247E-2</v>
      </c>
      <c r="Q59" s="33">
        <f>+'Vida Digna'!AM60</f>
        <v>0.30288872549019608</v>
      </c>
      <c r="R59" s="33">
        <f>+'Vida Digna'!AN60</f>
        <v>0.36099477124183005</v>
      </c>
      <c r="S59" s="25"/>
      <c r="T59" s="2"/>
      <c r="U59" s="83"/>
    </row>
    <row r="60" spans="2:21" ht="55.2" customHeight="1" x14ac:dyDescent="0.7">
      <c r="B60" s="32" t="s">
        <v>1687</v>
      </c>
      <c r="C60" s="1592"/>
      <c r="D60" s="5">
        <f>+'Vida Digna'!J68</f>
        <v>0.20065789473684209</v>
      </c>
      <c r="E60" s="5">
        <f>+'Vida Digna'!K68</f>
        <v>0.29276315789473684</v>
      </c>
      <c r="F60" s="5">
        <f>+'Vida Digna'!L68</f>
        <v>0.31776315789473686</v>
      </c>
      <c r="G60" s="5">
        <f t="shared" si="15"/>
        <v>0.42973684210526314</v>
      </c>
      <c r="H60" s="5">
        <f t="shared" si="5"/>
        <v>0.75360526315789467</v>
      </c>
      <c r="I60" s="5">
        <f>+'Vida Digna'!M68</f>
        <v>0.24013157894736842</v>
      </c>
      <c r="J60" s="5">
        <f>+'Vida Digna'!N68</f>
        <v>0.25855263157894737</v>
      </c>
      <c r="K60" s="5">
        <f>+'Vida Digna'!AD68</f>
        <v>0.79437499999999994</v>
      </c>
      <c r="L60" s="5">
        <f>+'Vida Digna'!AE68</f>
        <v>6.8312500000000012E-2</v>
      </c>
      <c r="M60" s="5">
        <f>+'Vida Digna'!AI68</f>
        <v>0.1369736842105263</v>
      </c>
      <c r="N60" s="5">
        <f>+'Vida Digna'!AJ68</f>
        <v>0.43584210526315786</v>
      </c>
      <c r="O60" s="5">
        <f>+'Vida Digna'!AK68</f>
        <v>0.45382894736842105</v>
      </c>
      <c r="P60" s="33">
        <f>+'Vida Digna'!AL68</f>
        <v>3.7978947368421051E-3</v>
      </c>
      <c r="Q60" s="33">
        <f>+'Vida Digna'!AM68</f>
        <v>0.46981842105263161</v>
      </c>
      <c r="R60" s="33">
        <f>+'Vida Digna'!AN68</f>
        <v>0.50581578947368422</v>
      </c>
      <c r="S60" s="25"/>
      <c r="T60" s="2"/>
      <c r="U60" s="83"/>
    </row>
    <row r="61" spans="2:21" ht="28.95" customHeight="1" x14ac:dyDescent="0.7">
      <c r="B61" s="32" t="s">
        <v>1688</v>
      </c>
      <c r="C61" s="1592"/>
      <c r="D61" s="5">
        <f>+'Vida Digna'!J73</f>
        <v>0.26633986928104575</v>
      </c>
      <c r="E61" s="5">
        <f>+'Vida Digna'!K73</f>
        <v>0.51470588235294124</v>
      </c>
      <c r="F61" s="5">
        <f>+'Vida Digna'!L73</f>
        <v>0.57598039215686281</v>
      </c>
      <c r="G61" s="5">
        <f t="shared" si="15"/>
        <v>0.62359477124183016</v>
      </c>
      <c r="H61" s="5">
        <v>1</v>
      </c>
      <c r="I61" s="5">
        <f>+'Vida Digna'!M73</f>
        <v>0.26470588235294118</v>
      </c>
      <c r="J61" s="5">
        <f>+'Vida Digna'!N73</f>
        <v>0.4882352941176471</v>
      </c>
      <c r="K61" s="5">
        <f>+'Vida Digna'!AD73</f>
        <v>0.89111111111111108</v>
      </c>
      <c r="L61" s="5">
        <f>+'Vida Digna'!AE73</f>
        <v>0.33333333333333331</v>
      </c>
      <c r="M61" s="5">
        <f>+'Vida Digna'!AI73</f>
        <v>0.10888888888888888</v>
      </c>
      <c r="N61" s="5">
        <f>+'Vida Digna'!AJ73</f>
        <v>0.51470588235294124</v>
      </c>
      <c r="O61" s="5">
        <f>+'Vida Digna'!AK73</f>
        <v>0.51470588235294124</v>
      </c>
      <c r="P61" s="33">
        <f>+'Vida Digna'!AL73</f>
        <v>1.9599999999999999E-3</v>
      </c>
      <c r="Q61" s="33">
        <f>+'Vida Digna'!AM73</f>
        <v>0.4882352941176471</v>
      </c>
      <c r="R61" s="33">
        <f>+'Vida Digna'!AN73</f>
        <v>0.4882352941176471</v>
      </c>
      <c r="S61" s="25"/>
      <c r="T61" s="2"/>
      <c r="U61" s="83"/>
    </row>
    <row r="62" spans="2:21" ht="37.200000000000003" customHeight="1" x14ac:dyDescent="0.7">
      <c r="B62" s="32" t="s">
        <v>1689</v>
      </c>
      <c r="C62" s="1592"/>
      <c r="D62" s="5">
        <f>+'Vida Digna'!J77</f>
        <v>0.19</v>
      </c>
      <c r="E62" s="5">
        <f>+'Vida Digna'!K77</f>
        <v>0.25316323485526709</v>
      </c>
      <c r="F62" s="5">
        <f>+'Vida Digna'!L77</f>
        <v>0</v>
      </c>
      <c r="G62" s="5">
        <f t="shared" si="15"/>
        <v>0.25316323485526709</v>
      </c>
      <c r="H62" s="5">
        <f t="shared" si="5"/>
        <v>0.10991495076096687</v>
      </c>
      <c r="I62" s="5">
        <f>+'Vida Digna'!M77</f>
        <v>3.9E-2</v>
      </c>
      <c r="J62" s="5">
        <f>+'Vida Digna'!N77</f>
        <v>0.10689794091316027</v>
      </c>
      <c r="K62" s="5">
        <f>+'Vida Digna'!AD77</f>
        <v>0.90476190476190477</v>
      </c>
      <c r="L62" s="5"/>
      <c r="M62" s="5">
        <f>+'Vida Digna'!AI77</f>
        <v>0</v>
      </c>
      <c r="N62" s="5">
        <f>+'Vida Digna'!AJ77</f>
        <v>0.10991495076096687</v>
      </c>
      <c r="O62" s="5">
        <f>+'Vida Digna'!AK77</f>
        <v>0.10991495076096687</v>
      </c>
      <c r="P62" s="33">
        <f>+'Vida Digna'!AL77</f>
        <v>0</v>
      </c>
      <c r="Q62" s="33">
        <f>+'Vida Digna'!AM77</f>
        <v>9.6897940913160258E-2</v>
      </c>
      <c r="R62" s="33">
        <f>+'Vida Digna'!AN77</f>
        <v>9.6897940913160258E-2</v>
      </c>
      <c r="S62" s="25"/>
      <c r="T62" s="2"/>
      <c r="U62" s="83"/>
    </row>
    <row r="63" spans="2:21" ht="50.4" customHeight="1" x14ac:dyDescent="0.7">
      <c r="B63" s="32" t="s">
        <v>1690</v>
      </c>
      <c r="C63" s="1592"/>
      <c r="D63" s="5">
        <f>+'Vida Digna'!J85</f>
        <v>0.36527777777777776</v>
      </c>
      <c r="E63" s="5">
        <f>+'Vida Digna'!K85</f>
        <v>0.24861111111111106</v>
      </c>
      <c r="F63" s="5">
        <f>+'Vida Digna'!L85</f>
        <v>0.21006944444444442</v>
      </c>
      <c r="G63" s="5">
        <f t="shared" si="15"/>
        <v>0.69638888888888884</v>
      </c>
      <c r="H63" s="5">
        <f t="shared" si="5"/>
        <v>0.96648611111111105</v>
      </c>
      <c r="I63" s="5">
        <f>+'Vida Digna'!M85</f>
        <v>0.41006944444444449</v>
      </c>
      <c r="J63" s="5">
        <f>+'Vida Digna'!N85</f>
        <v>0.24340277777777775</v>
      </c>
      <c r="K63" s="5">
        <f>+'Vida Digna'!AD85</f>
        <v>0.82899999999999996</v>
      </c>
      <c r="L63" s="5">
        <f>+'Vida Digna'!AE85</f>
        <v>0.504</v>
      </c>
      <c r="M63" s="5">
        <f>+'Vida Digna'!AI85</f>
        <v>0.44777777777777777</v>
      </c>
      <c r="N63" s="5">
        <f>+'Vida Digna'!AJ85</f>
        <v>0.75641666666666663</v>
      </c>
      <c r="O63" s="5">
        <f>+'Vida Digna'!AK85</f>
        <v>0.79558333333333331</v>
      </c>
      <c r="P63" s="33">
        <f>+'Vida Digna'!AL85</f>
        <v>4.2475000000000006E-2</v>
      </c>
      <c r="Q63" s="33">
        <f>+'Vida Digna'!AM85</f>
        <v>0.70870833333333327</v>
      </c>
      <c r="R63" s="33">
        <f>+'Vida Digna'!AN85</f>
        <v>0.74558333333333326</v>
      </c>
      <c r="S63" s="25"/>
      <c r="T63" s="2"/>
      <c r="U63" s="83"/>
    </row>
    <row r="64" spans="2:21" ht="73.2" customHeight="1" x14ac:dyDescent="0.7">
      <c r="B64" s="30" t="str">
        <f>+'Vida Digna'!B91:C91</f>
        <v xml:space="preserve"> Acceso a Servicios Básicos
</v>
      </c>
      <c r="C64" s="1592"/>
      <c r="D64" s="23">
        <f t="shared" ref="D64:I64" si="17">+(D65+D66+D67)/3</f>
        <v>0.36897145335135689</v>
      </c>
      <c r="E64" s="23">
        <f t="shared" si="17"/>
        <v>0.37316486001714971</v>
      </c>
      <c r="F64" s="23">
        <f t="shared" ref="F64" si="18">+(F65+F66+F67)/3</f>
        <v>0.45902477549928916</v>
      </c>
      <c r="G64" s="23">
        <f t="shared" si="15"/>
        <v>0.4942397664731964</v>
      </c>
      <c r="H64" s="23">
        <f t="shared" si="5"/>
        <v>0.8285663941096183</v>
      </c>
      <c r="I64" s="24">
        <f t="shared" si="17"/>
        <v>0.13546025296319508</v>
      </c>
      <c r="J64" s="24">
        <f t="shared" ref="J64:L64" si="19">+(J65+J66+J67)/3</f>
        <v>0.19876656861431621</v>
      </c>
      <c r="K64" s="24">
        <f t="shared" si="19"/>
        <v>0.67621105726609232</v>
      </c>
      <c r="L64" s="24">
        <f t="shared" si="19"/>
        <v>0.36923564775930373</v>
      </c>
      <c r="M64" s="23">
        <f>+(M65+M66+M67)/3</f>
        <v>0.12107490645604667</v>
      </c>
      <c r="N64" s="23">
        <f>+(N65+N66+N67)/3</f>
        <v>0.36954161861032914</v>
      </c>
      <c r="O64" s="23">
        <f>+(O65+O66+O67)/3</f>
        <v>0.51462158645123768</v>
      </c>
      <c r="P64" s="31">
        <f>+(P65+P66+P67)</f>
        <v>0.1147193821346188</v>
      </c>
      <c r="Q64" s="31">
        <f>+'Vida Digna'!AM91</f>
        <v>0.34878279505494242</v>
      </c>
      <c r="R64" s="31">
        <f>+'Vida Digna'!AN91</f>
        <v>0.50564363336259133</v>
      </c>
      <c r="S64" s="25"/>
      <c r="T64" s="2"/>
      <c r="U64" s="83"/>
    </row>
    <row r="65" spans="2:21" ht="33.6" customHeight="1" x14ac:dyDescent="0.7">
      <c r="B65" s="32" t="s">
        <v>1691</v>
      </c>
      <c r="C65" s="1592"/>
      <c r="D65" s="5">
        <f>+'Vida Digna'!J92</f>
        <v>0.36703340767311832</v>
      </c>
      <c r="E65" s="5">
        <f>+'Vida Digna'!K92</f>
        <v>0.21758981814668724</v>
      </c>
      <c r="F65" s="5">
        <f>+'Vida Digna'!L92</f>
        <v>0.47422563602167717</v>
      </c>
      <c r="G65" s="5">
        <f t="shared" si="15"/>
        <v>0.37590977561006533</v>
      </c>
      <c r="H65" s="5">
        <f t="shared" si="5"/>
        <v>0.96843164264631532</v>
      </c>
      <c r="I65" s="5">
        <f>+'Vida Digna'!M92</f>
        <v>0.19522004460387099</v>
      </c>
      <c r="J65" s="5">
        <f>+'Vida Digna'!N92</f>
        <v>0.17639494393818686</v>
      </c>
      <c r="K65" s="5">
        <f>+'Vida Digna'!AD92</f>
        <v>0.75411296977807518</v>
      </c>
      <c r="L65" s="5">
        <f>+'Vida Digna'!AE92</f>
        <v>0.32717358726621898</v>
      </c>
      <c r="M65" s="5">
        <f>+'Vida Digna'!AI92</f>
        <v>0.1583199574633781</v>
      </c>
      <c r="N65" s="5">
        <f>+'Vida Digna'!AJ92</f>
        <v>0.49420600662463821</v>
      </c>
      <c r="O65" s="5">
        <f>+'Vida Digna'!AK92</f>
        <v>0.55263341014736389</v>
      </c>
      <c r="P65" s="33">
        <f>+'Vida Digna'!AL92</f>
        <v>5.7744382134618799E-2</v>
      </c>
      <c r="Q65" s="33">
        <f>+'Vida Digna'!AM92</f>
        <v>0.42700370015697831</v>
      </c>
      <c r="R65" s="33">
        <f>+'Vida Digna'!AN92</f>
        <v>0.47510073817883236</v>
      </c>
      <c r="S65" s="25"/>
      <c r="T65" s="2"/>
      <c r="U65" s="83"/>
    </row>
    <row r="66" spans="2:21" ht="51" customHeight="1" x14ac:dyDescent="0.7">
      <c r="B66" s="32" t="s">
        <v>1692</v>
      </c>
      <c r="C66" s="1592"/>
      <c r="D66" s="5">
        <f>+'Vida Digna'!J101</f>
        <v>0.11488095238095238</v>
      </c>
      <c r="E66" s="5">
        <f>+'Vida Digna'!K101</f>
        <v>0.27142857142857141</v>
      </c>
      <c r="F66" s="5">
        <f>+'Vida Digna'!L101</f>
        <v>0.32299107142857142</v>
      </c>
      <c r="G66" s="5">
        <f t="shared" si="15"/>
        <v>0.35133333333333333</v>
      </c>
      <c r="H66" s="5">
        <f t="shared" si="5"/>
        <v>0.60975297619047619</v>
      </c>
      <c r="I66" s="5">
        <f>+'Vida Digna'!M101</f>
        <v>8.6160714285714285E-2</v>
      </c>
      <c r="J66" s="5">
        <f>+'Vida Digna'!N101</f>
        <v>0.20357142857142857</v>
      </c>
      <c r="K66" s="5">
        <f>+'Vida Digna'!AD101</f>
        <v>0.66666666666666663</v>
      </c>
      <c r="L66" s="5">
        <f>+'Vida Digna'!AE101</f>
        <v>0.35708163265306125</v>
      </c>
      <c r="M66" s="5">
        <f>+'Vida Digna'!AI101</f>
        <v>7.9904761904761909E-2</v>
      </c>
      <c r="N66" s="5">
        <f>+'Vida Digna'!AJ101</f>
        <v>0.28676190476190477</v>
      </c>
      <c r="O66" s="5">
        <f>+'Vida Digna'!AK101</f>
        <v>0.54849107142857145</v>
      </c>
      <c r="P66" s="33">
        <f>+'Vida Digna'!AL101</f>
        <v>2.0974999999999997E-2</v>
      </c>
      <c r="Q66" s="33">
        <f>+'Vida Digna'!AM101</f>
        <v>0.26678571428571429</v>
      </c>
      <c r="R66" s="33">
        <f>+'Vida Digna'!AN101</f>
        <v>0.54849107142857145</v>
      </c>
      <c r="S66" s="25"/>
      <c r="T66" s="2"/>
      <c r="U66" s="83"/>
    </row>
    <row r="67" spans="2:21" ht="33" customHeight="1" x14ac:dyDescent="0.7">
      <c r="B67" s="32" t="s">
        <v>1693</v>
      </c>
      <c r="C67" s="1592"/>
      <c r="D67" s="5">
        <f>+'Vida Digna'!J106</f>
        <v>0.625</v>
      </c>
      <c r="E67" s="5">
        <f>+'Vida Digna'!K106</f>
        <v>0.63047619047619041</v>
      </c>
      <c r="F67" s="5">
        <f>+'Vida Digna'!L106</f>
        <v>0.57985761904761901</v>
      </c>
      <c r="G67" s="5">
        <f t="shared" si="15"/>
        <v>0.75547619047619041</v>
      </c>
      <c r="H67" s="5">
        <f t="shared" si="5"/>
        <v>0.90751456349206339</v>
      </c>
      <c r="I67" s="5">
        <f>+'Vida Digna'!M106</f>
        <v>0.125</v>
      </c>
      <c r="J67" s="5">
        <f>+'Vida Digna'!N106</f>
        <v>0.21633333333333332</v>
      </c>
      <c r="K67" s="5">
        <f>+'Vida Digna'!AD106</f>
        <v>0.60785353535353537</v>
      </c>
      <c r="L67" s="5">
        <f>+'Vida Digna'!AE106</f>
        <v>0.42345172335863096</v>
      </c>
      <c r="M67" s="5">
        <f>+'Vida Digna'!AI106</f>
        <v>0.125</v>
      </c>
      <c r="N67" s="5">
        <f>+'Vida Digna'!AJ106</f>
        <v>0.32765694444444443</v>
      </c>
      <c r="O67" s="5">
        <f>+'Vida Digna'!AK106</f>
        <v>0.44274027777777775</v>
      </c>
      <c r="P67" s="33">
        <f>+'Vida Digna'!AL106</f>
        <v>3.6000000000000004E-2</v>
      </c>
      <c r="Q67" s="33">
        <f>+'Vida Digna'!AM106</f>
        <v>0.35318833333333338</v>
      </c>
      <c r="R67" s="33">
        <f>+'Vida Digna'!AN106</f>
        <v>0.49128833333333338</v>
      </c>
      <c r="S67" s="25"/>
      <c r="T67" s="2"/>
      <c r="U67" s="83"/>
    </row>
    <row r="68" spans="2:21" ht="69" customHeight="1" x14ac:dyDescent="0.7">
      <c r="B68" s="30" t="str">
        <f>+'Vida Digna'!B119:C119</f>
        <v xml:space="preserve"> Vivienda Digna y Hábitat
</v>
      </c>
      <c r="C68" s="1592"/>
      <c r="D68" s="23">
        <f t="shared" ref="D68:I68" si="20">+(D69+D70+D71+D72)/4</f>
        <v>0.17725490196078431</v>
      </c>
      <c r="E68" s="23">
        <f t="shared" si="20"/>
        <v>0.1495081699346405</v>
      </c>
      <c r="F68" s="23">
        <f t="shared" ref="F68" si="21">+(F69+F70+F71+F72)/4</f>
        <v>0.34533562091503267</v>
      </c>
      <c r="G68" s="23">
        <f t="shared" ref="G68:G131" si="22">+M68+E68</f>
        <v>0.29275669934640519</v>
      </c>
      <c r="H68" s="23">
        <f t="shared" si="5"/>
        <v>0.58509444444444447</v>
      </c>
      <c r="I68" s="24">
        <f t="shared" si="20"/>
        <v>0.16792156862745097</v>
      </c>
      <c r="J68" s="24">
        <f t="shared" ref="J68:K68" si="23">+(J69+J70+J71+J72)/4</f>
        <v>0.15253039215686273</v>
      </c>
      <c r="K68" s="24">
        <f t="shared" si="23"/>
        <v>0.78501096491228073</v>
      </c>
      <c r="L68" s="24">
        <f t="shared" ref="L68" si="24">+(L69+L70+L71+L72)/4</f>
        <v>0.27728498276195812</v>
      </c>
      <c r="M68" s="23">
        <f>+(M69+M70+M71+M72)/4</f>
        <v>0.14324852941176469</v>
      </c>
      <c r="N68" s="23">
        <f>+(N69+N70+N71+N72)/4</f>
        <v>0.2397588235294118</v>
      </c>
      <c r="O68" s="23">
        <f>+(O69+O70+O71+O72)/4</f>
        <v>0.25251470588235292</v>
      </c>
      <c r="P68" s="31">
        <f>+(P69+P70+P71+P72)</f>
        <v>0.13347823529411765</v>
      </c>
      <c r="Q68" s="31">
        <f>+'Vida Digna'!AM119</f>
        <v>0.22248258823529413</v>
      </c>
      <c r="R68" s="31">
        <f>+'Vida Digna'!AN119</f>
        <v>0.23122964705882354</v>
      </c>
      <c r="S68" s="25"/>
      <c r="T68" s="2"/>
      <c r="U68" s="83"/>
    </row>
    <row r="69" spans="2:21" ht="42" customHeight="1" x14ac:dyDescent="0.7">
      <c r="B69" s="32" t="s">
        <v>1660</v>
      </c>
      <c r="C69" s="1592"/>
      <c r="D69" s="5">
        <f>+'Vida Digna'!J120</f>
        <v>0.04</v>
      </c>
      <c r="E69" s="5">
        <f>+'Vida Digna'!K120</f>
        <v>4.4999999999999998E-2</v>
      </c>
      <c r="F69" s="5">
        <f>+'Vida Digna'!L120</f>
        <v>0.45960000000000001</v>
      </c>
      <c r="G69" s="5">
        <f t="shared" si="22"/>
        <v>8.09E-2</v>
      </c>
      <c r="H69" s="5">
        <f t="shared" ref="H69:H132" si="25">+N69+F69</f>
        <v>0.54590000000000005</v>
      </c>
      <c r="I69" s="5">
        <f>+'Vida Digna'!M120</f>
        <v>0.04</v>
      </c>
      <c r="J69" s="5">
        <f>+'Vida Digna'!N120</f>
        <v>4.4999999999999998E-2</v>
      </c>
      <c r="K69" s="5">
        <f>+'Vida Digna'!AD120</f>
        <v>1</v>
      </c>
      <c r="L69" s="5">
        <f>+'Vida Digna'!AE120</f>
        <v>1</v>
      </c>
      <c r="M69" s="5">
        <f>+'Vida Digna'!AI120</f>
        <v>3.5900000000000001E-2</v>
      </c>
      <c r="N69" s="5">
        <f>+'Vida Digna'!AJ120</f>
        <v>8.6300000000000002E-2</v>
      </c>
      <c r="O69" s="5">
        <f>+'Vida Digna'!AK120</f>
        <v>8.6699999999999999E-2</v>
      </c>
      <c r="P69" s="33">
        <f>+'Vida Digna'!AL120</f>
        <v>1.077E-2</v>
      </c>
      <c r="Q69" s="33">
        <f>+'Vida Digna'!AM120</f>
        <v>8.6300000000000002E-2</v>
      </c>
      <c r="R69" s="33">
        <f>+'Vida Digna'!AN120</f>
        <v>8.6699999999999999E-2</v>
      </c>
      <c r="S69" s="25"/>
      <c r="T69" s="2"/>
      <c r="U69" s="83"/>
    </row>
    <row r="70" spans="2:21" ht="33.6" customHeight="1" x14ac:dyDescent="0.7">
      <c r="B70" s="32" t="s">
        <v>1694</v>
      </c>
      <c r="C70" s="1592"/>
      <c r="D70" s="5">
        <f>+'Vida Digna'!J122</f>
        <v>0.21568627450980393</v>
      </c>
      <c r="E70" s="5">
        <f>+'Vida Digna'!K122</f>
        <v>5.7254901960784317E-2</v>
      </c>
      <c r="F70" s="5">
        <f>+'Vida Digna'!L122</f>
        <v>0.35843137254901963</v>
      </c>
      <c r="G70" s="5">
        <f t="shared" si="22"/>
        <v>0.28321568627450983</v>
      </c>
      <c r="H70" s="5">
        <f t="shared" si="25"/>
        <v>0.64400000000000002</v>
      </c>
      <c r="I70" s="5">
        <f>+'Vida Digna'!M122</f>
        <v>0.21568627450980393</v>
      </c>
      <c r="J70" s="5">
        <f>+'Vida Digna'!N122</f>
        <v>5.7254901960784317E-2</v>
      </c>
      <c r="K70" s="5">
        <f>+'Vida Digna'!AD122</f>
        <v>1</v>
      </c>
      <c r="L70" s="5">
        <f>+'Vida Digna'!AE122</f>
        <v>4.3763676148796501E-4</v>
      </c>
      <c r="M70" s="5">
        <f>+'Vida Digna'!AI122</f>
        <v>0.22596078431372549</v>
      </c>
      <c r="N70" s="5">
        <f>+'Vida Digna'!AJ122</f>
        <v>0.28556862745098038</v>
      </c>
      <c r="O70" s="5">
        <f>+'Vida Digna'!AK122</f>
        <v>0.28572549019607846</v>
      </c>
      <c r="P70" s="33">
        <f>+'Vida Digna'!AL122</f>
        <v>6.7788235294117649E-2</v>
      </c>
      <c r="Q70" s="33">
        <f>+'Vida Digna'!AM122</f>
        <v>0.28556862745098038</v>
      </c>
      <c r="R70" s="33">
        <f>+'Vida Digna'!AN122</f>
        <v>0.28572549019607846</v>
      </c>
      <c r="S70" s="25"/>
      <c r="T70" s="2"/>
      <c r="U70" s="83"/>
    </row>
    <row r="71" spans="2:21" ht="26.4" customHeight="1" x14ac:dyDescent="0.7">
      <c r="B71" s="32" t="s">
        <v>1695</v>
      </c>
      <c r="C71" s="1592"/>
      <c r="D71" s="5">
        <f>+'Vida Digna'!J124</f>
        <v>0.33</v>
      </c>
      <c r="E71" s="5">
        <f>+'Vida Digna'!K124</f>
        <v>0.2</v>
      </c>
      <c r="F71" s="5">
        <f>+'Vida Digna'!L124</f>
        <v>0.30220000000000002</v>
      </c>
      <c r="G71" s="5">
        <f t="shared" si="22"/>
        <v>0.39580000000000004</v>
      </c>
      <c r="H71" s="5">
        <f t="shared" si="25"/>
        <v>0.59580000000000011</v>
      </c>
      <c r="I71" s="5">
        <f>+'Vida Digna'!M124</f>
        <v>0.33</v>
      </c>
      <c r="J71" s="5">
        <f>+'Vida Digna'!N124</f>
        <v>0.2</v>
      </c>
      <c r="K71" s="5">
        <f>+'Vida Digna'!AD124</f>
        <v>0.48899999999999999</v>
      </c>
      <c r="L71" s="5">
        <f>+'Vida Digna'!AE124</f>
        <v>1.7868960953011249E-2</v>
      </c>
      <c r="M71" s="5">
        <f>+'Vida Digna'!AI124</f>
        <v>0.1958</v>
      </c>
      <c r="N71" s="5">
        <f>+'Vida Digna'!AJ124</f>
        <v>0.29360000000000003</v>
      </c>
      <c r="O71" s="1298">
        <f>+'Vida Digna'!AK124</f>
        <v>0.31440000000000001</v>
      </c>
      <c r="P71" s="33">
        <f>+'Vida Digna'!AL124</f>
        <v>3.916E-2</v>
      </c>
      <c r="Q71" s="33">
        <f>+'Vida Digna'!AM124</f>
        <v>0.29360000000000003</v>
      </c>
      <c r="R71" s="33">
        <f>+'Vida Digna'!AN124</f>
        <v>0.31440000000000001</v>
      </c>
      <c r="S71" s="25"/>
      <c r="T71" s="2"/>
      <c r="U71" s="83"/>
    </row>
    <row r="72" spans="2:21" ht="40.950000000000003" customHeight="1" x14ac:dyDescent="0.7">
      <c r="B72" s="32" t="s">
        <v>1663</v>
      </c>
      <c r="C72" s="1592"/>
      <c r="D72" s="5">
        <f>+'Vida Digna'!J126</f>
        <v>0.12333333333333334</v>
      </c>
      <c r="E72" s="5">
        <f>+'Vida Digna'!K126</f>
        <v>0.29577777777777775</v>
      </c>
      <c r="F72" s="5">
        <f>+'Vida Digna'!L126</f>
        <v>0.26111111111111113</v>
      </c>
      <c r="G72" s="5">
        <f t="shared" si="22"/>
        <v>0.41111111111111109</v>
      </c>
      <c r="H72" s="5">
        <f t="shared" si="25"/>
        <v>0.55467777777777783</v>
      </c>
      <c r="I72" s="5">
        <f>+'Vida Digna'!M126</f>
        <v>8.5999999999999993E-2</v>
      </c>
      <c r="J72" s="5">
        <f>+'Vida Digna'!N126</f>
        <v>0.30786666666666662</v>
      </c>
      <c r="K72" s="5">
        <f>+'Vida Digna'!AD126</f>
        <v>0.65104385964912281</v>
      </c>
      <c r="L72" s="5">
        <f>+'Vida Digna'!AE126</f>
        <v>9.0833333333333335E-2</v>
      </c>
      <c r="M72" s="5">
        <f>+'Vida Digna'!AI126</f>
        <v>0.11533333333333333</v>
      </c>
      <c r="N72" s="5">
        <f>+'Vida Digna'!AJ126</f>
        <v>0.2935666666666667</v>
      </c>
      <c r="O72" s="1298">
        <f>+'Vida Digna'!AK126</f>
        <v>0.32323333333333332</v>
      </c>
      <c r="P72" s="33">
        <f>+'Vida Digna'!AL126</f>
        <v>1.5760000000000003E-2</v>
      </c>
      <c r="Q72" s="33">
        <f>+'Vida Digna'!AM126</f>
        <v>0.26100999999999996</v>
      </c>
      <c r="R72" s="33">
        <f>+'Vida Digna'!AN126</f>
        <v>0.28311000000000003</v>
      </c>
      <c r="S72" s="25"/>
      <c r="T72" s="2"/>
      <c r="U72" s="83"/>
    </row>
    <row r="73" spans="2:21" ht="49.8" x14ac:dyDescent="0.7">
      <c r="B73" s="30" t="str">
        <f>+'Vida Digna'!B130:C130</f>
        <v xml:space="preserve">Artes, Cultura y Patrimonio
</v>
      </c>
      <c r="C73" s="1592"/>
      <c r="D73" s="23">
        <f>+(D74+D75+D76+D77+D78+D79)/5</f>
        <v>0.22655250131358057</v>
      </c>
      <c r="E73" s="23">
        <f>+(E74+E75+E76+E77+E78+E79)/6</f>
        <v>0.40396612216494382</v>
      </c>
      <c r="F73" s="23">
        <f>+(F74+F75+F76+F77+F78+F79)/6</f>
        <v>0.29090906847916592</v>
      </c>
      <c r="G73" s="23">
        <f>+M73+E73</f>
        <v>0.62944856845567554</v>
      </c>
      <c r="H73" s="23">
        <f t="shared" si="25"/>
        <v>0.9703589812832929</v>
      </c>
      <c r="I73" s="24">
        <f>+(I74+I75+I76+I77+I78+I79)/5</f>
        <v>0.2503571688629197</v>
      </c>
      <c r="J73" s="24">
        <f t="shared" ref="J73" si="26">+(J74+J75+J76+J77+J78+J79)/5</f>
        <v>0.41655725758418588</v>
      </c>
      <c r="K73" s="24">
        <f>+(K74+K75+K76+K77+K78+K79)/6</f>
        <v>0.77299867847723902</v>
      </c>
      <c r="L73" s="24">
        <f>+(L74+L75+L76+L77+L78+L79)/6</f>
        <v>0.18142593292338735</v>
      </c>
      <c r="M73" s="23">
        <f>+(M74+M75+M76+M77+M78+M79)/5</f>
        <v>0.22548244629073172</v>
      </c>
      <c r="N73" s="23">
        <f>+(N74+N75+N76+N77+N78+N79)/5</f>
        <v>0.67944991280412703</v>
      </c>
      <c r="O73" s="1514">
        <f>+(O74+O75+O76+O77+O78+O79)/5</f>
        <v>0.68989500147009652</v>
      </c>
      <c r="P73" s="31">
        <f>+(P74+P75+P76+P77+P78+P79)</f>
        <v>0.19044610699286973</v>
      </c>
      <c r="Q73" s="31">
        <f>+'Vida Digna'!AM130</f>
        <v>0.53503946200167696</v>
      </c>
      <c r="R73" s="31">
        <f>+'Vida Digna'!AN130</f>
        <v>0.54159010199257906</v>
      </c>
      <c r="S73" s="25"/>
      <c r="T73" s="2"/>
      <c r="U73" s="83"/>
    </row>
    <row r="74" spans="2:21" ht="52.2" customHeight="1" x14ac:dyDescent="0.7">
      <c r="B74" s="32" t="s">
        <v>1665</v>
      </c>
      <c r="C74" s="1592"/>
      <c r="D74" s="5">
        <f>+'Vida Digna'!J131</f>
        <v>0.10484583990123605</v>
      </c>
      <c r="E74" s="5">
        <f>+'Vida Digna'!K131</f>
        <v>0.29872381632299655</v>
      </c>
      <c r="F74" s="5">
        <f>+'Vida Digna'!L131</f>
        <v>0.17201691087499532</v>
      </c>
      <c r="G74" s="5">
        <f t="shared" si="22"/>
        <v>0.45689993666554396</v>
      </c>
      <c r="H74" s="5">
        <f t="shared" si="25"/>
        <v>0.75871758600674122</v>
      </c>
      <c r="I74" s="5">
        <f>+'Vida Digna'!M131</f>
        <v>6.9160844314598499E-2</v>
      </c>
      <c r="J74" s="5">
        <f>+'Vida Digna'!N131</f>
        <v>0.33846857958759585</v>
      </c>
      <c r="K74" s="5">
        <f>+'Vida Digna'!AD131</f>
        <v>0.9198774509803922</v>
      </c>
      <c r="L74" s="5">
        <f>+'Vida Digna'!AE131</f>
        <v>0.30629580780624849</v>
      </c>
      <c r="M74" s="5">
        <f>+'Vida Digna'!AI131</f>
        <v>0.15817612034254738</v>
      </c>
      <c r="N74" s="5">
        <f>+'Vida Digna'!AJ131</f>
        <v>0.58670067513174595</v>
      </c>
      <c r="O74" s="1298">
        <f>+'Vida Digna'!AK131</f>
        <v>0.60702611846159371</v>
      </c>
      <c r="P74" s="33">
        <f>+'Vida Digna'!AL131</f>
        <v>3.4655134770647515E-2</v>
      </c>
      <c r="Q74" s="33">
        <f>+'Vida Digna'!AM131</f>
        <v>0.51559228074633057</v>
      </c>
      <c r="R74" s="33">
        <f>+'Vida Digna'!AN131</f>
        <v>0.53086108071600402</v>
      </c>
      <c r="S74" s="25"/>
      <c r="T74" s="2"/>
      <c r="U74" s="83"/>
    </row>
    <row r="75" spans="2:21" ht="55.95" customHeight="1" x14ac:dyDescent="0.7">
      <c r="B75" s="32" t="s">
        <v>1666</v>
      </c>
      <c r="C75" s="1592"/>
      <c r="D75" s="5">
        <f>+'Vida Digna'!J140</f>
        <v>0.22499999999999998</v>
      </c>
      <c r="E75" s="5">
        <f>+'Vida Digna'!K140</f>
        <v>0.29166666666666663</v>
      </c>
      <c r="F75" s="5">
        <f>+'Vida Digna'!L140</f>
        <v>0.15</v>
      </c>
      <c r="G75" s="5">
        <f t="shared" si="22"/>
        <v>0.66124999999999989</v>
      </c>
      <c r="H75" s="5">
        <v>1</v>
      </c>
      <c r="I75" s="5">
        <f>+'Vida Digna'!M140</f>
        <v>0.23583333333333334</v>
      </c>
      <c r="J75" s="5">
        <f>+'Vida Digna'!N140</f>
        <v>0.27083333333333331</v>
      </c>
      <c r="K75" s="5">
        <f>+'Vida Digna'!AD140</f>
        <v>1</v>
      </c>
      <c r="L75" s="5">
        <f>+'Vida Digna'!AE140</f>
        <v>0.26666666666666666</v>
      </c>
      <c r="M75" s="5">
        <f>+'Vida Digna'!AI140</f>
        <v>0.36958333333333332</v>
      </c>
      <c r="N75" s="5">
        <f>+'Vida Digna'!AJ140</f>
        <v>0.98750000000000004</v>
      </c>
      <c r="O75" s="1298">
        <f>+'Vida Digna'!AK140</f>
        <v>0.99</v>
      </c>
      <c r="P75" s="33">
        <f>+'Vida Digna'!AL140</f>
        <v>4.7750000000000001E-2</v>
      </c>
      <c r="Q75" s="33">
        <f>+'Vida Digna'!AM140</f>
        <v>0.98750000000000004</v>
      </c>
      <c r="R75" s="33">
        <f>+'Vida Digna'!AN140</f>
        <v>0.99</v>
      </c>
      <c r="S75" s="25"/>
      <c r="T75" s="2"/>
      <c r="U75" s="83"/>
    </row>
    <row r="76" spans="2:21" ht="40.950000000000003" customHeight="1" x14ac:dyDescent="0.7">
      <c r="B76" s="32" t="s">
        <v>1667</v>
      </c>
      <c r="C76" s="1592"/>
      <c r="D76" s="5">
        <f>+'Vida Digna'!J145</f>
        <v>0.15208333333333332</v>
      </c>
      <c r="E76" s="5">
        <f>+'Vida Digna'!K145</f>
        <v>0.25</v>
      </c>
      <c r="F76" s="5">
        <f>+'Vida Digna'!L145</f>
        <v>0.25</v>
      </c>
      <c r="G76" s="5">
        <f t="shared" si="22"/>
        <v>0.4392361111111111</v>
      </c>
      <c r="H76" s="5">
        <f t="shared" si="25"/>
        <v>0.92138888888888892</v>
      </c>
      <c r="I76" s="5">
        <f>+'Vida Digna'!M145</f>
        <v>0.24379166666666666</v>
      </c>
      <c r="J76" s="5">
        <f>+'Vida Digna'!N145</f>
        <v>0.25</v>
      </c>
      <c r="K76" s="5">
        <f>+'Vida Digna'!AD145</f>
        <v>0.94944444444444454</v>
      </c>
      <c r="L76" s="5">
        <f>+'Vida Digna'!AE145</f>
        <v>7.489828076685219E-2</v>
      </c>
      <c r="M76" s="5">
        <f>+'Vida Digna'!AI145</f>
        <v>0.1892361111111111</v>
      </c>
      <c r="N76" s="5">
        <f>+'Vida Digna'!AJ145</f>
        <v>0.67138888888888892</v>
      </c>
      <c r="O76" s="5">
        <f>+'Vida Digna'!AK145</f>
        <v>0.67138888888888892</v>
      </c>
      <c r="P76" s="33">
        <f>+'Vida Digna'!AL145</f>
        <v>2.5790972222222222E-2</v>
      </c>
      <c r="Q76" s="33">
        <f>+'Vida Digna'!AM145</f>
        <v>0.59612777777777781</v>
      </c>
      <c r="R76" s="33">
        <f>+'Vida Digna'!AN145</f>
        <v>0.59612777777777781</v>
      </c>
      <c r="S76" s="25"/>
      <c r="T76" s="2"/>
      <c r="U76" s="83"/>
    </row>
    <row r="77" spans="2:21" ht="47.4" customHeight="1" x14ac:dyDescent="0.7">
      <c r="B77" s="32" t="s">
        <v>1668</v>
      </c>
      <c r="C77" s="1592"/>
      <c r="D77" s="5">
        <f>+'Vida Digna'!J148</f>
        <v>0.21333333333333335</v>
      </c>
      <c r="E77" s="5">
        <f>+'Vida Digna'!K148</f>
        <v>0.57199999999999995</v>
      </c>
      <c r="F77" s="5">
        <f>+'Vida Digna'!L148</f>
        <v>0.3125</v>
      </c>
      <c r="G77" s="5">
        <f t="shared" si="22"/>
        <v>0.78866666666666663</v>
      </c>
      <c r="H77" s="5">
        <f t="shared" si="25"/>
        <v>0.95250000000000001</v>
      </c>
      <c r="I77" s="5">
        <f>+'Vida Digna'!M148</f>
        <v>0.128</v>
      </c>
      <c r="J77" s="5">
        <f>+'Vida Digna'!N148</f>
        <v>0.57200000000000006</v>
      </c>
      <c r="K77" s="5">
        <f>+'Vida Digna'!AD148</f>
        <v>0.84833333333333338</v>
      </c>
      <c r="L77" s="5">
        <f>+'Vida Digna'!AE148</f>
        <v>0.22469484230055659</v>
      </c>
      <c r="M77" s="5">
        <f>+'Vida Digna'!AI148</f>
        <v>0.21666666666666667</v>
      </c>
      <c r="N77" s="5">
        <f>+'Vida Digna'!AJ148</f>
        <v>0.64</v>
      </c>
      <c r="O77" s="5">
        <f>+'Vida Digna'!AK148</f>
        <v>0.6654000000000001</v>
      </c>
      <c r="P77" s="33">
        <f>+'Vida Digna'!AL148</f>
        <v>6.5000000000000006E-3</v>
      </c>
      <c r="Q77" s="33">
        <f>+'Vida Digna'!AM148</f>
        <v>0.64</v>
      </c>
      <c r="R77" s="33">
        <f>+'Vida Digna'!AN148</f>
        <v>0.66539999999999999</v>
      </c>
      <c r="S77" s="25"/>
      <c r="T77" s="2"/>
      <c r="U77" s="83"/>
    </row>
    <row r="78" spans="2:21" ht="51" customHeight="1" x14ac:dyDescent="0.7">
      <c r="B78" s="32" t="s">
        <v>1669</v>
      </c>
      <c r="C78" s="1592"/>
      <c r="D78" s="5">
        <f>+'Vida Digna'!J154</f>
        <v>0.4375</v>
      </c>
      <c r="E78" s="5">
        <f>+'Vida Digna'!K154</f>
        <v>0.34500000000000003</v>
      </c>
      <c r="F78" s="5">
        <f>+'Vida Digna'!L154</f>
        <v>0.25</v>
      </c>
      <c r="G78" s="5">
        <f t="shared" si="22"/>
        <v>0.53875000000000006</v>
      </c>
      <c r="H78" s="5">
        <f t="shared" si="25"/>
        <v>0.76166</v>
      </c>
      <c r="I78" s="5">
        <f>+'Vida Digna'!M154</f>
        <v>0.57500000000000007</v>
      </c>
      <c r="J78" s="5">
        <f>+'Vida Digna'!N154</f>
        <v>0.28500000000000003</v>
      </c>
      <c r="K78" s="5">
        <f>+'Vida Digna'!AD154</f>
        <v>0.92033684210526323</v>
      </c>
      <c r="L78" s="5">
        <f>+'Vida Digna'!AE154</f>
        <v>0.21600000000000003</v>
      </c>
      <c r="M78" s="5">
        <f>+'Vida Digna'!AI154</f>
        <v>0.19375000000000001</v>
      </c>
      <c r="N78" s="5">
        <f>+'Vida Digna'!AJ154</f>
        <v>0.51166</v>
      </c>
      <c r="O78" s="5">
        <f>+'Vida Digna'!AK154</f>
        <v>0.51566000000000001</v>
      </c>
      <c r="P78" s="33">
        <f>+'Vida Digna'!AL154</f>
        <v>7.5749999999999998E-2</v>
      </c>
      <c r="Q78" s="33">
        <f>+'Vida Digna'!AM154</f>
        <v>0.63333000000000006</v>
      </c>
      <c r="R78" s="33">
        <f>+'Vida Digna'!AN154</f>
        <v>0.63483000000000012</v>
      </c>
      <c r="S78" s="25"/>
      <c r="T78" s="2"/>
      <c r="U78" s="83"/>
    </row>
    <row r="79" spans="2:21" ht="43.95" customHeight="1" x14ac:dyDescent="0.7">
      <c r="B79" s="32" t="s">
        <v>1670</v>
      </c>
      <c r="C79" s="1592"/>
      <c r="D79" s="5">
        <f>+'Vida Digna'!J160</f>
        <v>0</v>
      </c>
      <c r="E79" s="5">
        <f>+'Vida Digna'!K160</f>
        <v>0.66640624999999998</v>
      </c>
      <c r="F79" s="5">
        <f>+'Vida Digna'!L160</f>
        <v>0.61093750000000002</v>
      </c>
      <c r="G79" s="5">
        <f t="shared" si="22"/>
        <v>0.66640624999999998</v>
      </c>
      <c r="H79" s="5">
        <f t="shared" si="25"/>
        <v>0.61093750000000002</v>
      </c>
      <c r="I79" s="5">
        <f>+'Vida Digna'!M160</f>
        <v>0</v>
      </c>
      <c r="J79" s="5">
        <f>+'Vida Digna'!N160</f>
        <v>0.36648437499999997</v>
      </c>
      <c r="K79" s="5">
        <f>+'Vida Digna'!AD160</f>
        <v>0</v>
      </c>
      <c r="L79" s="5">
        <f>+'Vida Digna'!AE160</f>
        <v>0</v>
      </c>
      <c r="M79" s="5">
        <f>+'Vida Digna'!AI160</f>
        <v>0</v>
      </c>
      <c r="N79" s="5">
        <f>+'Vida Digna'!AJ160</f>
        <v>0</v>
      </c>
      <c r="O79" s="5">
        <f>+'Vida Digna'!AK160</f>
        <v>0</v>
      </c>
      <c r="P79" s="33">
        <f>+'Vida Digna'!AL160</f>
        <v>0</v>
      </c>
      <c r="Q79" s="33">
        <f>+'Vida Digna'!AM160</f>
        <v>0</v>
      </c>
      <c r="R79" s="33">
        <f>+'Vida Digna'!AN160</f>
        <v>0</v>
      </c>
      <c r="S79" s="25"/>
      <c r="T79" s="2"/>
      <c r="U79" s="83"/>
    </row>
    <row r="80" spans="2:21" ht="66.599999999999994" customHeight="1" x14ac:dyDescent="0.7">
      <c r="B80" s="30" t="str">
        <f>+'Vida Digna'!B164:C164</f>
        <v xml:space="preserve">Deporte y Recreación
</v>
      </c>
      <c r="C80" s="1592"/>
      <c r="D80" s="23">
        <f t="shared" ref="D80:I80" si="27">+(D81+D82+D83+D84+D85+D86+D87)/7</f>
        <v>0.23893651055292212</v>
      </c>
      <c r="E80" s="23">
        <f t="shared" si="27"/>
        <v>0.28593294105804123</v>
      </c>
      <c r="F80" s="23">
        <f t="shared" ref="F80" si="28">+(F81+F82+F83+F84+F85+F86+F87)/7</f>
        <v>0.27823918362960776</v>
      </c>
      <c r="G80" s="23">
        <f t="shared" si="22"/>
        <v>0.5512547869858142</v>
      </c>
      <c r="H80" s="23">
        <f t="shared" si="25"/>
        <v>0.85953944293246254</v>
      </c>
      <c r="I80" s="24">
        <f t="shared" si="27"/>
        <v>0.22368966475650506</v>
      </c>
      <c r="J80" s="24">
        <f t="shared" ref="J80:K80" si="29">+(J81+J82+J83+J84+J85+J86+J87)/7</f>
        <v>0.2870384761939736</v>
      </c>
      <c r="K80" s="24">
        <f t="shared" si="29"/>
        <v>0.93306223549163236</v>
      </c>
      <c r="L80" s="24">
        <f t="shared" ref="L80" si="30">+(L81+L82+L83+L84+L85+L86+L87)/7</f>
        <v>0.24399006191224096</v>
      </c>
      <c r="M80" s="23">
        <f>+(M81+M82+M83+M84+M85+M86+M87)/7</f>
        <v>0.26532184592777297</v>
      </c>
      <c r="N80" s="23">
        <f>+(N81+N82+N83+N84+N85+N86+N87)/7</f>
        <v>0.58130025930285478</v>
      </c>
      <c r="O80" s="23">
        <f>+(O81+O82+O83+O84+O85+O86+O87)/7</f>
        <v>0.6398917654659394</v>
      </c>
      <c r="P80" s="31">
        <f>+(P81+P82+P83+P84+P85+P86+P87)</f>
        <v>0.20257591878811407</v>
      </c>
      <c r="Q80" s="31">
        <f>+'Vida Digna'!AM164</f>
        <v>0.50415658631572002</v>
      </c>
      <c r="R80" s="31">
        <f>+'Vida Digna'!AN164</f>
        <v>0.57005983057417897</v>
      </c>
      <c r="S80" s="25"/>
      <c r="T80" s="2"/>
      <c r="U80" s="83"/>
    </row>
    <row r="81" spans="2:23" ht="57.6" customHeight="1" x14ac:dyDescent="0.7">
      <c r="B81" s="32" t="s">
        <v>1672</v>
      </c>
      <c r="C81" s="1592"/>
      <c r="D81" s="5">
        <f>+'Vida Digna'!J165</f>
        <v>0.3125</v>
      </c>
      <c r="E81" s="5">
        <f>+'Vida Digna'!K165</f>
        <v>0.39083333333333331</v>
      </c>
      <c r="F81" s="5">
        <f>+'Vida Digna'!L165</f>
        <v>0.32791666666666669</v>
      </c>
      <c r="G81" s="5">
        <f t="shared" si="22"/>
        <v>0.56624999999999992</v>
      </c>
      <c r="H81" s="5">
        <f t="shared" si="25"/>
        <v>0.74208333333333343</v>
      </c>
      <c r="I81" s="5">
        <f>+'Vida Digna'!M165</f>
        <v>0.3125</v>
      </c>
      <c r="J81" s="5">
        <f>+'Vida Digna'!N165</f>
        <v>0.39083333333333331</v>
      </c>
      <c r="K81" s="5">
        <f>+'Vida Digna'!AD165</f>
        <v>0.63698630136986301</v>
      </c>
      <c r="L81" s="5">
        <f>+'Vida Digna'!AE165</f>
        <v>0.32</v>
      </c>
      <c r="M81" s="5">
        <f>+'Vida Digna'!AI165</f>
        <v>0.17541666666666667</v>
      </c>
      <c r="N81" s="5">
        <f>+'Vida Digna'!AJ165</f>
        <v>0.41416666666666668</v>
      </c>
      <c r="O81" s="5">
        <f>+'Vida Digna'!AK165</f>
        <v>0.51874999999999993</v>
      </c>
      <c r="P81" s="33">
        <f>+'Vida Digna'!AL165</f>
        <v>6.139583333333333E-2</v>
      </c>
      <c r="Q81" s="33">
        <f>+'Vida Digna'!AM165</f>
        <v>0.41416666666666668</v>
      </c>
      <c r="R81" s="33">
        <f>+'Vida Digna'!AN165</f>
        <v>0.51874999999999993</v>
      </c>
      <c r="S81" s="25"/>
      <c r="T81" s="2"/>
      <c r="U81" s="83"/>
    </row>
    <row r="82" spans="2:23" ht="34.950000000000003" customHeight="1" x14ac:dyDescent="0.7">
      <c r="B82" s="32" t="s">
        <v>1673</v>
      </c>
      <c r="C82" s="1592"/>
      <c r="D82" s="5">
        <f>+'Vida Digna'!J170</f>
        <v>3.2271422261484099E-2</v>
      </c>
      <c r="E82" s="5">
        <f>+'Vida Digna'!K170</f>
        <v>0.31835247349823326</v>
      </c>
      <c r="F82" s="5">
        <f>+'Vida Digna'!L170</f>
        <v>0.31835247349823326</v>
      </c>
      <c r="G82" s="5">
        <f t="shared" si="22"/>
        <v>0.35554880742049472</v>
      </c>
      <c r="H82" s="5">
        <f t="shared" si="25"/>
        <v>0.68052672261484104</v>
      </c>
      <c r="I82" s="5">
        <f>+'Vida Digna'!M170</f>
        <v>2.6429991166077735E-2</v>
      </c>
      <c r="J82" s="5">
        <f>+'Vida Digna'!N170</f>
        <v>0.32069346289752654</v>
      </c>
      <c r="K82" s="5">
        <f>+'Vida Digna'!AD170</f>
        <v>1</v>
      </c>
      <c r="L82" s="5">
        <f>+'Vida Digna'!AE170</f>
        <v>5.4536784741144415E-2</v>
      </c>
      <c r="M82" s="5">
        <f>+'Vida Digna'!AI170</f>
        <v>3.7196333922261481E-2</v>
      </c>
      <c r="N82" s="5">
        <f>+'Vida Digna'!AJ170</f>
        <v>0.36217424911660778</v>
      </c>
      <c r="O82" s="5">
        <f>+'Vida Digna'!AK170</f>
        <v>0.37932862190812722</v>
      </c>
      <c r="P82" s="33">
        <f>+'Vida Digna'!AL170</f>
        <v>5.6649734982332153E-3</v>
      </c>
      <c r="Q82" s="33">
        <f>+'Vida Digna'!AM170</f>
        <v>0.35829394876325088</v>
      </c>
      <c r="R82" s="33">
        <f>+'Vida Digna'!AN170</f>
        <v>0.37106007067137808</v>
      </c>
      <c r="S82" s="25"/>
      <c r="T82" s="2"/>
      <c r="U82" s="83"/>
    </row>
    <row r="83" spans="2:23" ht="48.6" customHeight="1" x14ac:dyDescent="0.7">
      <c r="B83" s="32" t="s">
        <v>1696</v>
      </c>
      <c r="C83" s="1592"/>
      <c r="D83" s="5">
        <f>+'Vida Digna'!J173</f>
        <v>0.25058139534883722</v>
      </c>
      <c r="E83" s="5">
        <f>+'Vida Digna'!K173</f>
        <v>0.25058139534883722</v>
      </c>
      <c r="F83" s="5">
        <f>+'Vida Digna'!L173</f>
        <v>0.25290697674418605</v>
      </c>
      <c r="G83" s="5">
        <f t="shared" si="22"/>
        <v>0.58438759689922481</v>
      </c>
      <c r="H83" s="5">
        <f t="shared" si="25"/>
        <v>0.83557364341085272</v>
      </c>
      <c r="I83" s="5">
        <f>+'Vida Digna'!M173</f>
        <v>0.2508139534883721</v>
      </c>
      <c r="J83" s="5">
        <f>+'Vida Digna'!N173</f>
        <v>0.2508139534883721</v>
      </c>
      <c r="K83" s="5">
        <f>+'Vida Digna'!AD173</f>
        <v>0.99314814814814811</v>
      </c>
      <c r="L83" s="5">
        <f>+'Vida Digna'!AE173</f>
        <v>0.12551515151515152</v>
      </c>
      <c r="M83" s="5">
        <f>+'Vida Digna'!AI173</f>
        <v>0.33380620155038759</v>
      </c>
      <c r="N83" s="5">
        <f>+'Vida Digna'!AJ173</f>
        <v>0.58266666666666667</v>
      </c>
      <c r="O83" s="5">
        <f>+'Vida Digna'!AK173</f>
        <v>0.61429069767441868</v>
      </c>
      <c r="P83" s="33">
        <f>+'Vida Digna'!AL173</f>
        <v>3.3399534883720931E-2</v>
      </c>
      <c r="Q83" s="33">
        <f>+'Vida Digna'!AM173</f>
        <v>0.58239999999999992</v>
      </c>
      <c r="R83" s="33">
        <f>+'Vida Digna'!AN173</f>
        <v>0.61000697674418602</v>
      </c>
      <c r="S83" s="25"/>
      <c r="T83" s="2"/>
      <c r="U83" s="83"/>
    </row>
    <row r="84" spans="2:23" ht="46.95" customHeight="1" x14ac:dyDescent="0.7">
      <c r="B84" s="32" t="s">
        <v>1675</v>
      </c>
      <c r="C84" s="1592"/>
      <c r="D84" s="5">
        <f>+'Vida Digna'!J176</f>
        <v>0.40547619047619043</v>
      </c>
      <c r="E84" s="5">
        <f>+'Vida Digna'!K176</f>
        <v>0.26428571428571429</v>
      </c>
      <c r="F84" s="5">
        <f>+'Vida Digna'!L176</f>
        <v>0.21910714285714283</v>
      </c>
      <c r="G84" s="5">
        <f t="shared" si="22"/>
        <v>0.63182240582800286</v>
      </c>
      <c r="H84" s="5">
        <f t="shared" si="25"/>
        <v>0.92676499644633981</v>
      </c>
      <c r="I84" s="5">
        <f>+'Vida Digna'!M176</f>
        <v>0.29269047619047617</v>
      </c>
      <c r="J84" s="5">
        <f>+'Vida Digna'!N176</f>
        <v>0.27214285714285719</v>
      </c>
      <c r="K84" s="5">
        <f>+'Vida Digna'!AD176</f>
        <v>0.99710447761194021</v>
      </c>
      <c r="L84" s="5">
        <f>+'Vida Digna'!AE176</f>
        <v>0.40533254778737893</v>
      </c>
      <c r="M84" s="5">
        <f>+'Vida Digna'!AI176</f>
        <v>0.36753669154228857</v>
      </c>
      <c r="N84" s="5">
        <f>+'Vida Digna'!AJ176</f>
        <v>0.70765785358919697</v>
      </c>
      <c r="O84" s="5">
        <f>+'Vida Digna'!AK176</f>
        <v>0.79285970149253737</v>
      </c>
      <c r="P84" s="33">
        <f>+'Vida Digna'!AL176</f>
        <v>2.7086664889836534E-2</v>
      </c>
      <c r="Q84" s="33">
        <f>+'Vida Digna'!AM176</f>
        <v>0.68686416133617634</v>
      </c>
      <c r="R84" s="33">
        <f>+'Vida Digna'!AN176</f>
        <v>0.76228598081023446</v>
      </c>
      <c r="S84" s="25"/>
      <c r="T84" s="2"/>
      <c r="U84" s="83"/>
    </row>
    <row r="85" spans="2:23" ht="58.95" customHeight="1" x14ac:dyDescent="0.7">
      <c r="B85" s="32" t="s">
        <v>1676</v>
      </c>
      <c r="C85" s="1592"/>
      <c r="D85" s="5">
        <f>+'Vida Digna'!J182</f>
        <v>0.25409836065573771</v>
      </c>
      <c r="E85" s="5">
        <f>+'Vida Digna'!K182</f>
        <v>0.25</v>
      </c>
      <c r="F85" s="5">
        <f>+'Vida Digna'!L182</f>
        <v>0.25</v>
      </c>
      <c r="G85" s="5">
        <f t="shared" si="22"/>
        <v>0.50537704918032789</v>
      </c>
      <c r="H85" s="5">
        <f t="shared" si="25"/>
        <v>0.73642622950819669</v>
      </c>
      <c r="I85" s="5">
        <f>+'Vida Digna'!M182</f>
        <v>0.25409836065573771</v>
      </c>
      <c r="J85" s="5">
        <f>+'Vida Digna'!N182</f>
        <v>0.25</v>
      </c>
      <c r="K85" s="5">
        <f>+'Vida Digna'!AD182</f>
        <v>0.92419672131147546</v>
      </c>
      <c r="L85" s="5">
        <f>+'Vida Digna'!AE182</f>
        <v>0.33219672131147543</v>
      </c>
      <c r="M85" s="5">
        <f>+'Vida Digna'!AI182</f>
        <v>0.25537704918032789</v>
      </c>
      <c r="N85" s="5">
        <f>+'Vida Digna'!AJ182</f>
        <v>0.48642622950819669</v>
      </c>
      <c r="O85" s="5">
        <f>+'Vida Digna'!AK182</f>
        <v>0.56947540983606559</v>
      </c>
      <c r="P85" s="33">
        <f>+'Vida Digna'!AL182</f>
        <v>2.553770491803279E-2</v>
      </c>
      <c r="Q85" s="33">
        <f>+'Vida Digna'!AM182</f>
        <v>0.48642622950819669</v>
      </c>
      <c r="R85" s="33">
        <f>+'Vida Digna'!AN182</f>
        <v>0.56947540983606559</v>
      </c>
      <c r="S85" s="25"/>
      <c r="T85" s="2"/>
      <c r="U85" s="83"/>
    </row>
    <row r="86" spans="2:23" ht="54.6" customHeight="1" x14ac:dyDescent="0.7">
      <c r="B86" s="32" t="s">
        <v>1697</v>
      </c>
      <c r="C86" s="1592"/>
      <c r="D86" s="5">
        <f>+'Vida Digna'!J184</f>
        <v>0.25</v>
      </c>
      <c r="E86" s="5">
        <f>+'Vida Digna'!K184</f>
        <v>0.25948888888888888</v>
      </c>
      <c r="F86" s="5">
        <f>+'Vida Digna'!L184</f>
        <v>0.30027777777777775</v>
      </c>
      <c r="G86" s="5">
        <f t="shared" si="22"/>
        <v>0.55990277777777775</v>
      </c>
      <c r="H86" s="5">
        <f t="shared" si="25"/>
        <v>0.99698472222222223</v>
      </c>
      <c r="I86" s="5">
        <f>+'Vida Digna'!M184</f>
        <v>0.25</v>
      </c>
      <c r="J86" s="5">
        <f>+'Vida Digna'!N184</f>
        <v>0.25981777777777776</v>
      </c>
      <c r="K86" s="5">
        <f>+'Vida Digna'!AD184</f>
        <v>1</v>
      </c>
      <c r="L86" s="5">
        <f>+'Vida Digna'!AE184</f>
        <v>0.27288256136386979</v>
      </c>
      <c r="M86" s="5">
        <f>+'Vida Digna'!AI184</f>
        <v>0.30041388888888887</v>
      </c>
      <c r="N86" s="5">
        <f>+'Vida Digna'!AJ184</f>
        <v>0.69670694444444448</v>
      </c>
      <c r="O86" s="5">
        <f>+'Vida Digna'!AK184</f>
        <v>0.77898472222222215</v>
      </c>
      <c r="P86" s="33">
        <f>+'Vida Digna'!AL184</f>
        <v>3.0235694444444447E-2</v>
      </c>
      <c r="Q86" s="33">
        <f>+'Vida Digna'!AM184</f>
        <v>0.69215680555555559</v>
      </c>
      <c r="R86" s="33">
        <f>+'Vida Digna'!AN184</f>
        <v>0.77103736111111121</v>
      </c>
      <c r="S86" s="25"/>
      <c r="T86" s="2"/>
      <c r="U86" s="83"/>
    </row>
    <row r="87" spans="2:23" ht="42" customHeight="1" x14ac:dyDescent="0.7">
      <c r="B87" s="32" t="s">
        <v>1678</v>
      </c>
      <c r="C87" s="1592"/>
      <c r="D87" s="5">
        <f>+'Vida Digna'!J187</f>
        <v>0.16762820512820512</v>
      </c>
      <c r="E87" s="5">
        <f>+'Vida Digna'!K187</f>
        <v>0.26798878205128207</v>
      </c>
      <c r="F87" s="5">
        <f>+'Vida Digna'!L187</f>
        <v>0.27911324786324787</v>
      </c>
      <c r="G87" s="5">
        <f t="shared" si="22"/>
        <v>0.65549487179487176</v>
      </c>
      <c r="H87" s="5">
        <v>1</v>
      </c>
      <c r="I87" s="5">
        <f>+'Vida Digna'!M187</f>
        <v>0.1792948717948718</v>
      </c>
      <c r="J87" s="5">
        <f>+'Vida Digna'!N187</f>
        <v>0.26496794871794871</v>
      </c>
      <c r="K87" s="5">
        <f>+'Vida Digna'!AD187</f>
        <v>0.98</v>
      </c>
      <c r="L87" s="5">
        <f>+'Vida Digna'!AE187</f>
        <v>0.19746666666666668</v>
      </c>
      <c r="M87" s="5">
        <f>+'Vida Digna'!AI187</f>
        <v>0.38750608974358969</v>
      </c>
      <c r="N87" s="5">
        <f>+'Vida Digna'!AJ187</f>
        <v>0.81930320512820509</v>
      </c>
      <c r="O87" s="5">
        <f>+'Vida Digna'!AK187</f>
        <v>0.82555320512820507</v>
      </c>
      <c r="P87" s="33">
        <f>+'Vida Digna'!AL187</f>
        <v>1.9255512820512823E-2</v>
      </c>
      <c r="Q87" s="33">
        <f>+'Vida Digna'!AM187</f>
        <v>0.85509487179487176</v>
      </c>
      <c r="R87" s="33">
        <f>+'Vida Digna'!AN187</f>
        <v>0.86009487179487176</v>
      </c>
      <c r="S87" s="25"/>
      <c r="T87" s="2"/>
      <c r="U87" s="83"/>
    </row>
    <row r="88" spans="2:23" ht="66.599999999999994" customHeight="1" x14ac:dyDescent="0.7">
      <c r="B88" s="30" t="str">
        <f>+'Vida Digna'!B192:C192</f>
        <v xml:space="preserve"> Infancia, Adolescencia y Familia
</v>
      </c>
      <c r="C88" s="1592"/>
      <c r="D88" s="23">
        <f t="shared" ref="D88:I88" si="31">+(D89+D90+D91)/3</f>
        <v>0.23789691874878258</v>
      </c>
      <c r="E88" s="23">
        <f t="shared" si="31"/>
        <v>0.31958568748605082</v>
      </c>
      <c r="F88" s="23">
        <f t="shared" ref="F88" si="32">+(F89+F90+F91)/3</f>
        <v>0.21792049261756397</v>
      </c>
      <c r="G88" s="23">
        <f t="shared" si="22"/>
        <v>0.65956460814799245</v>
      </c>
      <c r="H88" s="23">
        <f t="shared" si="25"/>
        <v>0.91885747731093426</v>
      </c>
      <c r="I88" s="24">
        <f t="shared" si="31"/>
        <v>0.18171330652877268</v>
      </c>
      <c r="J88" s="24">
        <f t="shared" ref="J88:K88" si="33">+(J89+J90+J91)/3</f>
        <v>0.28480466761010298</v>
      </c>
      <c r="K88" s="24">
        <f t="shared" si="33"/>
        <v>0.97274305555555551</v>
      </c>
      <c r="L88" s="24">
        <f t="shared" ref="L88" si="34">+(L89+L90+L91)/3</f>
        <v>0.28487241054613938</v>
      </c>
      <c r="M88" s="23">
        <f>+(M89+M90+M91)/3</f>
        <v>0.33997892066194169</v>
      </c>
      <c r="N88" s="23">
        <f>+(N89+N90+N91)/3</f>
        <v>0.70093698469337029</v>
      </c>
      <c r="O88" s="23">
        <f>+(O89+O90+O91)/3</f>
        <v>0.74951039565482447</v>
      </c>
      <c r="P88" s="31">
        <f>+(P89+P90+P91)</f>
        <v>0.24110540532107533</v>
      </c>
      <c r="Q88" s="31">
        <f>+'Vida Digna'!AM192</f>
        <v>0.7250078734798705</v>
      </c>
      <c r="R88" s="31">
        <f>+'Vida Digna'!AN192</f>
        <v>0.7647825899514209</v>
      </c>
      <c r="S88" s="25"/>
      <c r="T88" s="2"/>
      <c r="U88" s="83"/>
    </row>
    <row r="89" spans="2:23" ht="39.6" customHeight="1" x14ac:dyDescent="0.7">
      <c r="B89" s="32" t="s">
        <v>1680</v>
      </c>
      <c r="C89" s="1592"/>
      <c r="D89" s="5">
        <f>+'Vida Digna'!J193</f>
        <v>0.23879427591508487</v>
      </c>
      <c r="E89" s="5">
        <f>+'Vida Digna'!K193</f>
        <v>0.33623578341513416</v>
      </c>
      <c r="F89" s="5">
        <f>+'Vida Digna'!L193</f>
        <v>0.24595149395575153</v>
      </c>
      <c r="G89" s="5">
        <f t="shared" si="22"/>
        <v>0.66864561950378887</v>
      </c>
      <c r="H89" s="5">
        <f t="shared" si="25"/>
        <v>0.92481233157623521</v>
      </c>
      <c r="I89" s="5">
        <f>+'Vida Digna'!M193</f>
        <v>0.11410989888238424</v>
      </c>
      <c r="J89" s="5">
        <f>+'Vida Digna'!N193</f>
        <v>0.33924147004908045</v>
      </c>
      <c r="K89" s="5">
        <f>+'Vida Digna'!AD193</f>
        <v>1</v>
      </c>
      <c r="L89" s="5">
        <f>+'Vida Digna'!AE193</f>
        <v>0.34682556497175143</v>
      </c>
      <c r="M89" s="5">
        <f>+'Vida Digna'!AI193</f>
        <v>0.33240983608865465</v>
      </c>
      <c r="N89" s="5">
        <f>+'Vida Digna'!AJ193</f>
        <v>0.67886083762048366</v>
      </c>
      <c r="O89" s="5">
        <f>+'Vida Digna'!AK193</f>
        <v>0.74748415021499104</v>
      </c>
      <c r="P89" s="33">
        <f>+'Vida Digna'!AL193</f>
        <v>8.0094974636120198E-2</v>
      </c>
      <c r="Q89" s="33">
        <f>+'Vida Digna'!AM193</f>
        <v>0.78121367009638698</v>
      </c>
      <c r="R89" s="33">
        <f>+'Vida Digna'!AN193</f>
        <v>0.82554684398151668</v>
      </c>
      <c r="S89" s="25"/>
      <c r="T89" s="2"/>
      <c r="U89" s="83"/>
    </row>
    <row r="90" spans="2:23" ht="53.4" customHeight="1" x14ac:dyDescent="0.7">
      <c r="B90" s="32" t="s">
        <v>1698</v>
      </c>
      <c r="C90" s="1592"/>
      <c r="D90" s="5">
        <f>+'Vida Digna'!J198</f>
        <v>0.31944444444444442</v>
      </c>
      <c r="E90" s="5">
        <f>+'Vida Digna'!K198</f>
        <v>0.34074074074074073</v>
      </c>
      <c r="F90" s="5">
        <f>+'Vida Digna'!L198</f>
        <v>0.28703703703703703</v>
      </c>
      <c r="G90" s="5">
        <f t="shared" si="22"/>
        <v>0.59807581018518519</v>
      </c>
      <c r="H90" s="5">
        <f t="shared" si="25"/>
        <v>0.86522800925925925</v>
      </c>
      <c r="I90" s="5">
        <f>+'Vida Digna'!M198</f>
        <v>0.27361111111111114</v>
      </c>
      <c r="J90" s="5">
        <f>+'Vida Digna'!N198</f>
        <v>0.2338888888888889</v>
      </c>
      <c r="K90" s="5">
        <f>+'Vida Digna'!AD198</f>
        <v>0.91822916666666665</v>
      </c>
      <c r="L90" s="5">
        <f>+'Vida Digna'!AE198</f>
        <v>9.6291666666666664E-2</v>
      </c>
      <c r="M90" s="5">
        <f>+'Vida Digna'!AI198</f>
        <v>0.25733506944444445</v>
      </c>
      <c r="N90" s="5">
        <f>+'Vida Digna'!AJ198</f>
        <v>0.57819097222222227</v>
      </c>
      <c r="O90" s="5">
        <f>+'Vida Digna'!AK198</f>
        <v>0.60396180555555556</v>
      </c>
      <c r="P90" s="33">
        <f>+'Vida Digna'!AL198</f>
        <v>5.0629340277777775E-2</v>
      </c>
      <c r="Q90" s="33">
        <f>+'Vida Digna'!AM198</f>
        <v>0.46282430555555554</v>
      </c>
      <c r="R90" s="33">
        <f>+'Vida Digna'!AN198</f>
        <v>0.49652638888888889</v>
      </c>
      <c r="S90" s="25"/>
      <c r="T90" s="2"/>
      <c r="U90" s="83"/>
    </row>
    <row r="91" spans="2:23" ht="48.6" customHeight="1" x14ac:dyDescent="0.7">
      <c r="B91" s="35" t="s">
        <v>1699</v>
      </c>
      <c r="C91" s="1593"/>
      <c r="D91" s="36">
        <f>+'Vida Digna'!J203</f>
        <v>0.1554520358868185</v>
      </c>
      <c r="E91" s="36">
        <f>+'Vida Digna'!K203</f>
        <v>0.28178053830227745</v>
      </c>
      <c r="F91" s="36">
        <f>+'Vida Digna'!L203</f>
        <v>0.12077294685990338</v>
      </c>
      <c r="G91" s="36">
        <f t="shared" si="22"/>
        <v>0.7119723947550034</v>
      </c>
      <c r="H91" s="36">
        <f t="shared" si="25"/>
        <v>0.96653209109730842</v>
      </c>
      <c r="I91" s="36">
        <f>+'Vida Digna'!M203</f>
        <v>0.15741890959282262</v>
      </c>
      <c r="J91" s="36">
        <f>+'Vida Digna'!N203</f>
        <v>0.28128364389233956</v>
      </c>
      <c r="K91" s="36">
        <f>+'Vida Digna'!AD203</f>
        <v>1</v>
      </c>
      <c r="L91" s="36">
        <f>+'Vida Digna'!AE203</f>
        <v>0.41149999999999998</v>
      </c>
      <c r="M91" s="36">
        <f>+'Vida Digna'!AI203</f>
        <v>0.43019185645272601</v>
      </c>
      <c r="N91" s="36">
        <f>+'Vida Digna'!AJ203</f>
        <v>0.84575914423740506</v>
      </c>
      <c r="O91" s="36">
        <f>+'Vida Digna'!AK203</f>
        <v>0.8970852311939268</v>
      </c>
      <c r="P91" s="37">
        <f>+'Vida Digna'!AL203</f>
        <v>0.11038109040717736</v>
      </c>
      <c r="Q91" s="37">
        <f>+'Vida Digna'!AM203</f>
        <v>0.87477984817115262</v>
      </c>
      <c r="R91" s="37">
        <f>+'Vida Digna'!AN203</f>
        <v>0.91151028295376135</v>
      </c>
      <c r="S91" s="25"/>
      <c r="T91" s="2"/>
      <c r="U91" s="83"/>
    </row>
    <row r="92" spans="2:23" ht="120" customHeight="1" x14ac:dyDescent="0.7">
      <c r="B92" s="27" t="str">
        <f>+'Desarrollo Economico'!B3:B3</f>
        <v xml:space="preserve"> DESARROLLO ECONÓMICO EQUITATIVO
</v>
      </c>
      <c r="C92" s="1591">
        <v>0.15</v>
      </c>
      <c r="D92" s="28">
        <f>+'Desarrollo Economico'!J3</f>
        <v>0.25032106779384017</v>
      </c>
      <c r="E92" s="28">
        <f>+'Desarrollo Economico'!K3</f>
        <v>0.30640994027190521</v>
      </c>
      <c r="F92" s="28">
        <f>+'Desarrollo Economico'!L3</f>
        <v>0.33397271274256368</v>
      </c>
      <c r="G92" s="28">
        <f t="shared" si="22"/>
        <v>0.53752284707137843</v>
      </c>
      <c r="H92" s="28">
        <f t="shared" si="25"/>
        <v>0.82209331785503881</v>
      </c>
      <c r="I92" s="28">
        <f>+'Desarrollo Economico'!M3</f>
        <v>0.17821682568108904</v>
      </c>
      <c r="J92" s="28">
        <f>+'Desarrollo Economico'!N3</f>
        <v>0.29286468501983037</v>
      </c>
      <c r="K92" s="691">
        <f>+'Desarrollo Economico'!AD3</f>
        <v>0.8280801355041183</v>
      </c>
      <c r="L92" s="691">
        <f>+'Desarrollo Economico'!AE3</f>
        <v>0.13599855463539826</v>
      </c>
      <c r="M92" s="28">
        <f>+'Desarrollo Economico'!AI3</f>
        <v>0.23111290679947327</v>
      </c>
      <c r="N92" s="28">
        <f>+'Desarrollo Economico'!AJ3</f>
        <v>0.48812060511247513</v>
      </c>
      <c r="O92" s="28">
        <f>+'Desarrollo Economico'!AK3</f>
        <v>0.52346057293872739</v>
      </c>
      <c r="P92" s="29">
        <f>+'Desarrollo Economico'!AL3</f>
        <v>0.1928528471183292</v>
      </c>
      <c r="Q92" s="29">
        <f>+'Desarrollo Economico'!AM3</f>
        <v>0.47987044466787071</v>
      </c>
      <c r="R92" s="29">
        <f>+'Desarrollo Economico'!AN3</f>
        <v>0.50250755082733933</v>
      </c>
      <c r="S92" s="25"/>
      <c r="T92" s="2"/>
      <c r="U92" s="83"/>
      <c r="W92" s="6"/>
    </row>
    <row r="93" spans="2:23" ht="78.599999999999994" customHeight="1" x14ac:dyDescent="0.7">
      <c r="B93" s="30" t="str">
        <f>+'Desarrollo Economico'!B4:B4</f>
        <v xml:space="preserve"> Competitividad e innovación
</v>
      </c>
      <c r="C93" s="1592"/>
      <c r="D93" s="23">
        <f t="shared" ref="D93:I93" si="35">+(D94+D95)/2</f>
        <v>0.2752</v>
      </c>
      <c r="E93" s="23">
        <f t="shared" si="35"/>
        <v>0.25843333333333329</v>
      </c>
      <c r="F93" s="23">
        <f t="shared" ref="F93" si="36">+(F94+F95)/2</f>
        <v>0.30312499999999998</v>
      </c>
      <c r="G93" s="23">
        <f t="shared" si="22"/>
        <v>0.57863333333333333</v>
      </c>
      <c r="H93" s="23">
        <f t="shared" si="25"/>
        <v>0.8939583333333333</v>
      </c>
      <c r="I93" s="24">
        <f t="shared" si="35"/>
        <v>0.2379</v>
      </c>
      <c r="J93" s="24">
        <f t="shared" ref="J93" si="37">+(J94+J95)/2</f>
        <v>0.26895000000000002</v>
      </c>
      <c r="K93" s="24">
        <f>+(K94+K95)/2</f>
        <v>0.85</v>
      </c>
      <c r="L93" s="24">
        <f>+(L94+L95)/2</f>
        <v>0</v>
      </c>
      <c r="M93" s="23">
        <f>+(M94+M95)/2</f>
        <v>0.32019999999999998</v>
      </c>
      <c r="N93" s="23">
        <f>+(N94+N95)/2</f>
        <v>0.59083333333333332</v>
      </c>
      <c r="O93" s="23">
        <f>+(O94+O95)/2</f>
        <v>0.57433333333333336</v>
      </c>
      <c r="P93" s="31">
        <f>+(P94+P95)</f>
        <v>0.24131999999999998</v>
      </c>
      <c r="Q93" s="31">
        <f>+'Desarrollo Economico'!AM4</f>
        <v>0.55075000000000007</v>
      </c>
      <c r="R93" s="31">
        <f>+'Desarrollo Economico'!AN4</f>
        <v>0.52434999999999998</v>
      </c>
      <c r="S93" s="25"/>
      <c r="T93" s="2"/>
      <c r="U93" s="83"/>
    </row>
    <row r="94" spans="2:23" ht="54.6" customHeight="1" x14ac:dyDescent="0.7">
      <c r="B94" s="32" t="s">
        <v>1700</v>
      </c>
      <c r="C94" s="1592"/>
      <c r="D94" s="5">
        <f>+'Desarrollo Economico'!J5</f>
        <v>0.3004</v>
      </c>
      <c r="E94" s="5">
        <f>+'Desarrollo Economico'!K5</f>
        <v>0.25019999999999998</v>
      </c>
      <c r="F94" s="5">
        <f>+'Desarrollo Economico'!L5</f>
        <v>0.23125000000000001</v>
      </c>
      <c r="G94" s="5">
        <f t="shared" si="22"/>
        <v>0.65059999999999996</v>
      </c>
      <c r="H94" s="5">
        <f t="shared" si="25"/>
        <v>0.96124999999999994</v>
      </c>
      <c r="I94" s="5">
        <f>+'Desarrollo Economico'!M5</f>
        <v>0.2258</v>
      </c>
      <c r="J94" s="5">
        <f>+'Desarrollo Economico'!N5</f>
        <v>0.26290000000000002</v>
      </c>
      <c r="K94" s="5">
        <f>+'Desarrollo Economico'!AD5</f>
        <v>0.9</v>
      </c>
      <c r="L94" s="5">
        <f>+'Desarrollo Economico'!AE5</f>
        <v>0</v>
      </c>
      <c r="M94" s="5">
        <f>+'Desarrollo Economico'!AI5</f>
        <v>0.40039999999999998</v>
      </c>
      <c r="N94" s="5">
        <f>+'Desarrollo Economico'!AJ5</f>
        <v>0.73</v>
      </c>
      <c r="O94" s="5">
        <f>+'Desarrollo Economico'!AK5</f>
        <v>0.69699999999999995</v>
      </c>
      <c r="P94" s="33">
        <f>+'Desarrollo Economico'!AL5</f>
        <v>0.10031999999999999</v>
      </c>
      <c r="Q94" s="33">
        <f>+'Desarrollo Economico'!AM5</f>
        <v>0.70750000000000002</v>
      </c>
      <c r="R94" s="33">
        <f>+'Desarrollo Economico'!AN5</f>
        <v>0.64149999999999996</v>
      </c>
      <c r="S94" s="25"/>
      <c r="T94" s="2"/>
      <c r="U94" s="83"/>
    </row>
    <row r="95" spans="2:23" ht="50.4" customHeight="1" x14ac:dyDescent="0.7">
      <c r="B95" s="32" t="s">
        <v>1701</v>
      </c>
      <c r="C95" s="1592"/>
      <c r="D95" s="5">
        <f>+'Desarrollo Economico'!J11</f>
        <v>0.25</v>
      </c>
      <c r="E95" s="5">
        <f>+'Desarrollo Economico'!K11</f>
        <v>0.26666666666666666</v>
      </c>
      <c r="F95" s="5">
        <f>+'Desarrollo Economico'!L11</f>
        <v>0.375</v>
      </c>
      <c r="G95" s="5">
        <f t="shared" si="22"/>
        <v>0.5066666666666666</v>
      </c>
      <c r="H95" s="5">
        <f t="shared" si="25"/>
        <v>0.82666666666666666</v>
      </c>
      <c r="I95" s="5">
        <f>+'Desarrollo Economico'!M11</f>
        <v>0.25</v>
      </c>
      <c r="J95" s="5">
        <f>+'Desarrollo Economico'!N11</f>
        <v>0.27500000000000002</v>
      </c>
      <c r="K95" s="5">
        <f>+'Desarrollo Economico'!AD11</f>
        <v>0.79999999999999993</v>
      </c>
      <c r="L95" s="5">
        <f>+'Desarrollo Economico'!AE11</f>
        <v>0</v>
      </c>
      <c r="M95" s="5">
        <f>+'Desarrollo Economico'!AI11</f>
        <v>0.24</v>
      </c>
      <c r="N95" s="5">
        <f>+'Desarrollo Economico'!AJ11</f>
        <v>0.45166666666666666</v>
      </c>
      <c r="O95" s="1298">
        <f>+'Desarrollo Economico'!AK11</f>
        <v>0.45166666666666666</v>
      </c>
      <c r="P95" s="33">
        <f>+'Desarrollo Economico'!AL11</f>
        <v>0.14099999999999999</v>
      </c>
      <c r="Q95" s="33">
        <f>+'Desarrollo Economico'!AM11</f>
        <v>0.44624999999999998</v>
      </c>
      <c r="R95" s="33">
        <f>+'Desarrollo Economico'!AN11</f>
        <v>0.44624999999999998</v>
      </c>
      <c r="S95" s="25"/>
      <c r="T95" s="2"/>
      <c r="U95" s="83"/>
    </row>
    <row r="96" spans="2:23" ht="93" customHeight="1" x14ac:dyDescent="0.7">
      <c r="B96" s="30" t="str">
        <f>+'Desarrollo Economico'!B15:B15</f>
        <v xml:space="preserve"> Diversificación Económica
</v>
      </c>
      <c r="C96" s="1592"/>
      <c r="D96" s="23">
        <f t="shared" ref="D96:I96" si="38">+(D97+D98+D99+D100)/4</f>
        <v>0.28770833333333334</v>
      </c>
      <c r="E96" s="23">
        <f t="shared" si="38"/>
        <v>0.34704861111111107</v>
      </c>
      <c r="F96" s="23">
        <f t="shared" ref="F96" si="39">+(F97+F98+F99+F100)/4</f>
        <v>0.37916666666666665</v>
      </c>
      <c r="G96" s="23">
        <f t="shared" si="22"/>
        <v>0.57802777777777781</v>
      </c>
      <c r="H96" s="23">
        <f t="shared" si="25"/>
        <v>0.96903299936386766</v>
      </c>
      <c r="I96" s="24">
        <f t="shared" si="38"/>
        <v>0.20433333333333331</v>
      </c>
      <c r="J96" s="24">
        <f t="shared" ref="J96:K96" si="40">+(J97+J98+J99+J100)/4</f>
        <v>0.33291666666666664</v>
      </c>
      <c r="K96" s="24">
        <f t="shared" si="40"/>
        <v>0.82645833333333329</v>
      </c>
      <c r="L96" s="24">
        <f t="shared" ref="L96" si="41">+(L97+L98+L99+L100)/4</f>
        <v>0.19053030303030299</v>
      </c>
      <c r="M96" s="23">
        <f>+(M97+M98+M99+M100)/4</f>
        <v>0.23097916666666671</v>
      </c>
      <c r="N96" s="23">
        <f>+(N97+N98+N99+N100)/4</f>
        <v>0.58986633269720101</v>
      </c>
      <c r="O96" s="23">
        <f>+(O97+O98+O99+O100)/4</f>
        <v>0.62353363549618313</v>
      </c>
      <c r="P96" s="31">
        <f>+(P97+P98+P99+P100)</f>
        <v>0.373</v>
      </c>
      <c r="Q96" s="31">
        <f>+'Desarrollo Economico'!AM15</f>
        <v>0.67023139312977098</v>
      </c>
      <c r="R96" s="31">
        <f>+'Desarrollo Economico'!AN15</f>
        <v>0.68558826335877854</v>
      </c>
      <c r="S96" s="25"/>
      <c r="T96" s="2"/>
      <c r="U96" s="83"/>
    </row>
    <row r="97" spans="2:21" ht="48" customHeight="1" x14ac:dyDescent="0.7">
      <c r="B97" s="32" t="s">
        <v>1702</v>
      </c>
      <c r="C97" s="1592"/>
      <c r="D97" s="5">
        <f>+'Desarrollo Economico'!J16</f>
        <v>0.25</v>
      </c>
      <c r="E97" s="5">
        <f>+'Desarrollo Economico'!K16</f>
        <v>0.21875</v>
      </c>
      <c r="F97" s="5">
        <f>+'Desarrollo Economico'!L16</f>
        <v>0.27500000000000002</v>
      </c>
      <c r="G97" s="5">
        <f t="shared" si="22"/>
        <v>0.65625</v>
      </c>
      <c r="H97" s="5">
        <f t="shared" si="25"/>
        <v>0.99687500000000007</v>
      </c>
      <c r="I97" s="5">
        <f>+'Desarrollo Economico'!M16</f>
        <v>0.25</v>
      </c>
      <c r="J97" s="5">
        <f>+'Desarrollo Economico'!N16</f>
        <v>0.22500000000000001</v>
      </c>
      <c r="K97" s="5">
        <f>+'Desarrollo Economico'!AD16</f>
        <v>0.82250000000000001</v>
      </c>
      <c r="L97" s="5">
        <f>+'Desarrollo Economico'!AE16</f>
        <v>0</v>
      </c>
      <c r="M97" s="5">
        <f>+'Desarrollo Economico'!AI16</f>
        <v>0.4375</v>
      </c>
      <c r="N97" s="5">
        <f>+'Desarrollo Economico'!AJ16</f>
        <v>0.72187500000000004</v>
      </c>
      <c r="O97" s="5">
        <f>+'Desarrollo Economico'!AK16</f>
        <v>0.72187500000000004</v>
      </c>
      <c r="P97" s="33">
        <f>+'Desarrollo Economico'!AL16</f>
        <v>0.17500000000000002</v>
      </c>
      <c r="Q97" s="33">
        <f>+'Desarrollo Economico'!AM16</f>
        <v>0.88874999999999993</v>
      </c>
      <c r="R97" s="33">
        <f>+'Desarrollo Economico'!AN16</f>
        <v>0.88874999999999993</v>
      </c>
      <c r="S97" s="25"/>
      <c r="T97" s="2"/>
      <c r="U97" s="83"/>
    </row>
    <row r="98" spans="2:21" ht="48" customHeight="1" x14ac:dyDescent="0.7">
      <c r="B98" s="32" t="s">
        <v>1703</v>
      </c>
      <c r="C98" s="1592"/>
      <c r="D98" s="5">
        <f>+'Desarrollo Economico'!J21</f>
        <v>0.13416666666666666</v>
      </c>
      <c r="E98" s="5">
        <f>+'Desarrollo Economico'!K21</f>
        <v>0.15833333333333333</v>
      </c>
      <c r="F98" s="5">
        <f>+'Desarrollo Economico'!L21</f>
        <v>0.15833333333333333</v>
      </c>
      <c r="G98" s="5">
        <f t="shared" si="22"/>
        <v>0.38750000000000001</v>
      </c>
      <c r="H98" s="5">
        <f t="shared" si="25"/>
        <v>0.70992366412213737</v>
      </c>
      <c r="I98" s="5">
        <f>+'Desarrollo Economico'!M21</f>
        <v>0.15733333333333333</v>
      </c>
      <c r="J98" s="5">
        <f>+'Desarrollo Economico'!N21</f>
        <v>0.17666666666666667</v>
      </c>
      <c r="K98" s="5">
        <f>+'Desarrollo Economico'!AD21</f>
        <v>1</v>
      </c>
      <c r="L98" s="5">
        <f>+'Desarrollo Economico'!AE21</f>
        <v>0.3833333333333333</v>
      </c>
      <c r="M98" s="5">
        <f>+'Desarrollo Economico'!AI21</f>
        <v>0.22916666666666669</v>
      </c>
      <c r="N98" s="5">
        <f>+'Desarrollo Economico'!AJ21</f>
        <v>0.55159033078880404</v>
      </c>
      <c r="O98" s="5">
        <f>+'Desarrollo Economico'!AK21</f>
        <v>0.6612595419847328</v>
      </c>
      <c r="P98" s="33">
        <f>+'Desarrollo Economico'!AL21</f>
        <v>2.7000000000000003E-2</v>
      </c>
      <c r="Q98" s="33">
        <f>+'Desarrollo Economico'!AM21</f>
        <v>0.5779389312977099</v>
      </c>
      <c r="R98" s="33">
        <f>+'Desarrollo Economico'!AN21</f>
        <v>0.67900763358778615</v>
      </c>
      <c r="S98" s="25"/>
      <c r="T98" s="2"/>
      <c r="U98" s="83"/>
    </row>
    <row r="99" spans="2:21" ht="48" customHeight="1" x14ac:dyDescent="0.7">
      <c r="B99" s="32" t="s">
        <v>1704</v>
      </c>
      <c r="C99" s="1592"/>
      <c r="D99" s="5">
        <f>+'Desarrollo Economico'!J24</f>
        <v>0.16666666666666666</v>
      </c>
      <c r="E99" s="5">
        <f>+'Desarrollo Economico'!K24</f>
        <v>0.41111111111111115</v>
      </c>
      <c r="F99" s="5">
        <f>+'Desarrollo Economico'!L24</f>
        <v>0.45</v>
      </c>
      <c r="G99" s="5">
        <f t="shared" si="22"/>
        <v>0.51836111111111116</v>
      </c>
      <c r="H99" s="5">
        <v>1</v>
      </c>
      <c r="I99" s="5">
        <f>+'Desarrollo Economico'!M24</f>
        <v>4.9999999999999996E-2</v>
      </c>
      <c r="J99" s="5">
        <f>+'Desarrollo Economico'!N24</f>
        <v>0.43999999999999995</v>
      </c>
      <c r="K99" s="5">
        <f>+'Desarrollo Economico'!AD24</f>
        <v>0.73333333333333339</v>
      </c>
      <c r="L99" s="5">
        <f>+'Desarrollo Economico'!AE24</f>
        <v>0.33333333333333331</v>
      </c>
      <c r="M99" s="5">
        <f>+'Desarrollo Economico'!AI24</f>
        <v>0.10725000000000001</v>
      </c>
      <c r="N99" s="5">
        <f>+'Desarrollo Economico'!AJ24</f>
        <v>0.56099999999999994</v>
      </c>
      <c r="O99" s="5">
        <f>+'Desarrollo Economico'!AK24</f>
        <v>0.56099999999999994</v>
      </c>
      <c r="P99" s="33">
        <f>+'Desarrollo Economico'!AL24</f>
        <v>4.4999999999999998E-2</v>
      </c>
      <c r="Q99" s="33">
        <f>+'Desarrollo Economico'!AM24</f>
        <v>0.42</v>
      </c>
      <c r="R99" s="33">
        <f>+'Desarrollo Economico'!AN24</f>
        <v>0.42</v>
      </c>
      <c r="S99" s="25"/>
      <c r="T99" s="2"/>
      <c r="U99" s="83"/>
    </row>
    <row r="100" spans="2:21" ht="48" customHeight="1" x14ac:dyDescent="0.7">
      <c r="B100" s="32" t="s">
        <v>1705</v>
      </c>
      <c r="C100" s="1592"/>
      <c r="D100" s="5">
        <f>+'Desarrollo Economico'!J28</f>
        <v>0.6</v>
      </c>
      <c r="E100" s="5">
        <f>+'Desarrollo Economico'!K28</f>
        <v>0.6</v>
      </c>
      <c r="F100" s="5">
        <f>+'Desarrollo Economico'!L28</f>
        <v>0.63333333333333341</v>
      </c>
      <c r="G100" s="5">
        <f t="shared" si="22"/>
        <v>0.75</v>
      </c>
      <c r="H100" s="5">
        <v>1</v>
      </c>
      <c r="I100" s="5">
        <f>+'Desarrollo Economico'!M28</f>
        <v>0.36</v>
      </c>
      <c r="J100" s="5">
        <f>+'Desarrollo Economico'!N28</f>
        <v>0.49</v>
      </c>
      <c r="K100" s="5">
        <f>+'Desarrollo Economico'!AD28</f>
        <v>0.75000000000000011</v>
      </c>
      <c r="L100" s="5">
        <f>+'Desarrollo Economico'!AE28</f>
        <v>4.5454545454545456E-2</v>
      </c>
      <c r="M100" s="5">
        <f>+'Desarrollo Economico'!AI28</f>
        <v>0.15</v>
      </c>
      <c r="N100" s="5">
        <f>+'Desarrollo Economico'!AJ28</f>
        <v>0.52500000000000002</v>
      </c>
      <c r="O100" s="5">
        <f>+'Desarrollo Economico'!AK28</f>
        <v>0.55000000000000004</v>
      </c>
      <c r="P100" s="33">
        <f>+'Desarrollo Economico'!AL28</f>
        <v>0.126</v>
      </c>
      <c r="Q100" s="33">
        <f>+'Desarrollo Economico'!AM28</f>
        <v>0.755</v>
      </c>
      <c r="R100" s="33">
        <f>+'Desarrollo Economico'!AN28</f>
        <v>0.77</v>
      </c>
      <c r="S100" s="25"/>
      <c r="T100" s="2"/>
      <c r="U100" s="83"/>
    </row>
    <row r="101" spans="2:21" ht="70.2" customHeight="1" x14ac:dyDescent="0.7">
      <c r="B101" s="30" t="str">
        <f>+'Desarrollo Economico'!B33:B33</f>
        <v xml:space="preserve"> Trabajo Decente y Cierre de Brechas Laborales
</v>
      </c>
      <c r="C101" s="1592"/>
      <c r="D101" s="23">
        <f t="shared" ref="D101:I101" si="42">+(D102+D103+D104)/3</f>
        <v>0.36472934472934471</v>
      </c>
      <c r="E101" s="23">
        <f t="shared" si="42"/>
        <v>0.15683760683760684</v>
      </c>
      <c r="F101" s="23">
        <f t="shared" ref="F101" si="43">+(F102+F103+F104)/3</f>
        <v>0.17341880341880342</v>
      </c>
      <c r="G101" s="23">
        <f t="shared" si="22"/>
        <v>0.44333803418803419</v>
      </c>
      <c r="H101" s="23">
        <f t="shared" si="25"/>
        <v>0.73340925925925926</v>
      </c>
      <c r="I101" s="24">
        <f t="shared" si="42"/>
        <v>0.25547008547008548</v>
      </c>
      <c r="J101" s="24">
        <f t="shared" ref="J101:K101" si="44">+(J102+J103+J104)/3</f>
        <v>0.16822649572649573</v>
      </c>
      <c r="K101" s="24">
        <f t="shared" si="44"/>
        <v>1.0525925925925925</v>
      </c>
      <c r="L101" s="24">
        <f t="shared" ref="L101" si="45">+(L102+L103+L104)/3</f>
        <v>0.33333333333333331</v>
      </c>
      <c r="M101" s="23">
        <f>+(M102+M103+M104)/3</f>
        <v>0.28650042735042736</v>
      </c>
      <c r="N101" s="23">
        <f>+(N102+N103+N104)/3</f>
        <v>0.55999045584045581</v>
      </c>
      <c r="O101" s="23">
        <f>+(O102+O103+O104)/3</f>
        <v>0.65313860398860402</v>
      </c>
      <c r="P101" s="31">
        <f>+(P102+P103+P104)</f>
        <v>0.23447615384615383</v>
      </c>
      <c r="Q101" s="31">
        <f>+'Desarrollo Economico'!AM33</f>
        <v>0.45406589743589743</v>
      </c>
      <c r="R101" s="31">
        <f>+'Desarrollo Economico'!AN33</f>
        <v>0.5194825641025641</v>
      </c>
      <c r="S101" s="25"/>
      <c r="T101" s="2"/>
      <c r="U101" s="83"/>
    </row>
    <row r="102" spans="2:21" ht="43.2" customHeight="1" x14ac:dyDescent="0.7">
      <c r="B102" s="32" t="s">
        <v>1706</v>
      </c>
      <c r="C102" s="1592"/>
      <c r="D102" s="5">
        <f>+'Desarrollo Economico'!J34</f>
        <v>8.6111111111111097E-2</v>
      </c>
      <c r="E102" s="5">
        <f>+'Desarrollo Economico'!K34</f>
        <v>8.1666666666666665E-2</v>
      </c>
      <c r="F102" s="5">
        <f>+'Desarrollo Economico'!L34</f>
        <v>0.20833333333333331</v>
      </c>
      <c r="G102" s="5">
        <f t="shared" si="22"/>
        <v>0.18703333333333333</v>
      </c>
      <c r="H102" s="5">
        <f t="shared" si="25"/>
        <v>0.48147777777777773</v>
      </c>
      <c r="I102" s="5">
        <f>+'Desarrollo Economico'!M34</f>
        <v>5.0833333333333328E-2</v>
      </c>
      <c r="J102" s="5">
        <f>+'Desarrollo Economico'!N34</f>
        <v>0.11583333333333333</v>
      </c>
      <c r="K102" s="5">
        <f>+'Desarrollo Economico'!AD34</f>
        <v>1.1577777777777778</v>
      </c>
      <c r="L102" s="5">
        <f>+'Desarrollo Economico'!AE34</f>
        <v>0</v>
      </c>
      <c r="M102" s="5">
        <f>+'Desarrollo Economico'!AI34</f>
        <v>0.10536666666666666</v>
      </c>
      <c r="N102" s="5">
        <f>+'Desarrollo Economico'!AJ34</f>
        <v>0.27314444444444441</v>
      </c>
      <c r="O102" s="1298">
        <f>+'Desarrollo Economico'!AK34</f>
        <v>0.31758888888888887</v>
      </c>
      <c r="P102" s="33">
        <f>+'Desarrollo Economico'!AL34</f>
        <v>4.5942499999999997E-2</v>
      </c>
      <c r="Q102" s="33">
        <f>+'Desarrollo Economico'!AM34</f>
        <v>0.20471833333333331</v>
      </c>
      <c r="R102" s="33">
        <f>+'Desarrollo Economico'!AN34</f>
        <v>0.21805166666666664</v>
      </c>
      <c r="S102" s="25"/>
      <c r="T102" s="2"/>
      <c r="U102" s="83"/>
    </row>
    <row r="103" spans="2:21" ht="31.2" customHeight="1" x14ac:dyDescent="0.7">
      <c r="B103" s="32" t="s">
        <v>1707</v>
      </c>
      <c r="C103" s="1592"/>
      <c r="D103" s="5">
        <f>+'Desarrollo Economico'!J40</f>
        <v>0.58499999999999996</v>
      </c>
      <c r="E103" s="5">
        <f>+'Desarrollo Economico'!K40</f>
        <v>0.23500000000000001</v>
      </c>
      <c r="F103" s="5">
        <f>+'Desarrollo Economico'!L40</f>
        <v>0.23500000000000001</v>
      </c>
      <c r="G103" s="5">
        <f t="shared" si="22"/>
        <v>0.54375000000000007</v>
      </c>
      <c r="H103" s="5">
        <f t="shared" si="25"/>
        <v>0.77874999999999994</v>
      </c>
      <c r="I103" s="5">
        <f>+'Desarrollo Economico'!M40</f>
        <v>0.29249999999999998</v>
      </c>
      <c r="J103" s="5">
        <f>+'Desarrollo Economico'!N40</f>
        <v>0.23500000000000001</v>
      </c>
      <c r="K103" s="5">
        <f>+'Desarrollo Economico'!AD40</f>
        <v>1</v>
      </c>
      <c r="L103" s="5">
        <f>+'Desarrollo Economico'!AE40</f>
        <v>1</v>
      </c>
      <c r="M103" s="5">
        <f>+'Desarrollo Economico'!AI40</f>
        <v>0.30875000000000002</v>
      </c>
      <c r="N103" s="5">
        <f>+'Desarrollo Economico'!AJ40</f>
        <v>0.54374999999999996</v>
      </c>
      <c r="O103" s="5">
        <f>+'Desarrollo Economico'!AK40</f>
        <v>0.77875000000000005</v>
      </c>
      <c r="P103" s="33">
        <f>+'Desarrollo Economico'!AL40</f>
        <v>7.7187500000000006E-2</v>
      </c>
      <c r="Q103" s="33">
        <f>+'Desarrollo Economico'!AM40</f>
        <v>0.54374999999999996</v>
      </c>
      <c r="R103" s="33">
        <f>+'Desarrollo Economico'!AN40</f>
        <v>0.77875000000000005</v>
      </c>
      <c r="S103" s="25"/>
      <c r="T103" s="2"/>
      <c r="U103" s="83"/>
    </row>
    <row r="104" spans="2:21" ht="51.6" customHeight="1" x14ac:dyDescent="0.7">
      <c r="B104" s="32" t="s">
        <v>1708</v>
      </c>
      <c r="C104" s="1592"/>
      <c r="D104" s="5">
        <f>+'Desarrollo Economico'!J43</f>
        <v>0.42307692307692307</v>
      </c>
      <c r="E104" s="5">
        <f>+'Desarrollo Economico'!K43</f>
        <v>0.15384615384615385</v>
      </c>
      <c r="F104" s="5">
        <f>+'Desarrollo Economico'!L43</f>
        <v>7.6923076923076927E-2</v>
      </c>
      <c r="G104" s="5">
        <f t="shared" si="22"/>
        <v>0.59923076923076923</v>
      </c>
      <c r="H104" s="5">
        <f t="shared" si="25"/>
        <v>0.94</v>
      </c>
      <c r="I104" s="5">
        <f>+'Desarrollo Economico'!M43</f>
        <v>0.42307692307692307</v>
      </c>
      <c r="J104" s="5">
        <f>+'Desarrollo Economico'!N43</f>
        <v>0.15384615384615385</v>
      </c>
      <c r="K104" s="5">
        <f>+'Desarrollo Economico'!AD43</f>
        <v>1</v>
      </c>
      <c r="L104" s="5">
        <f>+'Desarrollo Economico'!AE43</f>
        <v>0</v>
      </c>
      <c r="M104" s="5">
        <f>+'Desarrollo Economico'!AI43</f>
        <v>0.44538461538461538</v>
      </c>
      <c r="N104" s="5">
        <f>+'Desarrollo Economico'!AJ43</f>
        <v>0.86307692307692307</v>
      </c>
      <c r="O104" s="5">
        <f>+'Desarrollo Economico'!AK43</f>
        <v>0.86307692307692307</v>
      </c>
      <c r="P104" s="33">
        <f>+'Desarrollo Economico'!AL43</f>
        <v>0.11134615384615384</v>
      </c>
      <c r="Q104" s="33">
        <f>+'Desarrollo Economico'!AM43</f>
        <v>0.86307692307692307</v>
      </c>
      <c r="R104" s="33">
        <f>+'Desarrollo Economico'!AN43</f>
        <v>0.86307692307692307</v>
      </c>
      <c r="S104" s="25"/>
      <c r="T104" s="2"/>
      <c r="U104" s="83"/>
    </row>
    <row r="105" spans="2:21" ht="49.8" x14ac:dyDescent="0.7">
      <c r="B105" s="30" t="str">
        <f>+'Desarrollo Economico'!B45:B45</f>
        <v xml:space="preserve"> Economía Popular y Emprendimiento
</v>
      </c>
      <c r="C105" s="1592"/>
      <c r="D105" s="23">
        <f>+(D106+D107+D108+D109)/3</f>
        <v>0.15416666666666667</v>
      </c>
      <c r="E105" s="23">
        <f>+(E106+E107+E108+E109)/4</f>
        <v>0.28135416666666668</v>
      </c>
      <c r="F105" s="23">
        <f>+(F106+F107+F108+F109)/4</f>
        <v>0.37308035714285714</v>
      </c>
      <c r="G105" s="23">
        <f t="shared" si="22"/>
        <v>0.45191666666666674</v>
      </c>
      <c r="H105" s="23">
        <f t="shared" si="25"/>
        <v>0.76544494047619049</v>
      </c>
      <c r="I105" s="24">
        <f>+(I106+I107+I108+I109)/3</f>
        <v>7.0208333333333331E-2</v>
      </c>
      <c r="J105" s="24">
        <f t="shared" ref="J105" si="46">+(J106+J107+J108+J109)/3</f>
        <v>0.38183333333333341</v>
      </c>
      <c r="K105" s="24">
        <f>+(K106+K107+K108+K109)/4</f>
        <v>0.70187500000000003</v>
      </c>
      <c r="L105" s="24">
        <f>+(L106+L107+L108+L109)/4</f>
        <v>0.23845833333333333</v>
      </c>
      <c r="M105" s="23">
        <f>+(M106+M107+M108+M109)/3</f>
        <v>0.17056250000000003</v>
      </c>
      <c r="N105" s="23">
        <f>+(N106+N107+N108+N109)/4</f>
        <v>0.39236458333333335</v>
      </c>
      <c r="O105" s="23">
        <f>+(O106+O107+O108+O109)/4</f>
        <v>0.45648363095238093</v>
      </c>
      <c r="P105" s="31">
        <f>+(P106+P107+P108+P109)</f>
        <v>0.11891499999999999</v>
      </c>
      <c r="Q105" s="31">
        <f>+'Desarrollo Economico'!AM45</f>
        <v>0.48483416666666668</v>
      </c>
      <c r="R105" s="31">
        <f>+'Desarrollo Economico'!AN45</f>
        <v>0.53543083333333341</v>
      </c>
      <c r="S105" s="25"/>
      <c r="T105" s="2"/>
      <c r="U105" s="83"/>
    </row>
    <row r="106" spans="2:21" ht="36" customHeight="1" x14ac:dyDescent="0.7">
      <c r="B106" s="32" t="s">
        <v>1709</v>
      </c>
      <c r="C106" s="1592"/>
      <c r="D106" s="5">
        <f>+'Desarrollo Economico'!J46</f>
        <v>0.21249999999999999</v>
      </c>
      <c r="E106" s="5">
        <f>+'Desarrollo Economico'!K46</f>
        <v>0.32916666666666666</v>
      </c>
      <c r="F106" s="5">
        <f>+'Desarrollo Economico'!L46</f>
        <v>0.28857142857142859</v>
      </c>
      <c r="G106" s="5">
        <f t="shared" si="22"/>
        <v>0.4916666666666667</v>
      </c>
      <c r="H106" s="5">
        <f t="shared" si="25"/>
        <v>0.67240476190476195</v>
      </c>
      <c r="I106" s="5">
        <f>+'Desarrollo Economico'!M46</f>
        <v>7.8125E-2</v>
      </c>
      <c r="J106" s="5">
        <f>+'Desarrollo Economico'!N46</f>
        <v>0.27500000000000002</v>
      </c>
      <c r="K106" s="5">
        <f>+'Desarrollo Economico'!AD46</f>
        <v>0.84500000000000008</v>
      </c>
      <c r="L106" s="5">
        <f>+'Desarrollo Economico'!AE46</f>
        <v>0</v>
      </c>
      <c r="M106" s="5">
        <f>+'Desarrollo Economico'!AI46</f>
        <v>0.16250000000000001</v>
      </c>
      <c r="N106" s="5">
        <f>+'Desarrollo Economico'!AJ46</f>
        <v>0.3838333333333333</v>
      </c>
      <c r="O106" s="1298">
        <f>+'Desarrollo Economico'!AK46</f>
        <v>0.33614285714285713</v>
      </c>
      <c r="P106" s="33">
        <f>+'Desarrollo Economico'!AL46</f>
        <v>1.6406250000000001E-2</v>
      </c>
      <c r="Q106" s="33">
        <f>+'Desarrollo Economico'!AM46</f>
        <v>0.34800000000000003</v>
      </c>
      <c r="R106" s="33">
        <f>+'Desarrollo Economico'!AN46</f>
        <v>0.35300000000000004</v>
      </c>
      <c r="S106" s="25"/>
      <c r="T106" s="2"/>
      <c r="U106" s="83"/>
    </row>
    <row r="107" spans="2:21" ht="65.400000000000006" customHeight="1" x14ac:dyDescent="0.7">
      <c r="B107" s="32" t="s">
        <v>1710</v>
      </c>
      <c r="C107" s="1592"/>
      <c r="D107" s="5">
        <f>+'Desarrollo Economico'!J54</f>
        <v>0.125</v>
      </c>
      <c r="E107" s="5">
        <f>+'Desarrollo Economico'!K54</f>
        <v>0.34375</v>
      </c>
      <c r="F107" s="5">
        <f>+'Desarrollo Economico'!L54</f>
        <v>0.3</v>
      </c>
      <c r="G107" s="5">
        <f t="shared" si="22"/>
        <v>0.42743750000000003</v>
      </c>
      <c r="H107" s="5">
        <f t="shared" si="25"/>
        <v>0.76824999999999999</v>
      </c>
      <c r="I107" s="5">
        <f>+'Desarrollo Economico'!M54</f>
        <v>6.25E-2</v>
      </c>
      <c r="J107" s="5">
        <f>+'Desarrollo Economico'!N54</f>
        <v>0.36499999999999999</v>
      </c>
      <c r="K107" s="5">
        <f>+'Desarrollo Economico'!AD54</f>
        <v>1</v>
      </c>
      <c r="L107" s="5">
        <f>+'Desarrollo Economico'!AE54</f>
        <v>0.17049999999999998</v>
      </c>
      <c r="M107" s="5">
        <f>+'Desarrollo Economico'!AI54</f>
        <v>8.3687499999999998E-2</v>
      </c>
      <c r="N107" s="5">
        <f>+'Desarrollo Economico'!AJ54</f>
        <v>0.46825</v>
      </c>
      <c r="O107" s="5">
        <f>+'Desarrollo Economico'!AK54</f>
        <v>0.52024999999999999</v>
      </c>
      <c r="P107" s="33">
        <f>+'Desarrollo Economico'!AL54</f>
        <v>5.8581249999999994E-2</v>
      </c>
      <c r="Q107" s="33">
        <f>+'Desarrollo Economico'!AM54</f>
        <v>0.61399999999999999</v>
      </c>
      <c r="R107" s="33">
        <f>+'Desarrollo Economico'!AN54</f>
        <v>0.67300000000000004</v>
      </c>
      <c r="S107" s="25"/>
      <c r="T107" s="2"/>
      <c r="U107" s="83"/>
    </row>
    <row r="108" spans="2:21" ht="36.6" x14ac:dyDescent="0.7">
      <c r="B108" s="32" t="s">
        <v>1711</v>
      </c>
      <c r="C108" s="1592"/>
      <c r="D108" s="5">
        <f>+'Desarrollo Economico'!J59</f>
        <v>0.125</v>
      </c>
      <c r="E108" s="5">
        <f>+'Desarrollo Economico'!K59</f>
        <v>0.45250000000000001</v>
      </c>
      <c r="F108" s="5">
        <f>+'Desarrollo Economico'!L59</f>
        <v>0.23708333333333331</v>
      </c>
      <c r="G108" s="5">
        <f t="shared" si="22"/>
        <v>0.71799999999999997</v>
      </c>
      <c r="H108" s="5">
        <f t="shared" si="25"/>
        <v>0.82029166666666664</v>
      </c>
      <c r="I108" s="5">
        <f>+'Desarrollo Economico'!M59</f>
        <v>7.0000000000000007E-2</v>
      </c>
      <c r="J108" s="5">
        <f>+'Desarrollo Economico'!N59</f>
        <v>0.50550000000000006</v>
      </c>
      <c r="K108" s="5">
        <f>+'Desarrollo Economico'!AD59</f>
        <v>0.96250000000000002</v>
      </c>
      <c r="L108" s="5">
        <f>+'Desarrollo Economico'!AE59</f>
        <v>0.45</v>
      </c>
      <c r="M108" s="5">
        <f>+'Desarrollo Economico'!AI59</f>
        <v>0.26550000000000001</v>
      </c>
      <c r="N108" s="5">
        <f>+'Desarrollo Economico'!AJ59</f>
        <v>0.58320833333333333</v>
      </c>
      <c r="O108" s="5">
        <f>+'Desarrollo Economico'!AK59</f>
        <v>0.66870833333333324</v>
      </c>
      <c r="P108" s="33">
        <f>+'Desarrollo Economico'!AL59</f>
        <v>4.3927500000000001E-2</v>
      </c>
      <c r="Q108" s="33">
        <f>+'Desarrollo Economico'!AM59</f>
        <v>0.56505833333333333</v>
      </c>
      <c r="R108" s="33">
        <f>+'Desarrollo Economico'!AN59</f>
        <v>0.60515833333333335</v>
      </c>
      <c r="S108" s="25"/>
      <c r="T108" s="2"/>
      <c r="U108" s="83"/>
    </row>
    <row r="109" spans="2:21" ht="46.95" customHeight="1" x14ac:dyDescent="0.7">
      <c r="B109" s="32" t="s">
        <v>1712</v>
      </c>
      <c r="C109" s="1592"/>
      <c r="D109" s="5">
        <f>+'Desarrollo Economico'!J64</f>
        <v>0</v>
      </c>
      <c r="E109" s="5">
        <f>+'Desarrollo Economico'!K64</f>
        <v>0</v>
      </c>
      <c r="F109" s="5">
        <f>+'Desarrollo Economico'!L64</f>
        <v>0.66666666666666674</v>
      </c>
      <c r="G109" s="5">
        <f t="shared" si="22"/>
        <v>0</v>
      </c>
      <c r="H109" s="5">
        <f t="shared" si="25"/>
        <v>0.8008333333333334</v>
      </c>
      <c r="I109" s="5">
        <f>+'Desarrollo Economico'!M64</f>
        <v>0</v>
      </c>
      <c r="J109" s="5">
        <f>+'Desarrollo Economico'!N64</f>
        <v>0</v>
      </c>
      <c r="K109" s="5">
        <f>+'Desarrollo Economico'!AD64</f>
        <v>0</v>
      </c>
      <c r="L109" s="5">
        <f>+'Desarrollo Economico'!AE64</f>
        <v>0.33333333333333331</v>
      </c>
      <c r="M109" s="5">
        <f>+'Desarrollo Economico'!AI64</f>
        <v>0</v>
      </c>
      <c r="N109" s="5">
        <f>+'Desarrollo Economico'!AJ64</f>
        <v>0.13416666666666666</v>
      </c>
      <c r="O109" s="5">
        <f>+'Desarrollo Economico'!AK64</f>
        <v>0.30083333333333329</v>
      </c>
      <c r="P109" s="33">
        <f>+'Desarrollo Economico'!AL64</f>
        <v>0</v>
      </c>
      <c r="Q109" s="33">
        <f>+'Desarrollo Economico'!AM64</f>
        <v>0.13416666666666666</v>
      </c>
      <c r="R109" s="33">
        <f>+'Desarrollo Economico'!AN64</f>
        <v>0.30083333333333329</v>
      </c>
      <c r="S109" s="25"/>
      <c r="T109" s="2"/>
      <c r="U109" s="83"/>
    </row>
    <row r="110" spans="2:21" ht="88.95" customHeight="1" x14ac:dyDescent="0.7">
      <c r="B110" s="30" t="str">
        <f>+'Desarrollo Economico'!B67:B67</f>
        <v xml:space="preserve">Turismo Sostenible y Responsable
</v>
      </c>
      <c r="C110" s="1592"/>
      <c r="D110" s="23">
        <f>+(D111+D112+D113+D114+D115)/5</f>
        <v>0.1135</v>
      </c>
      <c r="E110" s="23">
        <f>+(E111+E112+E113+E114+E115)/5</f>
        <v>0.50593420257578892</v>
      </c>
      <c r="F110" s="23">
        <f>+(F111+F112+F113+F114+F115)/5</f>
        <v>0.32380212226365584</v>
      </c>
      <c r="G110" s="23">
        <f t="shared" si="22"/>
        <v>0.6744342025757889</v>
      </c>
      <c r="H110" s="23">
        <f t="shared" si="25"/>
        <v>0.83863768610593192</v>
      </c>
      <c r="I110" s="24">
        <f>+(I111+I112+I113+I114+I115)/5</f>
        <v>0.20750000000000002</v>
      </c>
      <c r="J110" s="24">
        <f t="shared" ref="J110:K110" si="47">+(J111+J112+J113+J114+J115)/5</f>
        <v>0.47529743197983565</v>
      </c>
      <c r="K110" s="24">
        <f t="shared" si="47"/>
        <v>0.86744444444444446</v>
      </c>
      <c r="L110" s="24">
        <f t="shared" ref="L110" si="48">+(L111+L112+L113+L114+L115)/5</f>
        <v>6.3350452433357782E-2</v>
      </c>
      <c r="M110" s="23">
        <f>+(M111+M112+M113+M114+M115)/5</f>
        <v>0.16850000000000001</v>
      </c>
      <c r="N110" s="23">
        <f>+(N111+N112+N113+N114+N115)/5</f>
        <v>0.51483556384227602</v>
      </c>
      <c r="O110" s="23">
        <f>+(O111+O112+O113+O114+O115)/5</f>
        <v>0.54328163110282435</v>
      </c>
      <c r="P110" s="31">
        <f>+(P111+P112+P113+P114+P115)</f>
        <v>8.3350000000000007E-2</v>
      </c>
      <c r="Q110" s="31">
        <f>+'Desarrollo Economico'!AM67</f>
        <v>0.46027253772184246</v>
      </c>
      <c r="R110" s="31">
        <f>+'Desarrollo Economico'!AN67</f>
        <v>0.48340781843450037</v>
      </c>
      <c r="S110" s="25"/>
      <c r="T110" s="2"/>
      <c r="U110" s="83"/>
    </row>
    <row r="111" spans="2:21" ht="40.950000000000003" customHeight="1" x14ac:dyDescent="0.7">
      <c r="B111" s="32" t="s">
        <v>1713</v>
      </c>
      <c r="C111" s="1592"/>
      <c r="D111" s="5">
        <f>+'Desarrollo Economico'!J68</f>
        <v>0</v>
      </c>
      <c r="E111" s="5">
        <f>+'Desarrollo Economico'!K68</f>
        <v>0.3845486111111111</v>
      </c>
      <c r="F111" s="5">
        <f>+'Desarrollo Economico'!L68</f>
        <v>0.29913194444444441</v>
      </c>
      <c r="G111" s="5">
        <f t="shared" si="22"/>
        <v>0.3845486111111111</v>
      </c>
      <c r="H111" s="5">
        <f t="shared" si="25"/>
        <v>0.70086805555555554</v>
      </c>
      <c r="I111" s="5">
        <f>+'Desarrollo Economico'!M68</f>
        <v>0</v>
      </c>
      <c r="J111" s="5">
        <f>+'Desarrollo Economico'!N68</f>
        <v>0.35642361111111109</v>
      </c>
      <c r="K111" s="5">
        <f>+'Desarrollo Economico'!AD68</f>
        <v>1</v>
      </c>
      <c r="L111" s="5">
        <f>+'Desarrollo Economico'!AE68</f>
        <v>0</v>
      </c>
      <c r="M111" s="5">
        <f>+'Desarrollo Economico'!AI68</f>
        <v>0</v>
      </c>
      <c r="N111" s="5">
        <f>+'Desarrollo Economico'!AJ68</f>
        <v>0.40173611111111107</v>
      </c>
      <c r="O111" s="5">
        <f>+'Desarrollo Economico'!AK68</f>
        <v>0.40173611111111107</v>
      </c>
      <c r="P111" s="33">
        <f>+'Desarrollo Economico'!AL68</f>
        <v>0</v>
      </c>
      <c r="Q111" s="33">
        <f>+'Desarrollo Economico'!AM68</f>
        <v>0.38048611111111108</v>
      </c>
      <c r="R111" s="33">
        <f>+'Desarrollo Economico'!AN68</f>
        <v>0.38048611111111108</v>
      </c>
      <c r="S111" s="25"/>
      <c r="T111" s="2"/>
      <c r="U111" s="83"/>
    </row>
    <row r="112" spans="2:21" ht="36.6" x14ac:dyDescent="0.7">
      <c r="B112" s="32" t="s">
        <v>1714</v>
      </c>
      <c r="C112" s="1592"/>
      <c r="D112" s="5">
        <f>+'Desarrollo Economico'!J73</f>
        <v>0</v>
      </c>
      <c r="E112" s="5">
        <f>+'Desarrollo Economico'!K73</f>
        <v>0.53803906843450033</v>
      </c>
      <c r="F112" s="5">
        <f>+'Desarrollo Economico'!L73</f>
        <v>0.36383700020716803</v>
      </c>
      <c r="G112" s="5">
        <f t="shared" si="22"/>
        <v>0.53803906843450033</v>
      </c>
      <c r="H112" s="5">
        <f t="shared" si="25"/>
        <v>0.82641759719632635</v>
      </c>
      <c r="I112" s="5">
        <f>+'Desarrollo Economico'!M73</f>
        <v>0</v>
      </c>
      <c r="J112" s="5">
        <f>+'Desarrollo Economico'!N73</f>
        <v>0.44564688212140052</v>
      </c>
      <c r="K112" s="5">
        <f>+'Desarrollo Economico'!AD73</f>
        <v>0.78472222222222221</v>
      </c>
      <c r="L112" s="5">
        <f>+'Desarrollo Economico'!AE73</f>
        <v>0.10008559550012229</v>
      </c>
      <c r="M112" s="5">
        <f>+'Desarrollo Economico'!AI73</f>
        <v>0</v>
      </c>
      <c r="N112" s="5">
        <f>+'Desarrollo Economico'!AJ73</f>
        <v>0.46258059698915827</v>
      </c>
      <c r="O112" s="1298">
        <f>+'Desarrollo Economico'!AK73</f>
        <v>0.50897759995856651</v>
      </c>
      <c r="P112" s="33">
        <f>+'Desarrollo Economico'!AL73</f>
        <v>0</v>
      </c>
      <c r="Q112" s="33">
        <f>+'Desarrollo Economico'!AM73</f>
        <v>0.4207967163869899</v>
      </c>
      <c r="R112" s="33">
        <f>+'Desarrollo Economico'!AN73</f>
        <v>0.48147311995027975</v>
      </c>
      <c r="S112" s="25"/>
      <c r="T112" s="2"/>
      <c r="U112" s="83"/>
    </row>
    <row r="113" spans="2:21" ht="36.6" x14ac:dyDescent="0.7">
      <c r="B113" s="32" t="s">
        <v>1715</v>
      </c>
      <c r="C113" s="1592"/>
      <c r="D113" s="5">
        <f>+'Desarrollo Economico'!J86</f>
        <v>0.23749999999999999</v>
      </c>
      <c r="E113" s="5">
        <f>+'Desarrollo Economico'!K86</f>
        <v>0.23749999999999999</v>
      </c>
      <c r="F113" s="5">
        <f>+'Desarrollo Economico'!L86</f>
        <v>0.25</v>
      </c>
      <c r="G113" s="5">
        <f t="shared" si="22"/>
        <v>0.75</v>
      </c>
      <c r="H113" s="5">
        <f t="shared" si="25"/>
        <v>0.94166666666666665</v>
      </c>
      <c r="I113" s="5">
        <f>+'Desarrollo Economico'!M86</f>
        <v>0.23749999999999999</v>
      </c>
      <c r="J113" s="5">
        <f>+'Desarrollo Economico'!N86</f>
        <v>0.23749999999999999</v>
      </c>
      <c r="K113" s="5">
        <f>+'Desarrollo Economico'!AD86</f>
        <v>1</v>
      </c>
      <c r="L113" s="5">
        <f>+'Desarrollo Economico'!AE86</f>
        <v>0.13333333333333333</v>
      </c>
      <c r="M113" s="5">
        <f>+'Desarrollo Economico'!AI86</f>
        <v>0.51249999999999996</v>
      </c>
      <c r="N113" s="5">
        <f>+'Desarrollo Economico'!AJ86</f>
        <v>0.69166666666666665</v>
      </c>
      <c r="O113" s="1298">
        <f>+'Desarrollo Economico'!AK86</f>
        <v>0.78749999999999998</v>
      </c>
      <c r="P113" s="33">
        <f>+'Desarrollo Economico'!AL86</f>
        <v>4.3750000000000004E-2</v>
      </c>
      <c r="Q113" s="33">
        <f>+'Desarrollo Economico'!AM86</f>
        <v>0.63250000000000006</v>
      </c>
      <c r="R113" s="33">
        <f>+'Desarrollo Economico'!AN86</f>
        <v>0.74250000000000005</v>
      </c>
      <c r="S113" s="25"/>
      <c r="T113" s="2"/>
      <c r="U113" s="83"/>
    </row>
    <row r="114" spans="2:21" ht="30" customHeight="1" x14ac:dyDescent="0.7">
      <c r="B114" s="32" t="s">
        <v>1716</v>
      </c>
      <c r="C114" s="1592"/>
      <c r="D114" s="5">
        <f>+'Desarrollo Economico'!J91</f>
        <v>0</v>
      </c>
      <c r="E114" s="5">
        <f>+'Desarrollo Economico'!K91</f>
        <v>0.36958333333333332</v>
      </c>
      <c r="F114" s="5">
        <f>+'Desarrollo Economico'!L91</f>
        <v>0.37270833333333336</v>
      </c>
      <c r="G114" s="5">
        <f t="shared" si="22"/>
        <v>0.36958333333333332</v>
      </c>
      <c r="H114" s="5">
        <f t="shared" si="25"/>
        <v>0.72423611111111108</v>
      </c>
      <c r="I114" s="5">
        <f>+'Desarrollo Economico'!M91</f>
        <v>0</v>
      </c>
      <c r="J114" s="5">
        <f>+'Desarrollo Economico'!N91</f>
        <v>0.33691666666666664</v>
      </c>
      <c r="K114" s="5">
        <f>+'Desarrollo Economico'!AD91</f>
        <v>0.9458333333333333</v>
      </c>
      <c r="L114" s="5">
        <f>+'Desarrollo Economico'!AE91</f>
        <v>0</v>
      </c>
      <c r="M114" s="5">
        <f>+'Desarrollo Economico'!AI91</f>
        <v>0</v>
      </c>
      <c r="N114" s="5">
        <f>+'Desarrollo Economico'!AJ91</f>
        <v>0.35152777777777777</v>
      </c>
      <c r="O114" s="5">
        <f>+'Desarrollo Economico'!AK91</f>
        <v>0.35152777777777777</v>
      </c>
      <c r="P114" s="33">
        <f>+'Desarrollo Economico'!AL91</f>
        <v>0</v>
      </c>
      <c r="Q114" s="33">
        <f>+'Desarrollo Economico'!AM91</f>
        <v>0.30080555555555555</v>
      </c>
      <c r="R114" s="33">
        <f>+'Desarrollo Economico'!AN91</f>
        <v>0.30080555555555555</v>
      </c>
      <c r="S114" s="25"/>
      <c r="T114" s="2"/>
      <c r="U114" s="83"/>
    </row>
    <row r="115" spans="2:21" ht="59.4" customHeight="1" x14ac:dyDescent="0.7">
      <c r="B115" s="32" t="s">
        <v>1717</v>
      </c>
      <c r="C115" s="1592"/>
      <c r="D115" s="5">
        <f>+'Desarrollo Economico'!J96</f>
        <v>0.33</v>
      </c>
      <c r="E115" s="5">
        <f>+'Desarrollo Economico'!K96</f>
        <v>1</v>
      </c>
      <c r="F115" s="5">
        <f>+'Desarrollo Economico'!L96</f>
        <v>0.33333333333333331</v>
      </c>
      <c r="G115" s="5">
        <v>1</v>
      </c>
      <c r="H115" s="5">
        <f t="shared" si="25"/>
        <v>1</v>
      </c>
      <c r="I115" s="5">
        <f>+'Desarrollo Economico'!M96</f>
        <v>0.8</v>
      </c>
      <c r="J115" s="5">
        <f>+'Desarrollo Economico'!N96</f>
        <v>1</v>
      </c>
      <c r="K115" s="5">
        <f>+'Desarrollo Economico'!AD96</f>
        <v>0.60666666666666669</v>
      </c>
      <c r="L115" s="5">
        <f>+'Desarrollo Economico'!AE96</f>
        <v>8.3333333333333329E-2</v>
      </c>
      <c r="M115" s="5">
        <f>+'Desarrollo Economico'!AI96</f>
        <v>0.33</v>
      </c>
      <c r="N115" s="5">
        <f>+'Desarrollo Economico'!AJ96</f>
        <v>0.66666666666666663</v>
      </c>
      <c r="O115" s="5">
        <f>+'Desarrollo Economico'!AK96</f>
        <v>0.66666666666666663</v>
      </c>
      <c r="P115" s="33">
        <f>+'Desarrollo Economico'!AL96</f>
        <v>3.9600000000000003E-2</v>
      </c>
      <c r="Q115" s="33">
        <f>+'Desarrollo Economico'!AM96</f>
        <v>0.85000000000000009</v>
      </c>
      <c r="R115" s="33">
        <f>+'Desarrollo Economico'!AN96</f>
        <v>0.85000000000000009</v>
      </c>
      <c r="S115" s="25"/>
      <c r="T115" s="2"/>
      <c r="U115" s="83"/>
    </row>
    <row r="116" spans="2:21" ht="49.8" x14ac:dyDescent="0.7">
      <c r="B116" s="30" t="str">
        <f>+'Desarrollo Economico'!B100:B100</f>
        <v xml:space="preserve"> Desarrollo Agropecuario 
</v>
      </c>
      <c r="C116" s="1592"/>
      <c r="D116" s="23">
        <f t="shared" ref="D116:I116" si="49">+(D117+D118+D119)/3</f>
        <v>0.17360979649420338</v>
      </c>
      <c r="E116" s="23">
        <f t="shared" si="49"/>
        <v>0.38970610582327403</v>
      </c>
      <c r="F116" s="23">
        <f t="shared" ref="F116" si="50">+(F117+F118+F119)/3</f>
        <v>0.36374436780925207</v>
      </c>
      <c r="G116" s="23">
        <f t="shared" si="22"/>
        <v>0.58398769273582618</v>
      </c>
      <c r="H116" s="23">
        <f t="shared" si="25"/>
        <v>0.7731538901055337</v>
      </c>
      <c r="I116" s="24">
        <f t="shared" si="49"/>
        <v>9.382477763087127E-2</v>
      </c>
      <c r="J116" s="24">
        <f t="shared" ref="J116:K116" si="51">+(J117+J118+J119)/3</f>
        <v>0.32245386743248144</v>
      </c>
      <c r="K116" s="24">
        <f t="shared" si="51"/>
        <v>0.78319057815845816</v>
      </c>
      <c r="L116" s="24">
        <f t="shared" ref="L116" si="52">+(L117+L118+L119)/3</f>
        <v>9.2984126984126989E-2</v>
      </c>
      <c r="M116" s="23">
        <f>+(M117+M118+M119)/3</f>
        <v>0.19428158691255218</v>
      </c>
      <c r="N116" s="23">
        <f>+(N117+N118+N119)/3</f>
        <v>0.40940952229628164</v>
      </c>
      <c r="O116" s="23">
        <f>+(O117+O118+O119)/3</f>
        <v>0.43724206458665521</v>
      </c>
      <c r="P116" s="31">
        <f>+(P117+P118+P119)</f>
        <v>0.10879627598215055</v>
      </c>
      <c r="Q116" s="31">
        <f>+'Desarrollo Economico'!AM100</f>
        <v>0.45634263977502848</v>
      </c>
      <c r="R116" s="31">
        <f>+'Desarrollo Economico'!AN100</f>
        <v>0.46112478198021289</v>
      </c>
      <c r="S116" s="25"/>
      <c r="T116" s="2"/>
      <c r="U116" s="83"/>
    </row>
    <row r="117" spans="2:21" ht="54.6" customHeight="1" x14ac:dyDescent="0.7">
      <c r="B117" s="32" t="s">
        <v>1718</v>
      </c>
      <c r="C117" s="1592"/>
      <c r="D117" s="5">
        <f>+'Desarrollo Economico'!J101</f>
        <v>0.17798528579513301</v>
      </c>
      <c r="E117" s="5">
        <f>+'Desarrollo Economico'!K101</f>
        <v>0.28952461799660439</v>
      </c>
      <c r="F117" s="5">
        <f>+'Desarrollo Economico'!L101</f>
        <v>0.25646859083191847</v>
      </c>
      <c r="G117" s="5">
        <f t="shared" si="22"/>
        <v>0.46818902093944537</v>
      </c>
      <c r="H117" s="5">
        <f t="shared" si="25"/>
        <v>0.72454442558007925</v>
      </c>
      <c r="I117" s="5">
        <f>+'Desarrollo Economico'!M101</f>
        <v>0.17798528579513301</v>
      </c>
      <c r="J117" s="5">
        <f>+'Desarrollo Economico'!N101</f>
        <v>0.28952461799660439</v>
      </c>
      <c r="K117" s="5">
        <f>+'Desarrollo Economico'!AD101</f>
        <v>0.99957173447537462</v>
      </c>
      <c r="L117" s="5">
        <f>+'Desarrollo Economico'!AE101</f>
        <v>0.2</v>
      </c>
      <c r="M117" s="5">
        <f>+'Desarrollo Economico'!AI101</f>
        <v>0.17866440294284094</v>
      </c>
      <c r="N117" s="5">
        <f>+'Desarrollo Economico'!AJ101</f>
        <v>0.46807583474816078</v>
      </c>
      <c r="O117" s="5">
        <f>+'Desarrollo Economico'!AK101</f>
        <v>0.53474250141482749</v>
      </c>
      <c r="P117" s="33">
        <f>+'Desarrollo Economico'!AL101</f>
        <v>4.4666100735710243E-2</v>
      </c>
      <c r="Q117" s="33">
        <f>+'Desarrollo Economico'!AM101</f>
        <v>0.46807583474816072</v>
      </c>
      <c r="R117" s="33">
        <f>+'Desarrollo Economico'!AN101</f>
        <v>0.53474250141482749</v>
      </c>
      <c r="S117" s="25"/>
      <c r="T117" s="2"/>
      <c r="U117" s="83"/>
    </row>
    <row r="118" spans="2:21" ht="82.2" customHeight="1" x14ac:dyDescent="0.7">
      <c r="B118" s="32" t="s">
        <v>1719</v>
      </c>
      <c r="C118" s="1592"/>
      <c r="D118" s="5">
        <f>+'Desarrollo Economico'!J107</f>
        <v>9.2844103687477184E-2</v>
      </c>
      <c r="E118" s="5">
        <f>+'Desarrollo Economico'!K107</f>
        <v>0.32959369947321754</v>
      </c>
      <c r="F118" s="5">
        <f>+'Desarrollo Economico'!L107</f>
        <v>0.42476451259583792</v>
      </c>
      <c r="G118" s="5">
        <f t="shared" si="22"/>
        <v>0.48377405726803313</v>
      </c>
      <c r="H118" s="5">
        <f t="shared" si="25"/>
        <v>0.82658391140318854</v>
      </c>
      <c r="I118" s="5">
        <f>+'Desarrollo Economico'!M107</f>
        <v>6.5989047097480838E-2</v>
      </c>
      <c r="J118" s="5">
        <f>+'Desarrollo Economico'!N107</f>
        <v>0.26533698430083974</v>
      </c>
      <c r="K118" s="5">
        <f>+'Desarrollo Economico'!AD107</f>
        <v>0.8</v>
      </c>
      <c r="L118" s="5">
        <f>+'Desarrollo Economico'!AE107</f>
        <v>7.8952380952380954E-2</v>
      </c>
      <c r="M118" s="5">
        <f>+'Desarrollo Economico'!AI107</f>
        <v>0.15418035779481562</v>
      </c>
      <c r="N118" s="5">
        <f>+'Desarrollo Economico'!AJ107</f>
        <v>0.40181939880735063</v>
      </c>
      <c r="O118" s="1298">
        <f>+'Desarrollo Economico'!AK107</f>
        <v>0.41865035901180481</v>
      </c>
      <c r="P118" s="33">
        <f>+'Desarrollo Economico'!AL107</f>
        <v>5.2880175246440314E-2</v>
      </c>
      <c r="Q118" s="33">
        <f>+'Desarrollo Economico'!AM107</f>
        <v>0.42956188389923333</v>
      </c>
      <c r="R118" s="33">
        <f>+'Desarrollo Economico'!AN107</f>
        <v>0.45597590361445789</v>
      </c>
      <c r="S118" s="25"/>
      <c r="T118" s="2"/>
      <c r="U118" s="83"/>
    </row>
    <row r="119" spans="2:21" ht="36" customHeight="1" x14ac:dyDescent="0.7">
      <c r="B119" s="32" t="s">
        <v>1720</v>
      </c>
      <c r="C119" s="1592"/>
      <c r="D119" s="5">
        <f>+'Desarrollo Economico'!J117</f>
        <v>0.25</v>
      </c>
      <c r="E119" s="5">
        <f>+'Desarrollo Economico'!K117</f>
        <v>0.55000000000000004</v>
      </c>
      <c r="F119" s="5">
        <f>+'Desarrollo Economico'!L117</f>
        <v>0.41</v>
      </c>
      <c r="G119" s="5">
        <f t="shared" si="22"/>
        <v>0.8</v>
      </c>
      <c r="H119" s="5">
        <f t="shared" si="25"/>
        <v>0.76833333333333331</v>
      </c>
      <c r="I119" s="5">
        <f>+'Desarrollo Economico'!M117</f>
        <v>3.7499999999999999E-2</v>
      </c>
      <c r="J119" s="5">
        <f>+'Desarrollo Economico'!N117</f>
        <v>0.41250000000000003</v>
      </c>
      <c r="K119" s="5">
        <f>+'Desarrollo Economico'!AD117</f>
        <v>0.54999999999999993</v>
      </c>
      <c r="L119" s="5">
        <f>+'Desarrollo Economico'!AE117</f>
        <v>0</v>
      </c>
      <c r="M119" s="5">
        <f>+'Desarrollo Economico'!AI117</f>
        <v>0.25</v>
      </c>
      <c r="N119" s="5">
        <f>+'Desarrollo Economico'!AJ117</f>
        <v>0.35833333333333334</v>
      </c>
      <c r="O119" s="5">
        <f>+'Desarrollo Economico'!AK117</f>
        <v>0.35833333333333334</v>
      </c>
      <c r="P119" s="33">
        <f>+'Desarrollo Economico'!AL117</f>
        <v>1.125E-2</v>
      </c>
      <c r="Q119" s="33">
        <f>+'Desarrollo Economico'!AM117</f>
        <v>0.40749999999999997</v>
      </c>
      <c r="R119" s="33">
        <f>+'Desarrollo Economico'!AN117</f>
        <v>0.40749999999999997</v>
      </c>
      <c r="S119" s="25"/>
      <c r="T119" s="2"/>
      <c r="U119" s="83"/>
    </row>
    <row r="120" spans="2:21" ht="49.8" x14ac:dyDescent="0.7">
      <c r="B120" s="30" t="str">
        <f>+'Desarrollo Economico'!B124:B124</f>
        <v xml:space="preserve">Sistema Integral de Abastecimiento del Distrito
</v>
      </c>
      <c r="C120" s="1592"/>
      <c r="D120" s="23">
        <f t="shared" ref="D120:I120" si="53">+(D121+D122)/2</f>
        <v>0.3833333333333333</v>
      </c>
      <c r="E120" s="23">
        <f t="shared" si="53"/>
        <v>0.20555555555555555</v>
      </c>
      <c r="F120" s="23">
        <f t="shared" ref="F120" si="54">+(F121+F122)/2</f>
        <v>0.42147167189671053</v>
      </c>
      <c r="G120" s="23">
        <f t="shared" si="22"/>
        <v>0.45232222222222218</v>
      </c>
      <c r="H120" s="23">
        <f t="shared" si="25"/>
        <v>0.78101611634115498</v>
      </c>
      <c r="I120" s="24">
        <f t="shared" si="53"/>
        <v>0.1958333333333333</v>
      </c>
      <c r="J120" s="24">
        <f t="shared" ref="J120:K120" si="55">+(J121+J122)/2</f>
        <v>0.1958333333333333</v>
      </c>
      <c r="K120" s="24">
        <f t="shared" si="55"/>
        <v>0.71499999999999997</v>
      </c>
      <c r="L120" s="24">
        <f t="shared" ref="L120" si="56">+(L121+L122)/2</f>
        <v>3.3333333333333333E-2</v>
      </c>
      <c r="M120" s="23">
        <f>+(M121+M122)/2</f>
        <v>0.24676666666666666</v>
      </c>
      <c r="N120" s="23">
        <f>+(N121+N122)/2</f>
        <v>0.35954444444444444</v>
      </c>
      <c r="O120" s="23">
        <f>+(O121+O122)/2</f>
        <v>0.37621111111111111</v>
      </c>
      <c r="P120" s="31">
        <f>+(P121+P122)</f>
        <v>0.19011249999999999</v>
      </c>
      <c r="Q120" s="31">
        <f>+'Desarrollo Economico'!AM124</f>
        <v>0.33761249999999998</v>
      </c>
      <c r="R120" s="31">
        <f>+'Desarrollo Economico'!AN124</f>
        <v>0.33886249999999996</v>
      </c>
      <c r="S120" s="25"/>
      <c r="T120" s="2"/>
      <c r="U120" s="83"/>
    </row>
    <row r="121" spans="2:21" ht="66" customHeight="1" x14ac:dyDescent="0.7">
      <c r="B121" s="32" t="s">
        <v>1721</v>
      </c>
      <c r="C121" s="1592"/>
      <c r="D121" s="5">
        <f>+'Desarrollo Economico'!J125</f>
        <v>0.33333333333333331</v>
      </c>
      <c r="E121" s="5">
        <f>+'Desarrollo Economico'!K125</f>
        <v>0.1111111111111111</v>
      </c>
      <c r="F121" s="5">
        <f>+'Desarrollo Economico'!L125</f>
        <v>0.40961001046008771</v>
      </c>
      <c r="G121" s="5">
        <f t="shared" si="22"/>
        <v>0.21111111111111108</v>
      </c>
      <c r="H121" s="5">
        <f t="shared" si="25"/>
        <v>0.56849889934897657</v>
      </c>
      <c r="I121" s="5">
        <f>+'Desarrollo Economico'!M125</f>
        <v>0.16666666666666666</v>
      </c>
      <c r="J121" s="5">
        <f>+'Desarrollo Economico'!N125</f>
        <v>0.16666666666666666</v>
      </c>
      <c r="K121" s="5">
        <f>+'Desarrollo Economico'!AD125</f>
        <v>0.43</v>
      </c>
      <c r="L121" s="5">
        <f>+'Desarrollo Economico'!AE125</f>
        <v>0</v>
      </c>
      <c r="M121" s="5">
        <f>+'Desarrollo Economico'!AI125</f>
        <v>9.9999999999999992E-2</v>
      </c>
      <c r="N121" s="5">
        <f>+'Desarrollo Economico'!AJ125</f>
        <v>0.15888888888888889</v>
      </c>
      <c r="O121" s="5">
        <f>+'Desarrollo Economico'!AK125</f>
        <v>0.15888888888888889</v>
      </c>
      <c r="P121" s="33">
        <f>+'Desarrollo Economico'!AL125</f>
        <v>0.125</v>
      </c>
      <c r="Q121" s="33">
        <f>+'Desarrollo Economico'!AM125</f>
        <v>0.23833333333333331</v>
      </c>
      <c r="R121" s="33">
        <f>+'Desarrollo Economico'!AN125</f>
        <v>0.23833333333333331</v>
      </c>
      <c r="S121" s="25"/>
      <c r="T121" s="2"/>
      <c r="U121" s="83"/>
    </row>
    <row r="122" spans="2:21" ht="46.95" customHeight="1" x14ac:dyDescent="0.7">
      <c r="B122" s="35" t="s">
        <v>1722</v>
      </c>
      <c r="C122" s="1593"/>
      <c r="D122" s="36">
        <f>+'Desarrollo Economico'!J129</f>
        <v>0.43333333333333335</v>
      </c>
      <c r="E122" s="36">
        <f>+'Desarrollo Economico'!K129</f>
        <v>0.3</v>
      </c>
      <c r="F122" s="36">
        <f>+'Desarrollo Economico'!L129</f>
        <v>0.43333333333333335</v>
      </c>
      <c r="G122" s="36">
        <f t="shared" si="22"/>
        <v>0.69353333333333333</v>
      </c>
      <c r="H122" s="36">
        <f t="shared" si="25"/>
        <v>0.99353333333333338</v>
      </c>
      <c r="I122" s="36">
        <f>+'Desarrollo Economico'!M129</f>
        <v>0.22499999999999998</v>
      </c>
      <c r="J122" s="36">
        <f>+'Desarrollo Economico'!N129</f>
        <v>0.22499999999999998</v>
      </c>
      <c r="K122" s="36">
        <f>+'Desarrollo Economico'!AD129</f>
        <v>1</v>
      </c>
      <c r="L122" s="36">
        <f>+'Desarrollo Economico'!AE129</f>
        <v>6.6666666666666666E-2</v>
      </c>
      <c r="M122" s="36">
        <f>+'Desarrollo Economico'!AI129</f>
        <v>0.39353333333333335</v>
      </c>
      <c r="N122" s="36">
        <f>+'Desarrollo Economico'!AJ129</f>
        <v>0.56020000000000003</v>
      </c>
      <c r="O122" s="36">
        <f>+'Desarrollo Economico'!AK129</f>
        <v>0.59353333333333336</v>
      </c>
      <c r="P122" s="37">
        <f>+'Desarrollo Economico'!AL129</f>
        <v>6.511249999999999E-2</v>
      </c>
      <c r="Q122" s="37">
        <f>+'Desarrollo Economico'!AM129</f>
        <v>0.63544999999999996</v>
      </c>
      <c r="R122" s="37">
        <f>+'Desarrollo Economico'!AN129</f>
        <v>0.64044999999999996</v>
      </c>
      <c r="S122" s="25"/>
      <c r="T122" s="2"/>
      <c r="U122" s="83"/>
    </row>
    <row r="123" spans="2:21" ht="120" customHeight="1" x14ac:dyDescent="0.7">
      <c r="B123" s="27" t="str">
        <f>+'Ciudad Conectada'!B3:B3</f>
        <v xml:space="preserve">CARTAGENA CIUDAD CONECTADA Y SOSTENIBLE
</v>
      </c>
      <c r="C123" s="1591">
        <v>0.25</v>
      </c>
      <c r="D123" s="28">
        <f>+'Ciudad Conectada'!J3</f>
        <v>0.22385775913845282</v>
      </c>
      <c r="E123" s="28">
        <f>+'Ciudad Conectada'!K3</f>
        <v>0.23066712604683681</v>
      </c>
      <c r="F123" s="28">
        <f>+'Ciudad Conectada'!L3</f>
        <v>0.29164467050978948</v>
      </c>
      <c r="G123" s="28">
        <f t="shared" si="22"/>
        <v>0.45219100013434554</v>
      </c>
      <c r="H123" s="28">
        <f t="shared" si="25"/>
        <v>0.77279219838918167</v>
      </c>
      <c r="I123" s="28">
        <f>+'Ciudad Conectada'!M3</f>
        <v>0.19844971717901827</v>
      </c>
      <c r="J123" s="28">
        <f>+'Ciudad Conectada'!N3</f>
        <v>0.20087091613383856</v>
      </c>
      <c r="K123" s="28">
        <f>+'Ciudad Conectada'!AD3</f>
        <v>0.84012102824924451</v>
      </c>
      <c r="L123" s="28">
        <f>+'Ciudad Conectada'!AE3</f>
        <v>0.20790903394659535</v>
      </c>
      <c r="M123" s="28">
        <f>+'Ciudad Conectada'!AI3</f>
        <v>0.22152387408750876</v>
      </c>
      <c r="N123" s="28">
        <f>+'Ciudad Conectada'!AJ3</f>
        <v>0.48114752787939219</v>
      </c>
      <c r="O123" s="28">
        <f>+'Ciudad Conectada'!AK3</f>
        <v>0.53358917072877365</v>
      </c>
      <c r="P123" s="29">
        <f>+'Ciudad Conectada'!AL3</f>
        <v>0.18576863791395756</v>
      </c>
      <c r="Q123" s="29">
        <f>+'Ciudad Conectada'!AM3</f>
        <v>0.37052459010275579</v>
      </c>
      <c r="R123" s="29">
        <f>+'Ciudad Conectada'!AN3</f>
        <v>0.43051012846917308</v>
      </c>
      <c r="S123" s="25"/>
      <c r="T123" s="2"/>
      <c r="U123" s="83"/>
    </row>
    <row r="124" spans="2:21" ht="68.400000000000006" customHeight="1" x14ac:dyDescent="0.7">
      <c r="B124" s="30" t="str">
        <f>+'Ciudad Conectada'!B4:B4</f>
        <v xml:space="preserve"> Ordenamiento del Territorio y espacio público.
</v>
      </c>
      <c r="C124" s="1592"/>
      <c r="D124" s="23">
        <f t="shared" ref="D124:I124" si="57">+(D125+D126)/2</f>
        <v>0.17442942942942941</v>
      </c>
      <c r="E124" s="23">
        <f t="shared" si="57"/>
        <v>0.23004504504504508</v>
      </c>
      <c r="F124" s="23">
        <f t="shared" ref="F124" si="58">+(F125+F126)/2</f>
        <v>0.36019220779220779</v>
      </c>
      <c r="G124" s="23">
        <f t="shared" si="22"/>
        <v>0.46391147747747752</v>
      </c>
      <c r="H124" s="23">
        <f t="shared" si="25"/>
        <v>0.81703491612554102</v>
      </c>
      <c r="I124" s="24">
        <f t="shared" si="57"/>
        <v>0.18726443243243246</v>
      </c>
      <c r="J124" s="24">
        <f t="shared" ref="J124:K124" si="59">+(J125+J126)/2</f>
        <v>0.24209005405405412</v>
      </c>
      <c r="K124" s="689">
        <f t="shared" si="59"/>
        <v>0.92518035426731082</v>
      </c>
      <c r="L124" s="689">
        <f t="shared" ref="L124" si="60">+(L125+L126)/2</f>
        <v>0.17507481639349209</v>
      </c>
      <c r="M124" s="106">
        <f>+(M125+M126)/2</f>
        <v>0.23386643243243244</v>
      </c>
      <c r="N124" s="106">
        <f>+(N125+N126)/2</f>
        <v>0.45684270833333329</v>
      </c>
      <c r="O124" s="106">
        <f>+(O125+O126)/2</f>
        <v>0.47285980158730168</v>
      </c>
      <c r="P124" s="31">
        <f>+(P125+P126)</f>
        <v>0.22782968756756758</v>
      </c>
      <c r="Q124" s="31">
        <f>+'Ciudad Conectada'!AM4</f>
        <v>0.54951656666666659</v>
      </c>
      <c r="R124" s="31">
        <f>+'Ciudad Conectada'!AN4</f>
        <v>0.57415549466666671</v>
      </c>
      <c r="S124" s="25"/>
      <c r="T124" s="2"/>
      <c r="U124" s="83"/>
    </row>
    <row r="125" spans="2:21" ht="45.6" customHeight="1" x14ac:dyDescent="0.7">
      <c r="B125" s="32" t="s">
        <v>1723</v>
      </c>
      <c r="C125" s="1592"/>
      <c r="D125" s="5">
        <f>+'Ciudad Conectada'!J5</f>
        <v>0.21777777777777776</v>
      </c>
      <c r="E125" s="5">
        <f>+'Ciudad Conectada'!K5</f>
        <v>0.27000000000000007</v>
      </c>
      <c r="F125" s="5">
        <f>+'Ciudad Conectada'!L5</f>
        <v>0.31265714285714286</v>
      </c>
      <c r="G125" s="5">
        <f t="shared" si="22"/>
        <v>0.49375000000000008</v>
      </c>
      <c r="H125" s="5">
        <f t="shared" si="25"/>
        <v>0.65544255952380959</v>
      </c>
      <c r="I125" s="5">
        <f>+'Ciudad Conectada'!M5</f>
        <v>0.28966400000000003</v>
      </c>
      <c r="J125" s="5">
        <f>+'Ciudad Conectada'!N5</f>
        <v>0.31607200000000013</v>
      </c>
      <c r="K125" s="5">
        <f>+'Ciudad Conectada'!AD5</f>
        <v>0.85036070853462165</v>
      </c>
      <c r="L125" s="5">
        <f>+'Ciudad Conectada'!AE5</f>
        <v>9.9565713033897774E-2</v>
      </c>
      <c r="M125" s="5">
        <f>+'Ciudad Conectada'!AI5</f>
        <v>0.22375</v>
      </c>
      <c r="N125" s="5">
        <f>+'Ciudad Conectada'!AJ5</f>
        <v>0.34278541666666668</v>
      </c>
      <c r="O125" s="5">
        <f>+'Ciudad Conectada'!AK5</f>
        <v>0.36656960317460324</v>
      </c>
      <c r="P125" s="33">
        <f>+'Ciudad Conectada'!AL5</f>
        <v>0.17677380000000001</v>
      </c>
      <c r="Q125" s="33">
        <f>+'Ciudad Conectada'!AM5</f>
        <v>0.55102366666666669</v>
      </c>
      <c r="R125" s="33">
        <f>+'Ciudad Conectada'!AN5</f>
        <v>0.58407927809523807</v>
      </c>
      <c r="S125" s="25"/>
      <c r="T125" s="2"/>
      <c r="U125" s="83"/>
    </row>
    <row r="126" spans="2:21" ht="41.4" customHeight="1" x14ac:dyDescent="0.7">
      <c r="B126" s="32" t="s">
        <v>1724</v>
      </c>
      <c r="C126" s="1592"/>
      <c r="D126" s="5">
        <f>+'Ciudad Conectada'!J22</f>
        <v>0.13108108108108107</v>
      </c>
      <c r="E126" s="5">
        <f>+'Ciudad Conectada'!K22</f>
        <v>0.19009009009009006</v>
      </c>
      <c r="F126" s="5">
        <f>+'Ciudad Conectada'!L22</f>
        <v>0.40772727272727272</v>
      </c>
      <c r="G126" s="5">
        <f t="shared" si="22"/>
        <v>0.4340729549549549</v>
      </c>
      <c r="H126" s="5">
        <f t="shared" si="25"/>
        <v>0.97862727272727268</v>
      </c>
      <c r="I126" s="5">
        <f>+'Ciudad Conectada'!M22</f>
        <v>8.4864864864864872E-2</v>
      </c>
      <c r="J126" s="5">
        <f>+'Ciudad Conectada'!N22</f>
        <v>0.16810810810810811</v>
      </c>
      <c r="K126" s="5">
        <f>+'Ciudad Conectada'!AD22</f>
        <v>1</v>
      </c>
      <c r="L126" s="5">
        <f>+'Ciudad Conectada'!AE22</f>
        <v>0.25058391975308641</v>
      </c>
      <c r="M126" s="5">
        <f>+'Ciudad Conectada'!AI22</f>
        <v>0.24398286486486487</v>
      </c>
      <c r="N126" s="5">
        <f>+'Ciudad Conectada'!AJ22</f>
        <v>0.57089999999999996</v>
      </c>
      <c r="O126" s="5">
        <f>+'Ciudad Conectada'!AK22</f>
        <v>0.57915000000000005</v>
      </c>
      <c r="P126" s="33">
        <f>+'Ciudad Conectada'!AL22</f>
        <v>5.1055887567567564E-2</v>
      </c>
      <c r="Q126" s="33">
        <f>+'Ciudad Conectada'!AM22</f>
        <v>0.54600000000000004</v>
      </c>
      <c r="R126" s="33">
        <f>+'Ciudad Conectada'!AN22</f>
        <v>0.55100000000000005</v>
      </c>
      <c r="S126" s="25"/>
      <c r="T126" s="2"/>
      <c r="U126" s="83"/>
    </row>
    <row r="127" spans="2:21" ht="87" customHeight="1" x14ac:dyDescent="0.7">
      <c r="B127" s="30" t="str">
        <f>+'Ciudad Conectada'!B26:B26</f>
        <v xml:space="preserve"> Control Urbanístico y Territorial
</v>
      </c>
      <c r="C127" s="1592"/>
      <c r="D127" s="23">
        <f t="shared" ref="D127:I127" si="61">+(D128+D129)/2</f>
        <v>0.15714285714285714</v>
      </c>
      <c r="E127" s="23">
        <f t="shared" si="61"/>
        <v>0.12238095238095237</v>
      </c>
      <c r="F127" s="23">
        <f t="shared" ref="F127" si="62">+(F128+F129)/2</f>
        <v>0.20559523809523811</v>
      </c>
      <c r="G127" s="23">
        <f t="shared" si="22"/>
        <v>0.28910714285714284</v>
      </c>
      <c r="H127" s="23">
        <f t="shared" si="25"/>
        <v>0.61059613095238097</v>
      </c>
      <c r="I127" s="24">
        <f t="shared" si="61"/>
        <v>0.24285714285714285</v>
      </c>
      <c r="J127" s="24">
        <f t="shared" ref="J127:K127" si="63">+(J128+J129)/2</f>
        <v>0.20867857142857144</v>
      </c>
      <c r="K127" s="689">
        <f t="shared" si="63"/>
        <v>0.875</v>
      </c>
      <c r="L127" s="689">
        <f t="shared" ref="L127" si="64">+(L128+L129)/2</f>
        <v>0.31092036553524804</v>
      </c>
      <c r="M127" s="106">
        <f>+(M128+M129)/2</f>
        <v>0.16672619047619047</v>
      </c>
      <c r="N127" s="106">
        <f>+(N128+N129)/2</f>
        <v>0.40500089285714286</v>
      </c>
      <c r="O127" s="106">
        <f>+(O128+O129)/2</f>
        <v>0.50546964285714291</v>
      </c>
      <c r="P127" s="31">
        <f>+(P128+P129)</f>
        <v>0.31105357142857143</v>
      </c>
      <c r="Q127" s="31">
        <f>+'Ciudad Conectada'!AM26</f>
        <v>0.4337455357142857</v>
      </c>
      <c r="R127" s="31">
        <f>+'Ciudad Conectada'!AN26</f>
        <v>0.73821428571428582</v>
      </c>
      <c r="S127" s="25"/>
      <c r="T127" s="2"/>
      <c r="U127" s="83"/>
    </row>
    <row r="128" spans="2:21" ht="45" customHeight="1" x14ac:dyDescent="0.7">
      <c r="B128" s="32" t="s">
        <v>1725</v>
      </c>
      <c r="C128" s="1592"/>
      <c r="D128" s="5">
        <f>+'Ciudad Conectada'!J27</f>
        <v>0.1</v>
      </c>
      <c r="E128" s="5">
        <f>+'Ciudad Conectada'!K27</f>
        <v>6.9999999999999993E-2</v>
      </c>
      <c r="F128" s="5">
        <f>+'Ciudad Conectada'!L27</f>
        <v>6.9999999999999993E-2</v>
      </c>
      <c r="G128" s="5">
        <f t="shared" si="22"/>
        <v>0.16999999999999998</v>
      </c>
      <c r="H128" s="5">
        <f t="shared" si="25"/>
        <v>0.45</v>
      </c>
      <c r="I128" s="5">
        <f>+'Ciudad Conectada'!M27</f>
        <v>0.375</v>
      </c>
      <c r="J128" s="5">
        <f>+'Ciudad Conectada'!N27</f>
        <v>0.28749999999999998</v>
      </c>
      <c r="K128" s="5">
        <f>+'Ciudad Conectada'!AD27</f>
        <v>0.75</v>
      </c>
      <c r="L128" s="5">
        <f>+'Ciudad Conectada'!AE27</f>
        <v>0.5</v>
      </c>
      <c r="M128" s="5">
        <f>+'Ciudad Conectada'!AI27</f>
        <v>0.1</v>
      </c>
      <c r="N128" s="5">
        <f>+'Ciudad Conectada'!AJ27</f>
        <v>0.38</v>
      </c>
      <c r="O128" s="5">
        <f>+'Ciudad Conectada'!AK27</f>
        <v>0.55000000000000004</v>
      </c>
      <c r="P128" s="33">
        <f>+'Ciudad Conectada'!AL27</f>
        <v>0.28125</v>
      </c>
      <c r="Q128" s="33">
        <f>+'Ciudad Conectada'!AM27</f>
        <v>0.46499999999999997</v>
      </c>
      <c r="R128" s="33">
        <f>+'Ciudad Conectada'!AN27</f>
        <v>0.86250000000000004</v>
      </c>
      <c r="S128" s="25"/>
      <c r="T128" s="2"/>
      <c r="U128" s="83"/>
    </row>
    <row r="129" spans="2:21" ht="46.2" customHeight="1" x14ac:dyDescent="0.7">
      <c r="B129" s="32" t="s">
        <v>1726</v>
      </c>
      <c r="C129" s="1592"/>
      <c r="D129" s="5">
        <f>+'Ciudad Conectada'!J33</f>
        <v>0.2142857142857143</v>
      </c>
      <c r="E129" s="5">
        <f>+'Ciudad Conectada'!K33</f>
        <v>0.17476190476190476</v>
      </c>
      <c r="F129" s="5">
        <f>+'Ciudad Conectada'!L33</f>
        <v>0.34119047619047621</v>
      </c>
      <c r="G129" s="5">
        <f t="shared" si="22"/>
        <v>0.40821428571428575</v>
      </c>
      <c r="H129" s="5">
        <f t="shared" si="25"/>
        <v>0.77119226190476198</v>
      </c>
      <c r="I129" s="5">
        <f>+'Ciudad Conectada'!M33</f>
        <v>0.11071428571428571</v>
      </c>
      <c r="J129" s="5">
        <f>+'Ciudad Conectada'!N33</f>
        <v>0.12985714285714287</v>
      </c>
      <c r="K129" s="5">
        <f>+'Ciudad Conectada'!AD33</f>
        <v>1</v>
      </c>
      <c r="L129" s="5">
        <f>+'Ciudad Conectada'!AE33</f>
        <v>0.12184073107049609</v>
      </c>
      <c r="M129" s="5">
        <f>+'Ciudad Conectada'!AI33</f>
        <v>0.23345238095238097</v>
      </c>
      <c r="N129" s="5">
        <f>+'Ciudad Conectada'!AJ33</f>
        <v>0.43000178571428571</v>
      </c>
      <c r="O129" s="5">
        <f>+'Ciudad Conectada'!AK33</f>
        <v>0.46093928571428572</v>
      </c>
      <c r="P129" s="33">
        <f>+'Ciudad Conectada'!AL33</f>
        <v>2.9803571428571429E-2</v>
      </c>
      <c r="Q129" s="33">
        <f>+'Ciudad Conectada'!AM33</f>
        <v>0.33998214285714284</v>
      </c>
      <c r="R129" s="33">
        <f>+'Ciudad Conectada'!AN33</f>
        <v>0.36535714285714288</v>
      </c>
      <c r="S129" s="25"/>
      <c r="T129" s="2"/>
      <c r="U129" s="83"/>
    </row>
    <row r="130" spans="2:21" ht="55.95" customHeight="1" x14ac:dyDescent="0.7">
      <c r="B130" s="30" t="str">
        <f>+'Ciudad Conectada'!B37:B37</f>
        <v xml:space="preserve"> Cartagena Amigable con el Ambiente 
</v>
      </c>
      <c r="C130" s="1592"/>
      <c r="D130" s="23">
        <f t="shared" ref="D130:I130" si="65">+(D131+D132+D133+D134+D135)/5</f>
        <v>0.17888888888888888</v>
      </c>
      <c r="E130" s="23">
        <f>+(E131+E132+E133+E134+E135)/5</f>
        <v>0.28274305555555557</v>
      </c>
      <c r="F130" s="23">
        <f>+(F131+F132+F133+F134+F135)/5</f>
        <v>0.31627777777777777</v>
      </c>
      <c r="G130" s="23">
        <f t="shared" si="22"/>
        <v>0.42034722222222226</v>
      </c>
      <c r="H130" s="23">
        <f t="shared" si="25"/>
        <v>0.68968457619047618</v>
      </c>
      <c r="I130" s="24">
        <f t="shared" si="65"/>
        <v>0.13083333333333333</v>
      </c>
      <c r="J130" s="24">
        <f t="shared" ref="J130:K130" si="66">+(J131+J132+J133+J134+J135)/5</f>
        <v>0.19008333333333333</v>
      </c>
      <c r="K130" s="689">
        <f t="shared" si="66"/>
        <v>0.78964986740672216</v>
      </c>
      <c r="L130" s="689">
        <f t="shared" ref="L130" si="67">+(L131+L132+L133+L134+L135)/5</f>
        <v>0.10473200000000001</v>
      </c>
      <c r="M130" s="106">
        <f>+(M131+M132+M133+M134+M135)/5</f>
        <v>0.13760416666666669</v>
      </c>
      <c r="N130" s="106">
        <f>+(N131+N132+N133+N134+N135)/5</f>
        <v>0.37340679841269842</v>
      </c>
      <c r="O130" s="106">
        <f>+(O131+O132+O133+O134+O135)/5</f>
        <v>0.47124168730158733</v>
      </c>
      <c r="P130" s="31">
        <f>+(P131+P132+P133+P134+P135)</f>
        <v>8.7734791666666673E-2</v>
      </c>
      <c r="Q130" s="31">
        <f>+'Ciudad Conectada'!AM37</f>
        <v>0.27470192500000001</v>
      </c>
      <c r="R130" s="31">
        <f>+'Ciudad Conectada'!AN37</f>
        <v>0.29058750833333336</v>
      </c>
      <c r="S130" s="25"/>
      <c r="T130" s="2"/>
      <c r="U130" s="83"/>
    </row>
    <row r="131" spans="2:21" ht="46.2" customHeight="1" x14ac:dyDescent="0.7">
      <c r="B131" s="32" t="s">
        <v>1727</v>
      </c>
      <c r="C131" s="1592"/>
      <c r="D131" s="5">
        <f>+'Ciudad Conectada'!J38</f>
        <v>0.23611111111111108</v>
      </c>
      <c r="E131" s="5">
        <f>+'Ciudad Conectada'!K38</f>
        <v>0.30260416666666662</v>
      </c>
      <c r="F131" s="5">
        <f>+'Ciudad Conectada'!L38</f>
        <v>0.27027777777777778</v>
      </c>
      <c r="G131" s="5">
        <f t="shared" si="22"/>
        <v>0.42735833333333328</v>
      </c>
      <c r="H131" s="5">
        <f t="shared" si="25"/>
        <v>0.56450932539682541</v>
      </c>
      <c r="I131" s="5">
        <f>+'Ciudad Conectada'!M38</f>
        <v>6.5833333333333327E-2</v>
      </c>
      <c r="J131" s="5">
        <f>+'Ciudad Conectada'!N38</f>
        <v>8.9583333333333334E-2</v>
      </c>
      <c r="K131" s="5">
        <f>+'Ciudad Conectada'!AD38</f>
        <v>0.66946382978723407</v>
      </c>
      <c r="L131" s="5">
        <f>+'Ciudad Conectada'!AE38</f>
        <v>0</v>
      </c>
      <c r="M131" s="5">
        <f>+'Ciudad Conectada'!AI38</f>
        <v>0.12475416666666667</v>
      </c>
      <c r="N131" s="5">
        <f>+'Ciudad Conectada'!AJ38</f>
        <v>0.29423154761904763</v>
      </c>
      <c r="O131" s="5">
        <f>+'Ciudad Conectada'!AK38</f>
        <v>0.29423154761904763</v>
      </c>
      <c r="P131" s="33">
        <f>+'Ciudad Conectada'!AL38</f>
        <v>8.0881249999999998E-3</v>
      </c>
      <c r="Q131" s="33">
        <f>+'Ciudad Conectada'!AM38</f>
        <v>0.17025750000000001</v>
      </c>
      <c r="R131" s="33">
        <f>+'Ciudad Conectada'!AN38</f>
        <v>0.17025750000000001</v>
      </c>
      <c r="S131" s="25"/>
      <c r="T131" s="2"/>
      <c r="U131" s="83"/>
    </row>
    <row r="132" spans="2:21" ht="34.200000000000003" customHeight="1" x14ac:dyDescent="0.7">
      <c r="B132" s="32" t="s">
        <v>1728</v>
      </c>
      <c r="C132" s="1592"/>
      <c r="D132" s="5">
        <f>+'Ciudad Conectada'!J46</f>
        <v>0.15833333333333333</v>
      </c>
      <c r="E132" s="5">
        <f>+'Ciudad Conectada'!K46</f>
        <v>0.33611111111111108</v>
      </c>
      <c r="F132" s="5">
        <f>+'Ciudad Conectada'!L46</f>
        <v>0.21111111111111111</v>
      </c>
      <c r="G132" s="5">
        <f t="shared" ref="G132:G195" si="68">+M132+E132</f>
        <v>0.44104444444444441</v>
      </c>
      <c r="H132" s="5">
        <f t="shared" si="25"/>
        <v>0.59142222222222218</v>
      </c>
      <c r="I132" s="5">
        <f>+'Ciudad Conectada'!M46</f>
        <v>0.15250000000000002</v>
      </c>
      <c r="J132" s="5">
        <f>+'Ciudad Conectada'!N46</f>
        <v>0.34083333333333338</v>
      </c>
      <c r="K132" s="5">
        <f>+'Ciudad Conectada'!AD46</f>
        <v>0.69265217391304346</v>
      </c>
      <c r="L132" s="5">
        <f>+'Ciudad Conectada'!AE46</f>
        <v>0.10115999999999999</v>
      </c>
      <c r="M132" s="5">
        <f>+'Ciudad Conectada'!AI46</f>
        <v>0.10493333333333332</v>
      </c>
      <c r="N132" s="5">
        <f>+'Ciudad Conectada'!AJ46</f>
        <v>0.3803111111111111</v>
      </c>
      <c r="O132" s="5">
        <f>+'Ciudad Conectada'!AK46</f>
        <v>0.40735222222222217</v>
      </c>
      <c r="P132" s="33">
        <f>+'Ciudad Conectada'!AL46</f>
        <v>2.3980000000000001E-2</v>
      </c>
      <c r="Q132" s="33">
        <f>+'Ciudad Conectada'!AM46</f>
        <v>0.34674833333333333</v>
      </c>
      <c r="R132" s="33">
        <f>+'Ciudad Conectada'!AN46</f>
        <v>0.37132266666666669</v>
      </c>
      <c r="S132" s="25"/>
      <c r="T132" s="2"/>
      <c r="U132" s="83"/>
    </row>
    <row r="133" spans="2:21" ht="37.200000000000003" customHeight="1" x14ac:dyDescent="0.7">
      <c r="B133" s="32" t="s">
        <v>1729</v>
      </c>
      <c r="C133" s="1592"/>
      <c r="D133" s="5">
        <f>+'Ciudad Conectada'!J50</f>
        <v>0.125</v>
      </c>
      <c r="E133" s="5">
        <f>+'Ciudad Conectada'!K50</f>
        <v>0.22500000000000001</v>
      </c>
      <c r="F133" s="5">
        <f>+'Ciudad Conectada'!L50</f>
        <v>0.7</v>
      </c>
      <c r="G133" s="5">
        <f t="shared" si="68"/>
        <v>0.35</v>
      </c>
      <c r="H133" s="5">
        <v>1</v>
      </c>
      <c r="I133" s="5">
        <f>+'Ciudad Conectada'!M50</f>
        <v>0.1</v>
      </c>
      <c r="J133" s="5">
        <f>+'Ciudad Conectada'!N50</f>
        <v>0.22</v>
      </c>
      <c r="K133" s="5">
        <f>+'Ciudad Conectada'!AD50</f>
        <v>0.6</v>
      </c>
      <c r="L133" s="5">
        <f>+'Ciudad Conectada'!AE50</f>
        <v>6.25E-2</v>
      </c>
      <c r="M133" s="5">
        <f>+'Ciudad Conectada'!AI50</f>
        <v>0.125</v>
      </c>
      <c r="N133" s="5">
        <f>+'Ciudad Conectada'!AJ50</f>
        <v>0.35</v>
      </c>
      <c r="O133" s="5">
        <f>+'Ciudad Conectada'!AK50</f>
        <v>0.75</v>
      </c>
      <c r="P133" s="33">
        <f>+'Ciudad Conectada'!AL50</f>
        <v>1.4999999999999999E-2</v>
      </c>
      <c r="Q133" s="33">
        <f>+'Ciudad Conectada'!AM50</f>
        <v>0.36</v>
      </c>
      <c r="R133" s="33">
        <f>+'Ciudad Conectada'!AN50</f>
        <v>0.8</v>
      </c>
      <c r="S133" s="25"/>
      <c r="T133" s="2"/>
      <c r="U133" s="83"/>
    </row>
    <row r="134" spans="2:21" ht="31.2" customHeight="1" x14ac:dyDescent="0.7">
      <c r="B134" s="32" t="s">
        <v>1730</v>
      </c>
      <c r="C134" s="1592"/>
      <c r="D134" s="5">
        <f>+'Ciudad Conectada'!J53</f>
        <v>0.20833333333333334</v>
      </c>
      <c r="E134" s="5">
        <f>+'Ciudad Conectada'!K53</f>
        <v>0.25</v>
      </c>
      <c r="F134" s="5">
        <f>+'Ciudad Conectada'!L53</f>
        <v>0.22500000000000001</v>
      </c>
      <c r="G134" s="5">
        <f t="shared" si="68"/>
        <v>0.5</v>
      </c>
      <c r="H134" s="5">
        <f t="shared" ref="H134:H196" si="69">+N134+F134</f>
        <v>0.85486666666666666</v>
      </c>
      <c r="I134" s="5">
        <f>+'Ciudad Conectada'!M53</f>
        <v>0.20250000000000001</v>
      </c>
      <c r="J134" s="5">
        <f>+'Ciudad Conectada'!N53</f>
        <v>0.24</v>
      </c>
      <c r="K134" s="5">
        <f>+'Ciudad Conectada'!AD53</f>
        <v>0.98613333333333342</v>
      </c>
      <c r="L134" s="5">
        <f>+'Ciudad Conectada'!AE53</f>
        <v>0.36000000000000004</v>
      </c>
      <c r="M134" s="5">
        <f>+'Ciudad Conectada'!AI53</f>
        <v>0.25</v>
      </c>
      <c r="N134" s="5">
        <f>+'Ciudad Conectada'!AJ53</f>
        <v>0.62986666666666669</v>
      </c>
      <c r="O134" s="5">
        <f>+'Ciudad Conectada'!AK53</f>
        <v>0.67770000000000008</v>
      </c>
      <c r="P134" s="33">
        <f>+'Ciudad Conectada'!AL53</f>
        <v>2.4E-2</v>
      </c>
      <c r="Q134" s="33">
        <f>+'Ciudad Conectada'!AM53</f>
        <v>0.57688000000000006</v>
      </c>
      <c r="R134" s="33">
        <f>+'Ciudad Conectada'!AN53</f>
        <v>0.62833000000000006</v>
      </c>
      <c r="S134" s="25"/>
      <c r="T134" s="2"/>
      <c r="U134" s="83"/>
    </row>
    <row r="135" spans="2:21" ht="49.95" customHeight="1" x14ac:dyDescent="0.7">
      <c r="B135" s="32" t="s">
        <v>1731</v>
      </c>
      <c r="C135" s="1592"/>
      <c r="D135" s="5">
        <f>+'Ciudad Conectada'!J57</f>
        <v>0.16666666666666666</v>
      </c>
      <c r="E135" s="5">
        <f>+'Ciudad Conectada'!K57</f>
        <v>0.3</v>
      </c>
      <c r="F135" s="5">
        <f>+'Ciudad Conectada'!L57</f>
        <v>0.17499999999999999</v>
      </c>
      <c r="G135" s="5">
        <f t="shared" si="68"/>
        <v>0.3833333333333333</v>
      </c>
      <c r="H135" s="5">
        <f t="shared" si="69"/>
        <v>0.38762466666666662</v>
      </c>
      <c r="I135" s="5">
        <f>+'Ciudad Conectada'!M57</f>
        <v>0.13333333333333333</v>
      </c>
      <c r="J135" s="5">
        <f>+'Ciudad Conectada'!N57</f>
        <v>0.06</v>
      </c>
      <c r="K135" s="5">
        <f>+'Ciudad Conectada'!AD57</f>
        <v>1</v>
      </c>
      <c r="L135" s="5"/>
      <c r="M135" s="5">
        <f>+'Ciudad Conectada'!AI57</f>
        <v>8.3333333333333329E-2</v>
      </c>
      <c r="N135" s="5">
        <f>+'Ciudad Conectada'!AJ57</f>
        <v>0.21262466666666666</v>
      </c>
      <c r="O135" s="1298">
        <f>+'Ciudad Conectada'!AK57</f>
        <v>0.22692466666666666</v>
      </c>
      <c r="P135" s="33">
        <f>+'Ciudad Conectada'!AL57</f>
        <v>1.6666666666666666E-2</v>
      </c>
      <c r="Q135" s="33">
        <f>+'Ciudad Conectada'!AM57</f>
        <v>0.13504986666666668</v>
      </c>
      <c r="R135" s="33">
        <f>+'Ciudad Conectada'!AN57</f>
        <v>0.14076986666666669</v>
      </c>
      <c r="S135" s="25"/>
      <c r="T135" s="2"/>
      <c r="U135" s="83"/>
    </row>
    <row r="136" spans="2:21" ht="82.95" customHeight="1" x14ac:dyDescent="0.7">
      <c r="B136" s="30" t="str">
        <f>+'Ciudad Conectada'!B60:B60</f>
        <v xml:space="preserve"> Cartagena Adaptada al Clima y Resiliente a los Desastres
</v>
      </c>
      <c r="C136" s="1592"/>
      <c r="D136" s="23">
        <f t="shared" ref="D136:I136" si="70">+(D137+D138+D139+D140+D141+D142)/6</f>
        <v>0.25786840977058367</v>
      </c>
      <c r="E136" s="23">
        <f t="shared" si="70"/>
        <v>0.22714246502289981</v>
      </c>
      <c r="F136" s="23">
        <f t="shared" ref="F136" si="71">+(F137+F138+F139+F140+F141+F142)/6</f>
        <v>0.29446546207415775</v>
      </c>
      <c r="G136" s="23">
        <f t="shared" si="68"/>
        <v>0.57466101842657324</v>
      </c>
      <c r="H136" s="23">
        <f t="shared" si="69"/>
        <v>0.91670476648400179</v>
      </c>
      <c r="I136" s="24">
        <f t="shared" si="70"/>
        <v>0.23061672626890017</v>
      </c>
      <c r="J136" s="24">
        <f t="shared" ref="J136:K136" si="72">+(J137+J138+J139+J140+J141+J142)/6</f>
        <v>0.22248337411380889</v>
      </c>
      <c r="K136" s="689">
        <f t="shared" si="72"/>
        <v>0.98029629629629633</v>
      </c>
      <c r="L136" s="689">
        <f t="shared" ref="L136" si="73">+(L137+L138+L139+L140+L141+L142)/6</f>
        <v>0.23134216225220725</v>
      </c>
      <c r="M136" s="3">
        <f>+(M137+M138+M139+M140+M141+M142)/6</f>
        <v>0.34751855340367338</v>
      </c>
      <c r="N136" s="3">
        <f>+(N137+N138+N139+N140+N141+N142)/6</f>
        <v>0.6222393044098441</v>
      </c>
      <c r="O136" s="3">
        <f>+(O137+O138+O139+O140+O141+O142)/6</f>
        <v>0.64844857477466167</v>
      </c>
      <c r="P136" s="31">
        <f>+(P137+P138+P139+P140+P141+P142)</f>
        <v>0.30808632226094745</v>
      </c>
      <c r="Q136" s="31">
        <f>+'Ciudad Conectada'!AM60</f>
        <v>0.56432627484958808</v>
      </c>
      <c r="R136" s="31">
        <f>+'Ciudad Conectada'!AN60</f>
        <v>0.63958272162619989</v>
      </c>
      <c r="S136" s="25"/>
      <c r="T136" s="2"/>
      <c r="U136" s="83"/>
    </row>
    <row r="137" spans="2:21" ht="42" customHeight="1" x14ac:dyDescent="0.7">
      <c r="B137" s="32" t="s">
        <v>1732</v>
      </c>
      <c r="C137" s="1592"/>
      <c r="D137" s="5">
        <f>+'Ciudad Conectada'!J61</f>
        <v>0.33333333333333331</v>
      </c>
      <c r="E137" s="5">
        <f>+'Ciudad Conectada'!K61</f>
        <v>0.29166666666666663</v>
      </c>
      <c r="F137" s="5">
        <f>+'Ciudad Conectada'!L61</f>
        <v>0.3666666666666667</v>
      </c>
      <c r="G137" s="5">
        <f t="shared" si="68"/>
        <v>0.59166666666666656</v>
      </c>
      <c r="H137" s="5">
        <f t="shared" si="69"/>
        <v>0.9583333333333337</v>
      </c>
      <c r="I137" s="5">
        <f>+'Ciudad Conectada'!M61</f>
        <v>9.9999999999999992E-2</v>
      </c>
      <c r="J137" s="5">
        <f>+'Ciudad Conectada'!N61</f>
        <v>0.27499999999999997</v>
      </c>
      <c r="K137" s="5">
        <f>+'Ciudad Conectada'!AD61</f>
        <v>1</v>
      </c>
      <c r="L137" s="5">
        <f>+'Ciudad Conectada'!AE61</f>
        <v>0</v>
      </c>
      <c r="M137" s="5">
        <f>+'Ciudad Conectada'!AI61</f>
        <v>0.3</v>
      </c>
      <c r="N137" s="5">
        <f>+'Ciudad Conectada'!AJ61</f>
        <v>0.59166666666666701</v>
      </c>
      <c r="O137" s="5">
        <f>+'Ciudad Conectada'!AK61</f>
        <v>0.44166666666666665</v>
      </c>
      <c r="P137" s="33">
        <f>+'Ciudad Conectada'!AL61</f>
        <v>8.9999999999999993E-3</v>
      </c>
      <c r="Q137" s="33">
        <f>+'Ciudad Conectada'!AM61</f>
        <v>0.36499999999999999</v>
      </c>
      <c r="R137" s="33">
        <f>+'Ciudad Conectada'!AN61</f>
        <v>0.36499999999999999</v>
      </c>
      <c r="S137" s="25"/>
      <c r="T137" s="2"/>
      <c r="U137" s="83"/>
    </row>
    <row r="138" spans="2:21" ht="40.950000000000003" customHeight="1" x14ac:dyDescent="0.7">
      <c r="B138" s="32" t="s">
        <v>1733</v>
      </c>
      <c r="C138" s="1592"/>
      <c r="D138" s="5">
        <f>+'Ciudad Conectada'!J64</f>
        <v>0.23295454545454547</v>
      </c>
      <c r="E138" s="5">
        <f>+'Ciudad Conectada'!K64</f>
        <v>0.25568181818181818</v>
      </c>
      <c r="F138" s="5">
        <f>+'Ciudad Conectada'!L64</f>
        <v>0.24747474747474749</v>
      </c>
      <c r="G138" s="5">
        <f t="shared" si="68"/>
        <v>0.57738636363636364</v>
      </c>
      <c r="H138" s="5">
        <f t="shared" si="69"/>
        <v>0.92633838383838385</v>
      </c>
      <c r="I138" s="5">
        <f>+'Ciudad Conectada'!M64</f>
        <v>0.22954545454545455</v>
      </c>
      <c r="J138" s="5">
        <f>+'Ciudad Conectada'!N64</f>
        <v>0.25681818181818178</v>
      </c>
      <c r="K138" s="5">
        <f>+'Ciudad Conectada'!AD64</f>
        <v>1</v>
      </c>
      <c r="L138" s="5">
        <f>+'Ciudad Conectada'!AE64</f>
        <v>0</v>
      </c>
      <c r="M138" s="5">
        <f>+'Ciudad Conectada'!AI64</f>
        <v>0.32170454545454552</v>
      </c>
      <c r="N138" s="5">
        <f>+'Ciudad Conectada'!AJ64</f>
        <v>0.67886363636363634</v>
      </c>
      <c r="O138" s="5">
        <f>+'Ciudad Conectada'!AK64</f>
        <v>0.67886363636363634</v>
      </c>
      <c r="P138" s="33">
        <f>+'Ciudad Conectada'!AL64</f>
        <v>4.8156818181818176E-2</v>
      </c>
      <c r="Q138" s="33">
        <f>+'Ciudad Conectada'!AM64</f>
        <v>0.69763636363636361</v>
      </c>
      <c r="R138" s="33">
        <f>+'Ciudad Conectada'!AN64</f>
        <v>0.69763636363636361</v>
      </c>
      <c r="S138" s="25"/>
      <c r="T138" s="2"/>
      <c r="U138" s="83"/>
    </row>
    <row r="139" spans="2:21" ht="38.4" customHeight="1" x14ac:dyDescent="0.7">
      <c r="B139" s="32" t="s">
        <v>1734</v>
      </c>
      <c r="C139" s="1592"/>
      <c r="D139" s="5">
        <f>+'Ciudad Conectada'!J69</f>
        <v>0.26306543697848045</v>
      </c>
      <c r="E139" s="5">
        <f>+'Ciudad Conectada'!K69</f>
        <v>0.29907773386034253</v>
      </c>
      <c r="F139" s="5">
        <f>+'Ciudad Conectada'!L69</f>
        <v>0.23407992973210365</v>
      </c>
      <c r="G139" s="5">
        <f t="shared" si="68"/>
        <v>0.68522178304786996</v>
      </c>
      <c r="H139" s="5">
        <f t="shared" si="69"/>
        <v>0.97804128238910837</v>
      </c>
      <c r="I139" s="5">
        <f>+'Ciudad Conectada'!M69</f>
        <v>0.30629776021080368</v>
      </c>
      <c r="J139" s="5">
        <f>+'Ciudad Conectada'!N69</f>
        <v>0.31665349143610011</v>
      </c>
      <c r="K139" s="5">
        <f>+'Ciudad Conectada'!AD69</f>
        <v>0.94444444444444453</v>
      </c>
      <c r="L139" s="5">
        <f>+'Ciudad Conectada'!AE69</f>
        <v>0.3</v>
      </c>
      <c r="M139" s="5">
        <f>+'Ciudad Conectada'!AI69</f>
        <v>0.38614404918752743</v>
      </c>
      <c r="N139" s="5">
        <f>+'Ciudad Conectada'!AJ69</f>
        <v>0.74396135265700469</v>
      </c>
      <c r="O139" s="5">
        <f>+'Ciudad Conectada'!AK69</f>
        <v>0.77294685990338163</v>
      </c>
      <c r="P139" s="33">
        <f>+'Ciudad Conectada'!AL69</f>
        <v>5.2982213438735173E-2</v>
      </c>
      <c r="Q139" s="33">
        <f>+'Ciudad Conectada'!AM69</f>
        <v>0.68840579710144922</v>
      </c>
      <c r="R139" s="33">
        <f>+'Ciudad Conectada'!AN69</f>
        <v>0.70405797101449274</v>
      </c>
      <c r="S139" s="25"/>
      <c r="T139" s="2"/>
      <c r="U139" s="83"/>
    </row>
    <row r="140" spans="2:21" ht="37.200000000000003" customHeight="1" x14ac:dyDescent="0.7">
      <c r="B140" s="32" t="s">
        <v>1735</v>
      </c>
      <c r="C140" s="1592"/>
      <c r="D140" s="5">
        <f>+'Ciudad Conectada'!J73</f>
        <v>0.25</v>
      </c>
      <c r="E140" s="5">
        <f>+'Ciudad Conectada'!K73</f>
        <v>0.25</v>
      </c>
      <c r="F140" s="5">
        <f>+'Ciudad Conectada'!L73</f>
        <v>0.25</v>
      </c>
      <c r="G140" s="5">
        <f t="shared" si="68"/>
        <v>0.60297701149425298</v>
      </c>
      <c r="H140" s="5">
        <f t="shared" si="69"/>
        <v>0.97822988505747122</v>
      </c>
      <c r="I140" s="5">
        <f>+'Ciudad Conectada'!M73</f>
        <v>0.25</v>
      </c>
      <c r="J140" s="5">
        <f>+'Ciudad Conectada'!N73</f>
        <v>0.25</v>
      </c>
      <c r="K140" s="5">
        <f>+'Ciudad Conectada'!AD73</f>
        <v>0.93733333333333346</v>
      </c>
      <c r="L140" s="5">
        <f>+'Ciudad Conectada'!AE73</f>
        <v>0.84457471264367812</v>
      </c>
      <c r="M140" s="5">
        <f>+'Ciudad Conectada'!AI73</f>
        <v>0.35297701149425292</v>
      </c>
      <c r="N140" s="5">
        <f>+'Ciudad Conectada'!AJ73</f>
        <v>0.72822988505747122</v>
      </c>
      <c r="O140" s="1298">
        <f>+'Ciudad Conectada'!AK73</f>
        <v>0.92649999999999999</v>
      </c>
      <c r="P140" s="33">
        <f>+'Ciudad Conectada'!AL73</f>
        <v>5.4475862068965514E-2</v>
      </c>
      <c r="Q140" s="33">
        <f>+'Ciudad Conectada'!AM73</f>
        <v>0.62520689655172412</v>
      </c>
      <c r="R140" s="33">
        <f>+'Ciudad Conectada'!AN73</f>
        <v>0.88975000000000004</v>
      </c>
      <c r="S140" s="25"/>
      <c r="T140" s="2"/>
      <c r="U140" s="83"/>
    </row>
    <row r="141" spans="2:21" ht="31.2" customHeight="1" x14ac:dyDescent="0.7">
      <c r="B141" s="32" t="s">
        <v>1736</v>
      </c>
      <c r="C141" s="1592"/>
      <c r="D141" s="5">
        <f>+'Ciudad Conectada'!J77</f>
        <v>0.14285714285714285</v>
      </c>
      <c r="E141" s="5">
        <f>+'Ciudad Conectada'!K77</f>
        <v>0.17142857142857143</v>
      </c>
      <c r="F141" s="5">
        <f>+'Ciudad Conectada'!L77</f>
        <v>0.32857142857142857</v>
      </c>
      <c r="G141" s="5">
        <f t="shared" si="68"/>
        <v>0.2857142857142857</v>
      </c>
      <c r="H141" s="5">
        <f t="shared" si="69"/>
        <v>0.61428571428571432</v>
      </c>
      <c r="I141" s="5">
        <f>+'Ciudad Conectada'!M77</f>
        <v>0.14285714285714285</v>
      </c>
      <c r="J141" s="5">
        <f>+'Ciudad Conectada'!N77</f>
        <v>0.17142857142857143</v>
      </c>
      <c r="K141" s="5">
        <f>+'Ciudad Conectada'!AD77</f>
        <v>1</v>
      </c>
      <c r="L141" s="5">
        <f>+'Ciudad Conectada'!AE77</f>
        <v>0.24347826086956526</v>
      </c>
      <c r="M141" s="5">
        <f>+'Ciudad Conectada'!AI77</f>
        <v>0.1142857142857143</v>
      </c>
      <c r="N141" s="5">
        <f>+'Ciudad Conectada'!AJ77</f>
        <v>0.2857142857142857</v>
      </c>
      <c r="O141" s="5">
        <f>+'Ciudad Conectada'!AK77</f>
        <v>0.36571428571428571</v>
      </c>
      <c r="P141" s="33">
        <f>+'Ciudad Conectada'!AL77</f>
        <v>2.8571428571428574E-2</v>
      </c>
      <c r="Q141" s="33">
        <f>+'Ciudad Conectada'!AM77</f>
        <v>0.2857142857142857</v>
      </c>
      <c r="R141" s="33">
        <f>+'Ciudad Conectada'!AN77</f>
        <v>0.36571428571428571</v>
      </c>
      <c r="S141" s="25"/>
      <c r="T141" s="2"/>
      <c r="U141" s="83"/>
    </row>
    <row r="142" spans="2:21" ht="48.6" customHeight="1" x14ac:dyDescent="0.7">
      <c r="B142" s="32" t="s">
        <v>1737</v>
      </c>
      <c r="C142" s="1592"/>
      <c r="D142" s="5">
        <f>+'Ciudad Conectada'!J79</f>
        <v>0.32500000000000001</v>
      </c>
      <c r="E142" s="5">
        <f>+'Ciudad Conectada'!K79</f>
        <v>9.5000000000000001E-2</v>
      </c>
      <c r="F142" s="5">
        <f>+'Ciudad Conectada'!L79</f>
        <v>0.34</v>
      </c>
      <c r="G142" s="5">
        <f t="shared" si="68"/>
        <v>0.70499999999999996</v>
      </c>
      <c r="H142" s="5">
        <v>1</v>
      </c>
      <c r="I142" s="5">
        <f>+'Ciudad Conectada'!M79</f>
        <v>0.35499999999999998</v>
      </c>
      <c r="J142" s="5">
        <f>+'Ciudad Conectada'!N79</f>
        <v>6.5000000000000002E-2</v>
      </c>
      <c r="K142" s="5">
        <f>+'Ciudad Conectada'!AD79</f>
        <v>1</v>
      </c>
      <c r="L142" s="5">
        <f>+'Ciudad Conectada'!AE79</f>
        <v>0</v>
      </c>
      <c r="M142" s="5">
        <f>+'Ciudad Conectada'!AI79</f>
        <v>0.61</v>
      </c>
      <c r="N142" s="5">
        <f>+'Ciudad Conectada'!AJ79</f>
        <v>0.70499999999999996</v>
      </c>
      <c r="O142" s="5">
        <f>+'Ciudad Conectada'!AK79</f>
        <v>0.70499999999999996</v>
      </c>
      <c r="P142" s="33">
        <f>+'Ciudad Conectada'!AL79</f>
        <v>0.1149</v>
      </c>
      <c r="Q142" s="33">
        <f>+'Ciudad Conectada'!AM79</f>
        <v>0.82299999999999995</v>
      </c>
      <c r="R142" s="33">
        <f>+'Ciudad Conectada'!AN79</f>
        <v>0.82299999999999995</v>
      </c>
      <c r="S142" s="25"/>
      <c r="T142" s="2"/>
      <c r="U142" s="83"/>
    </row>
    <row r="143" spans="2:21" ht="82.95" customHeight="1" x14ac:dyDescent="0.7">
      <c r="B143" s="30" t="str">
        <f>+'Ciudad Conectada'!B82:B82</f>
        <v xml:space="preserve">Ciudad Histórica y Patrimonial
</v>
      </c>
      <c r="C143" s="1592"/>
      <c r="D143" s="23">
        <f t="shared" ref="D143:I143" si="74">+(D144+D145+D146)/3</f>
        <v>0.23703703703703705</v>
      </c>
      <c r="E143" s="23">
        <f t="shared" si="74"/>
        <v>0.29888888888888893</v>
      </c>
      <c r="F143" s="23">
        <f t="shared" ref="F143" si="75">+(F144+F145+F146)/3</f>
        <v>0.31</v>
      </c>
      <c r="G143" s="23">
        <f t="shared" si="68"/>
        <v>0.45013730158730159</v>
      </c>
      <c r="H143" s="23">
        <f t="shared" si="69"/>
        <v>0.64279166666666665</v>
      </c>
      <c r="I143" s="24">
        <f t="shared" si="74"/>
        <v>0.17777777777777778</v>
      </c>
      <c r="J143" s="24">
        <f t="shared" ref="J143:K143" si="76">+(J144+J145+J146)/3</f>
        <v>0.23291666666666666</v>
      </c>
      <c r="K143" s="689">
        <f t="shared" si="76"/>
        <v>0.71249002267573702</v>
      </c>
      <c r="L143" s="689">
        <f t="shared" ref="L143" si="77">+(L144+L145+L146)/3</f>
        <v>6.9738562091503267E-2</v>
      </c>
      <c r="M143" s="3">
        <f>+(M144+M145+M146)/3</f>
        <v>0.15124841269841269</v>
      </c>
      <c r="N143" s="3">
        <f>+(N144+N145+N146)/3</f>
        <v>0.33279166666666665</v>
      </c>
      <c r="O143" s="3">
        <f>+(O144+O145+O146)/3</f>
        <v>0.36382738095238093</v>
      </c>
      <c r="P143" s="81">
        <f>+(P144+P145+P146)</f>
        <v>6.376682142857143E-2</v>
      </c>
      <c r="Q143" s="81">
        <f>+'Ciudad Conectada'!AM82</f>
        <v>0.22288787500000001</v>
      </c>
      <c r="R143" s="81">
        <f>+'Ciudad Conectada'!AN82</f>
        <v>0.26417537499999999</v>
      </c>
      <c r="S143" s="25"/>
      <c r="T143" s="2"/>
      <c r="U143" s="83"/>
    </row>
    <row r="144" spans="2:21" ht="79.2" customHeight="1" x14ac:dyDescent="0.7">
      <c r="B144" s="32" t="s">
        <v>1738</v>
      </c>
      <c r="C144" s="1592"/>
      <c r="D144" s="5">
        <f>+'Ciudad Conectada'!J83</f>
        <v>0.21111111111111111</v>
      </c>
      <c r="E144" s="5">
        <f>+'Ciudad Conectada'!K83</f>
        <v>0.35500000000000004</v>
      </c>
      <c r="F144" s="5">
        <f>+'Ciudad Conectada'!L83</f>
        <v>0.34250000000000003</v>
      </c>
      <c r="G144" s="5">
        <f t="shared" si="68"/>
        <v>0.43374523809523813</v>
      </c>
      <c r="H144" s="5">
        <f t="shared" si="69"/>
        <v>0.57067500000000004</v>
      </c>
      <c r="I144" s="5">
        <f>+'Ciudad Conectada'!M83</f>
        <v>0.15833333333333333</v>
      </c>
      <c r="J144" s="5">
        <f>+'Ciudad Conectada'!N83</f>
        <v>0.23</v>
      </c>
      <c r="K144" s="5">
        <f>+'Ciudad Conectada'!AD83</f>
        <v>0.65913673469387757</v>
      </c>
      <c r="L144" s="5">
        <f>+'Ciudad Conectada'!AE83</f>
        <v>3.3333333333333335E-3</v>
      </c>
      <c r="M144" s="5">
        <f>+'Ciudad Conectada'!AI83</f>
        <v>7.874523809523809E-2</v>
      </c>
      <c r="N144" s="5">
        <f>+'Ciudad Conectada'!AJ83</f>
        <v>0.22817499999999999</v>
      </c>
      <c r="O144" s="1298">
        <f>+'Ciudad Conectada'!AK83</f>
        <v>0.26353214285714283</v>
      </c>
      <c r="P144" s="33">
        <f>+'Ciudad Conectada'!AL83</f>
        <v>2.6266821428571428E-2</v>
      </c>
      <c r="Q144" s="33">
        <f>+'Ciudad Conectada'!AM83</f>
        <v>0.24641750000000001</v>
      </c>
      <c r="R144" s="33">
        <f>+'Ciudad Conectada'!AN83</f>
        <v>0.2944175</v>
      </c>
      <c r="S144" s="25"/>
      <c r="T144" s="2"/>
      <c r="U144" s="83"/>
    </row>
    <row r="145" spans="2:21" ht="88.2" customHeight="1" x14ac:dyDescent="0.7">
      <c r="B145" s="32" t="s">
        <v>1739</v>
      </c>
      <c r="C145" s="1592"/>
      <c r="D145" s="5">
        <f>+'Ciudad Conectada'!J91</f>
        <v>0.25</v>
      </c>
      <c r="E145" s="5">
        <f>+'Ciudad Conectada'!K91</f>
        <v>0.29166666666666669</v>
      </c>
      <c r="F145" s="5">
        <f>+'Ciudad Conectada'!L91</f>
        <v>0.46250000000000002</v>
      </c>
      <c r="G145" s="5">
        <f t="shared" si="68"/>
        <v>0.29166666666666669</v>
      </c>
      <c r="H145" s="5">
        <f t="shared" si="69"/>
        <v>0.60770000000000002</v>
      </c>
      <c r="I145" s="5">
        <f>+'Ciudad Conectada'!M91</f>
        <v>0.125</v>
      </c>
      <c r="J145" s="5">
        <f>+'Ciudad Conectada'!N91</f>
        <v>0.21875</v>
      </c>
      <c r="K145" s="5">
        <f>+'Ciudad Conectada'!AD91</f>
        <v>0.47833333333333333</v>
      </c>
      <c r="L145" s="5">
        <f>+'Ciudad Conectada'!AE91</f>
        <v>0.20588235294117646</v>
      </c>
      <c r="M145" s="5">
        <f>+'Ciudad Conectada'!AI91</f>
        <v>0</v>
      </c>
      <c r="N145" s="5">
        <f>+'Ciudad Conectada'!AJ91</f>
        <v>0.1452</v>
      </c>
      <c r="O145" s="1298">
        <f>+'Ciudad Conectada'!AK91</f>
        <v>0.20295000000000002</v>
      </c>
      <c r="P145" s="33">
        <f>+'Ciudad Conectada'!AL91</f>
        <v>0</v>
      </c>
      <c r="Q145" s="33">
        <f>+'Ciudad Conectada'!AM91</f>
        <v>0.11</v>
      </c>
      <c r="R145" s="33">
        <f>+'Ciudad Conectada'!AN91</f>
        <v>0.15375</v>
      </c>
      <c r="S145" s="25"/>
      <c r="T145" s="2"/>
      <c r="U145" s="83"/>
    </row>
    <row r="146" spans="2:21" ht="53.4" customHeight="1" x14ac:dyDescent="0.7">
      <c r="B146" s="32" t="s">
        <v>1740</v>
      </c>
      <c r="C146" s="1592"/>
      <c r="D146" s="5">
        <f>+'Ciudad Conectada'!J95</f>
        <v>0.25</v>
      </c>
      <c r="E146" s="5">
        <f>+'Ciudad Conectada'!K95</f>
        <v>0.25</v>
      </c>
      <c r="F146" s="5">
        <f>+'Ciudad Conectada'!L95</f>
        <v>0.125</v>
      </c>
      <c r="G146" s="5">
        <f t="shared" si="68"/>
        <v>0.625</v>
      </c>
      <c r="H146" s="5">
        <f t="shared" si="69"/>
        <v>0.75</v>
      </c>
      <c r="I146" s="5">
        <f>+'Ciudad Conectada'!M95</f>
        <v>0.25</v>
      </c>
      <c r="J146" s="5">
        <f>+'Ciudad Conectada'!N95</f>
        <v>0.25</v>
      </c>
      <c r="K146" s="5">
        <f>+'Ciudad Conectada'!AD95</f>
        <v>1</v>
      </c>
      <c r="L146" s="5">
        <f>+'Ciudad Conectada'!AE95</f>
        <v>0</v>
      </c>
      <c r="M146" s="5">
        <f>+'Ciudad Conectada'!AI95</f>
        <v>0.375</v>
      </c>
      <c r="N146" s="5">
        <f>+'Ciudad Conectada'!AJ95</f>
        <v>0.625</v>
      </c>
      <c r="O146" s="5">
        <f>+'Ciudad Conectada'!AK95</f>
        <v>0.625</v>
      </c>
      <c r="P146" s="33">
        <f>+'Ciudad Conectada'!AL95</f>
        <v>3.7500000000000006E-2</v>
      </c>
      <c r="Q146" s="33">
        <f>+'Ciudad Conectada'!AM95</f>
        <v>0.625</v>
      </c>
      <c r="R146" s="33">
        <f>+'Ciudad Conectada'!AN95</f>
        <v>0.625</v>
      </c>
      <c r="S146" s="25"/>
      <c r="T146" s="2"/>
      <c r="U146" s="83"/>
    </row>
    <row r="147" spans="2:21" ht="104.4" customHeight="1" x14ac:dyDescent="0.7">
      <c r="B147" s="30" t="str">
        <f>+'Ciudad Conectada'!B97:B97</f>
        <v xml:space="preserve">Infraestructura, Movilidad Sostenible y Accesibilidad para Todos
</v>
      </c>
      <c r="C147" s="1592"/>
      <c r="D147" s="23">
        <f>+(D148+D149+D150+D151+D152)/4</f>
        <v>0.32233213614481815</v>
      </c>
      <c r="E147" s="23">
        <f>+(E148+E149+E150+E151+E152)/4</f>
        <v>0.32575564910040028</v>
      </c>
      <c r="F147" s="23">
        <f>+(F148+F149+F150+F151+F152)/4</f>
        <v>0.35996001167226793</v>
      </c>
      <c r="G147" s="23">
        <f t="shared" si="68"/>
        <v>0.61280234536891931</v>
      </c>
      <c r="H147" s="23">
        <f t="shared" si="69"/>
        <v>0.99718475754512093</v>
      </c>
      <c r="I147" s="24">
        <f>+(I148+I149+I150+I151+I152)/4</f>
        <v>0.24677777425020778</v>
      </c>
      <c r="J147" s="24">
        <f t="shared" ref="J147" si="78">+(J148+J149+J150+J151+J152)/4</f>
        <v>0.31408199614094051</v>
      </c>
      <c r="K147" s="689">
        <f>+(K148+K149+K150+K151+K152)/4</f>
        <v>0.98351234375382757</v>
      </c>
      <c r="L147" s="689">
        <f>+(L148+L149+L150+L151+L152)/4</f>
        <v>0.53861770410013765</v>
      </c>
      <c r="M147" s="3">
        <f>+(M148+M149+M150+M151+M152)/4</f>
        <v>0.28704669626851897</v>
      </c>
      <c r="N147" s="3">
        <f>+(N148+N149+N150+N151+N152)/4</f>
        <v>0.63722474587285305</v>
      </c>
      <c r="O147" s="3">
        <f>+(O148+O149+O150+O151+O152)/4</f>
        <v>0.72732145894018829</v>
      </c>
      <c r="P147" s="81">
        <f>+(P148+P149+P150+P151+P152)</f>
        <v>0.14970787104537839</v>
      </c>
      <c r="Q147" s="81">
        <f>+'Ciudad Conectada'!AM97</f>
        <v>0.23815278753134994</v>
      </c>
      <c r="R147" s="81">
        <f>+'Ciudad Conectada'!AN97</f>
        <v>0.33495534128097743</v>
      </c>
      <c r="S147" s="25"/>
      <c r="T147" s="2"/>
      <c r="U147" s="83"/>
    </row>
    <row r="148" spans="2:21" ht="39.6" customHeight="1" x14ac:dyDescent="0.7">
      <c r="B148" s="32" t="s">
        <v>1741</v>
      </c>
      <c r="C148" s="1592"/>
      <c r="D148" s="5">
        <f>+'Ciudad Conectada'!J98</f>
        <v>0</v>
      </c>
      <c r="E148" s="5">
        <f>+'Ciudad Conectada'!K98</f>
        <v>0.2</v>
      </c>
      <c r="F148" s="5">
        <f>+'Ciudad Conectada'!L98</f>
        <v>0.3</v>
      </c>
      <c r="G148" s="5">
        <f t="shared" si="68"/>
        <v>0.2</v>
      </c>
      <c r="H148" s="5">
        <f t="shared" si="69"/>
        <v>0.4</v>
      </c>
      <c r="I148" s="5">
        <f>+'Ciudad Conectada'!M98</f>
        <v>0</v>
      </c>
      <c r="J148" s="5">
        <f>+'Ciudad Conectada'!N98</f>
        <v>0.2</v>
      </c>
      <c r="K148" s="5">
        <f>+'Ciudad Conectada'!AD98</f>
        <v>0.5</v>
      </c>
      <c r="L148" s="5">
        <f>+'Ciudad Conectada'!AE98</f>
        <v>1</v>
      </c>
      <c r="M148" s="5">
        <f>+'Ciudad Conectada'!AI98</f>
        <v>0</v>
      </c>
      <c r="N148" s="5">
        <f>+'Ciudad Conectada'!AJ98</f>
        <v>0.1</v>
      </c>
      <c r="O148" s="5">
        <f>+'Ciudad Conectada'!AK98</f>
        <v>0.4</v>
      </c>
      <c r="P148" s="33">
        <f>+'Ciudad Conectada'!AL98</f>
        <v>0</v>
      </c>
      <c r="Q148" s="33">
        <f>+'Ciudad Conectada'!AM98</f>
        <v>0.1</v>
      </c>
      <c r="R148" s="33">
        <f>+'Ciudad Conectada'!AN98</f>
        <v>0.4</v>
      </c>
      <c r="S148" s="25"/>
      <c r="T148" s="2"/>
      <c r="U148" s="83"/>
    </row>
    <row r="149" spans="2:21" ht="59.4" customHeight="1" x14ac:dyDescent="0.7">
      <c r="B149" s="32" t="s">
        <v>1742</v>
      </c>
      <c r="C149" s="1592"/>
      <c r="D149" s="5">
        <f>+'Ciudad Conectada'!J100</f>
        <v>0.1875</v>
      </c>
      <c r="E149" s="5">
        <f>+'Ciudad Conectada'!K100</f>
        <v>0.27083333333333331</v>
      </c>
      <c r="F149" s="5">
        <f>+'Ciudad Conectada'!L100</f>
        <v>0</v>
      </c>
      <c r="G149" s="5">
        <f t="shared" si="68"/>
        <v>0.52593869047619046</v>
      </c>
      <c r="H149" s="5">
        <f t="shared" si="69"/>
        <v>1</v>
      </c>
      <c r="I149" s="5">
        <f>+'Ciudad Conectada'!M100</f>
        <v>0.2</v>
      </c>
      <c r="J149" s="5">
        <f>+'Ciudad Conectada'!N100</f>
        <v>0.26666666666666666</v>
      </c>
      <c r="K149" s="5">
        <f>+'Ciudad Conectada'!AD100</f>
        <v>1</v>
      </c>
      <c r="L149" s="5">
        <f>+'Ciudad Conectada'!AE100</f>
        <v>0.75</v>
      </c>
      <c r="M149" s="5">
        <f>+'Ciudad Conectada'!AI100</f>
        <v>0.25510535714285715</v>
      </c>
      <c r="N149" s="5">
        <f>+'Ciudad Conectada'!AJ100</f>
        <v>1</v>
      </c>
      <c r="O149" s="5">
        <f>+'Ciudad Conectada'!AK100</f>
        <v>1</v>
      </c>
      <c r="P149" s="33">
        <f>+'Ciudad Conectada'!AL100</f>
        <v>5.427928571428571E-2</v>
      </c>
      <c r="Q149" s="33">
        <f>+'Ciudad Conectada'!AM100</f>
        <v>1</v>
      </c>
      <c r="R149" s="33">
        <f>+'Ciudad Conectada'!AN100</f>
        <v>1</v>
      </c>
      <c r="S149" s="25"/>
      <c r="T149" s="2"/>
      <c r="U149" s="83"/>
    </row>
    <row r="150" spans="2:21" ht="54.6" customHeight="1" x14ac:dyDescent="0.7">
      <c r="B150" s="32" t="s">
        <v>1743</v>
      </c>
      <c r="C150" s="1592"/>
      <c r="D150" s="5">
        <f>+'Ciudad Conectada'!J105</f>
        <v>0.25</v>
      </c>
      <c r="E150" s="5">
        <f>+'Ciudad Conectada'!K105</f>
        <v>0</v>
      </c>
      <c r="F150" s="5">
        <f>+'Ciudad Conectada'!L105</f>
        <v>0.39999999999999997</v>
      </c>
      <c r="G150" s="5">
        <f t="shared" si="68"/>
        <v>0</v>
      </c>
      <c r="H150" s="5">
        <f t="shared" si="69"/>
        <v>0.59499999999999997</v>
      </c>
      <c r="I150" s="5">
        <f>+'Ciudad Conectada'!M105</f>
        <v>0.25</v>
      </c>
      <c r="J150" s="5">
        <f>+'Ciudad Conectada'!N105</f>
        <v>0</v>
      </c>
      <c r="K150" s="5">
        <f>+'Ciudad Conectada'!AD105</f>
        <v>0.97499999999999998</v>
      </c>
      <c r="L150" s="5">
        <f>+'Ciudad Conectada'!AE105</f>
        <v>0</v>
      </c>
      <c r="M150" s="5">
        <f>+'Ciudad Conectada'!AI105</f>
        <v>0</v>
      </c>
      <c r="N150" s="5">
        <f>+'Ciudad Conectada'!AJ105</f>
        <v>0.19499999999999998</v>
      </c>
      <c r="O150" s="5">
        <f>+'Ciudad Conectada'!AK105</f>
        <v>0.19499999999999998</v>
      </c>
      <c r="P150" s="33">
        <f>+'Ciudad Conectada'!AL105</f>
        <v>0</v>
      </c>
      <c r="Q150" s="33">
        <f>+'Ciudad Conectada'!AM105</f>
        <v>0.26324999999999998</v>
      </c>
      <c r="R150" s="33">
        <f>+'Ciudad Conectada'!AN105</f>
        <v>0.26324999999999998</v>
      </c>
      <c r="S150" s="25"/>
      <c r="T150" s="2"/>
      <c r="U150" s="83"/>
    </row>
    <row r="151" spans="2:21" ht="53.4" customHeight="1" x14ac:dyDescent="0.7">
      <c r="B151" s="32" t="s">
        <v>1744</v>
      </c>
      <c r="C151" s="1592"/>
      <c r="D151" s="5">
        <f>+'Ciudad Conectada'!J109</f>
        <v>0.30482468088463477</v>
      </c>
      <c r="E151" s="5">
        <f>+'Ciudad Conectada'!K109</f>
        <v>0.4002361439382689</v>
      </c>
      <c r="F151" s="5">
        <f>+'Ciudad Conectada'!L109</f>
        <v>0.38997529365523997</v>
      </c>
      <c r="G151" s="5">
        <f t="shared" si="68"/>
        <v>0.69709385145641589</v>
      </c>
      <c r="H151" s="5">
        <f t="shared" si="69"/>
        <v>0.9549098272424138</v>
      </c>
      <c r="I151" s="5">
        <f>+'Ciudad Conectada'!M109</f>
        <v>0.23385974470770779</v>
      </c>
      <c r="J151" s="5">
        <f>+'Ciudad Conectada'!N109</f>
        <v>0.3918847583320958</v>
      </c>
      <c r="K151" s="5">
        <f>+'Ciudad Conectada'!AD109</f>
        <v>0.73092473296424987</v>
      </c>
      <c r="L151" s="5">
        <f>+'Ciudad Conectada'!AE109</f>
        <v>6.6666666666666666E-2</v>
      </c>
      <c r="M151" s="5">
        <f>+'Ciudad Conectada'!AI109</f>
        <v>0.296857707518147</v>
      </c>
      <c r="N151" s="5">
        <f>+'Ciudad Conectada'!AJ109</f>
        <v>0.56493453358717383</v>
      </c>
      <c r="O151" s="5">
        <f>+'Ciudad Conectada'!AK109</f>
        <v>0.57857089722353749</v>
      </c>
      <c r="P151" s="33">
        <f>+'Ciudad Conectada'!AL109</f>
        <v>3.3372924902177636E-2</v>
      </c>
      <c r="Q151" s="33">
        <f>+'Ciudad Conectada'!AM109</f>
        <v>0.57192798694589131</v>
      </c>
      <c r="R151" s="33">
        <f>+'Ciudad Conectada'!AN109</f>
        <v>0.60192798694589134</v>
      </c>
      <c r="S151" s="25"/>
      <c r="T151" s="2"/>
      <c r="U151" s="83"/>
    </row>
    <row r="152" spans="2:21" ht="36.6" customHeight="1" x14ac:dyDescent="0.7">
      <c r="B152" s="32" t="s">
        <v>1745</v>
      </c>
      <c r="C152" s="1592"/>
      <c r="D152" s="5">
        <f>+'Ciudad Conectada'!J121</f>
        <v>0.54700386369463794</v>
      </c>
      <c r="E152" s="5">
        <f>+'Ciudad Conectada'!K121</f>
        <v>0.43195311912999895</v>
      </c>
      <c r="F152" s="5">
        <f>+'Ciudad Conectada'!L121</f>
        <v>0.34986475303383169</v>
      </c>
      <c r="G152" s="5">
        <v>1</v>
      </c>
      <c r="H152" s="5">
        <v>1</v>
      </c>
      <c r="I152" s="5">
        <f>+'Ciudad Conectada'!M121</f>
        <v>0.30325135229312328</v>
      </c>
      <c r="J152" s="5">
        <f>+'Ciudad Conectada'!N121</f>
        <v>0.39777655956499952</v>
      </c>
      <c r="K152" s="5">
        <f>+'Ciudad Conectada'!AD121</f>
        <v>0.72812464205106042</v>
      </c>
      <c r="L152" s="5">
        <f>+'Ciudad Conectada'!AE121</f>
        <v>0.33780414973388384</v>
      </c>
      <c r="M152" s="5">
        <f>+'Ciudad Conectada'!AI121</f>
        <v>0.59622372041307181</v>
      </c>
      <c r="N152" s="5">
        <f>+'Ciudad Conectada'!AJ121</f>
        <v>0.68896444990423822</v>
      </c>
      <c r="O152" s="1298">
        <f>+'Ciudad Conectada'!AK121</f>
        <v>0.7357149385372157</v>
      </c>
      <c r="P152" s="33">
        <f>+'Ciudad Conectada'!AL121</f>
        <v>6.2055660428915041E-2</v>
      </c>
      <c r="Q152" s="33">
        <f>+'Ciudad Conectada'!AM121</f>
        <v>0.57233044744733119</v>
      </c>
      <c r="R152" s="33">
        <f>+'Ciudad Conectada'!AN121</f>
        <v>0.58384321619546875</v>
      </c>
      <c r="S152" s="25"/>
      <c r="T152" s="2"/>
      <c r="U152" s="83"/>
    </row>
    <row r="153" spans="2:21" ht="49.8" x14ac:dyDescent="0.7">
      <c r="B153" s="30" t="str">
        <f>+'Ciudad Conectada'!B135:B135</f>
        <v xml:space="preserve">Cartagena Ordenada Alrededor del Agua
</v>
      </c>
      <c r="C153" s="1592"/>
      <c r="D153" s="23">
        <f t="shared" ref="D153:I153" si="79">+(D154+D155+D156+D157+D158)/4</f>
        <v>0.23930555555555558</v>
      </c>
      <c r="E153" s="23">
        <f t="shared" si="79"/>
        <v>0.2396428571428571</v>
      </c>
      <c r="F153" s="23">
        <f>+(F154+F155+F156+F157+F158)/5</f>
        <v>0.30333333333333334</v>
      </c>
      <c r="G153" s="23">
        <f t="shared" si="68"/>
        <v>0.46629952380952377</v>
      </c>
      <c r="H153" s="23">
        <f t="shared" si="69"/>
        <v>0.82280486111111106</v>
      </c>
      <c r="I153" s="24">
        <f t="shared" si="79"/>
        <v>0.17302083333333335</v>
      </c>
      <c r="J153" s="24">
        <f t="shared" ref="J153:K153" si="80">+(J154+J155+J156+J157+J158)/4</f>
        <v>0.24579166666666666</v>
      </c>
      <c r="K153" s="689">
        <f t="shared" si="80"/>
        <v>0.75154181034482759</v>
      </c>
      <c r="L153" s="689">
        <f t="shared" ref="L153" si="81">+(L154+L155+L156+L157+L158)/4</f>
        <v>0.23331825396825398</v>
      </c>
      <c r="M153" s="3">
        <f>+(M154+M155+M156+M157+M158)/4</f>
        <v>0.22665666666666667</v>
      </c>
      <c r="N153" s="3">
        <f>+(N154+N155+N156+N157+N158)/4</f>
        <v>0.51947152777777772</v>
      </c>
      <c r="O153" s="3">
        <f>+(O154+O155+O156+O157+O158)/4</f>
        <v>0.51927708333333333</v>
      </c>
      <c r="P153" s="81">
        <f>+(P154+P155+P156+P157+P158)</f>
        <v>0.15220140000000001</v>
      </c>
      <c r="Q153" s="81">
        <f>+'Ciudad Conectada'!AM135</f>
        <v>0.42935424999999999</v>
      </c>
      <c r="R153" s="81">
        <f>+'Ciudad Conectada'!AN135</f>
        <v>0.45584175000000005</v>
      </c>
      <c r="S153" s="25"/>
      <c r="T153" s="2"/>
      <c r="U153" s="83"/>
    </row>
    <row r="154" spans="2:21" ht="32.4" customHeight="1" x14ac:dyDescent="0.7">
      <c r="B154" s="32" t="s">
        <v>1746</v>
      </c>
      <c r="C154" s="1592"/>
      <c r="D154" s="5">
        <f>+'Ciudad Conectada'!J136</f>
        <v>0.125</v>
      </c>
      <c r="E154" s="5">
        <f>+'Ciudad Conectada'!K136</f>
        <v>0.25</v>
      </c>
      <c r="F154" s="5">
        <f>+'Ciudad Conectada'!L136</f>
        <v>0.6875</v>
      </c>
      <c r="G154" s="5">
        <f t="shared" si="68"/>
        <v>0.435</v>
      </c>
      <c r="H154" s="5">
        <f t="shared" si="69"/>
        <v>0.90094166666666664</v>
      </c>
      <c r="I154" s="5">
        <f>+'Ciudad Conectada'!M136</f>
        <v>5.6250000000000001E-2</v>
      </c>
      <c r="J154" s="5">
        <f>+'Ciudad Conectada'!N136</f>
        <v>0.36249999999999999</v>
      </c>
      <c r="K154" s="5">
        <f>+'Ciudad Conectada'!AD136</f>
        <v>0.17065000000000002</v>
      </c>
      <c r="L154" s="5">
        <f>+'Ciudad Conectada'!AE136</f>
        <v>2.5000000000000001E-2</v>
      </c>
      <c r="M154" s="5">
        <f>+'Ciudad Conectada'!AI136</f>
        <v>0.185</v>
      </c>
      <c r="N154" s="5">
        <f>+'Ciudad Conectada'!AJ136</f>
        <v>0.21344166666666667</v>
      </c>
      <c r="O154" s="5">
        <f>+'Ciudad Conectada'!AK136</f>
        <v>0.21969166666666667</v>
      </c>
      <c r="P154" s="33">
        <f>+'Ciudad Conectada'!AL136</f>
        <v>1.6650000000000002E-2</v>
      </c>
      <c r="Q154" s="33">
        <f>+'Ciudad Conectada'!AM136</f>
        <v>0.12164625000000003</v>
      </c>
      <c r="R154" s="33">
        <f>+'Ciudad Conectada'!AN136</f>
        <v>0.13008375000000003</v>
      </c>
      <c r="S154" s="25"/>
      <c r="T154" s="2"/>
      <c r="U154" s="83"/>
    </row>
    <row r="155" spans="2:21" ht="31.95" customHeight="1" x14ac:dyDescent="0.7">
      <c r="B155" s="32" t="s">
        <v>1747</v>
      </c>
      <c r="C155" s="1592"/>
      <c r="D155" s="5">
        <f>+'Ciudad Conectada'!J140</f>
        <v>0.27</v>
      </c>
      <c r="E155" s="5">
        <f>+'Ciudad Conectada'!K140</f>
        <v>0.33333333333333331</v>
      </c>
      <c r="F155" s="5">
        <f>+'Ciudad Conectada'!L140</f>
        <v>0</v>
      </c>
      <c r="G155" s="5">
        <f t="shared" si="68"/>
        <v>0.53495999999999999</v>
      </c>
      <c r="H155" s="5">
        <f t="shared" si="69"/>
        <v>1</v>
      </c>
      <c r="I155" s="5">
        <f>+'Ciudad Conectada'!M140</f>
        <v>0.22900000000000001</v>
      </c>
      <c r="J155" s="5">
        <f>+'Ciudad Conectada'!N140</f>
        <v>0.26250000000000001</v>
      </c>
      <c r="K155" s="5">
        <f>+'Ciudad Conectada'!AD140</f>
        <v>1</v>
      </c>
      <c r="L155" s="5">
        <f>+'Ciudad Conectada'!AE140</f>
        <v>0.34549523809523808</v>
      </c>
      <c r="M155" s="5">
        <f>+'Ciudad Conectada'!AI140</f>
        <v>0.2016266666666667</v>
      </c>
      <c r="N155" s="5">
        <f>+'Ciudad Conectada'!AJ140</f>
        <v>1</v>
      </c>
      <c r="O155" s="5">
        <f>+'Ciudad Conectada'!AK140</f>
        <v>1</v>
      </c>
      <c r="P155" s="33">
        <f>+'Ciudad Conectada'!AL140</f>
        <v>3.5951400000000001E-2</v>
      </c>
      <c r="Q155" s="33">
        <f>+'Ciudad Conectada'!AM140</f>
        <v>1</v>
      </c>
      <c r="R155" s="33">
        <f>+'Ciudad Conectada'!AN140</f>
        <v>1</v>
      </c>
      <c r="S155" s="25"/>
      <c r="T155" s="2"/>
      <c r="U155" s="83"/>
    </row>
    <row r="156" spans="2:21" ht="41.4" customHeight="1" x14ac:dyDescent="0.7">
      <c r="B156" s="32" t="s">
        <v>1748</v>
      </c>
      <c r="C156" s="1592"/>
      <c r="D156" s="5">
        <f>+'Ciudad Conectada'!J144</f>
        <v>0.42000000000000004</v>
      </c>
      <c r="E156" s="5">
        <f>+'Ciudad Conectada'!K144</f>
        <v>0.19</v>
      </c>
      <c r="F156" s="5">
        <f>+'Ciudad Conectada'!L144</f>
        <v>0.4</v>
      </c>
      <c r="G156" s="5">
        <f t="shared" si="68"/>
        <v>0.59000000000000008</v>
      </c>
      <c r="H156" s="5">
        <f t="shared" si="69"/>
        <v>0.85000000000000009</v>
      </c>
      <c r="I156" s="5">
        <f>+'Ciudad Conectada'!M144</f>
        <v>0.30500000000000005</v>
      </c>
      <c r="J156" s="5">
        <f>+'Ciudad Conectada'!N144</f>
        <v>0.11000000000000001</v>
      </c>
      <c r="K156" s="5">
        <f>+'Ciudad Conectada'!AD144</f>
        <v>1</v>
      </c>
      <c r="L156" s="5">
        <f>+'Ciudad Conectada'!AE144</f>
        <v>8.5000000000000006E-2</v>
      </c>
      <c r="M156" s="5">
        <f>+'Ciudad Conectada'!AI144</f>
        <v>0.4</v>
      </c>
      <c r="N156" s="5">
        <f>+'Ciudad Conectada'!AJ144</f>
        <v>0.45</v>
      </c>
      <c r="O156" s="5">
        <f>+'Ciudad Conectada'!AK144</f>
        <v>0.46200000000000002</v>
      </c>
      <c r="P156" s="33">
        <f>+'Ciudad Conectada'!AL144</f>
        <v>7.1250000000000008E-2</v>
      </c>
      <c r="Q156" s="33">
        <f>+'Ciudad Conectada'!AM144</f>
        <v>0.31250000000000006</v>
      </c>
      <c r="R156" s="33">
        <f>+'Ciudad Conectada'!AN144</f>
        <v>0.31550000000000006</v>
      </c>
      <c r="S156" s="25"/>
      <c r="T156" s="2"/>
      <c r="U156" s="83"/>
    </row>
    <row r="157" spans="2:21" ht="31.95" customHeight="1" x14ac:dyDescent="0.7">
      <c r="B157" s="32" t="s">
        <v>1749</v>
      </c>
      <c r="C157" s="1592"/>
      <c r="D157" s="5">
        <f>+'Ciudad Conectada'!J150</f>
        <v>0.14222222222222222</v>
      </c>
      <c r="E157" s="5">
        <f>+'Ciudad Conectada'!K150</f>
        <v>0.18523809523809523</v>
      </c>
      <c r="F157" s="5">
        <f>+'Ciudad Conectada'!L150</f>
        <v>0.26250000000000001</v>
      </c>
      <c r="G157" s="5">
        <f t="shared" si="68"/>
        <v>0.30523809523809525</v>
      </c>
      <c r="H157" s="5">
        <f t="shared" si="69"/>
        <v>0.67694444444444435</v>
      </c>
      <c r="I157" s="5">
        <f>+'Ciudad Conectada'!M150</f>
        <v>0.10183333333333333</v>
      </c>
      <c r="J157" s="5">
        <f>+'Ciudad Conectada'!N150</f>
        <v>0.24816666666666667</v>
      </c>
      <c r="K157" s="5">
        <f>+'Ciudad Conectada'!AD150</f>
        <v>0.83551724137931027</v>
      </c>
      <c r="L157" s="5">
        <f>+'Ciudad Conectada'!AE150</f>
        <v>7.7777777777777779E-2</v>
      </c>
      <c r="M157" s="5">
        <f>+'Ciudad Conectada'!AI150</f>
        <v>0.12000000000000001</v>
      </c>
      <c r="N157" s="5">
        <f>+'Ciudad Conectada'!AJ150</f>
        <v>0.41444444444444439</v>
      </c>
      <c r="O157" s="5">
        <f>+'Ciudad Conectada'!AK150</f>
        <v>0.39541666666666664</v>
      </c>
      <c r="P157" s="33">
        <f>+'Ciudad Conectada'!AL150</f>
        <v>2.8350000000000004E-2</v>
      </c>
      <c r="Q157" s="33">
        <f>+'Ciudad Conectada'!AM150</f>
        <v>0.58966666666666667</v>
      </c>
      <c r="R157" s="33">
        <f>+'Ciudad Conectada'!AN150</f>
        <v>0.64983333333333326</v>
      </c>
      <c r="S157" s="25"/>
      <c r="T157" s="2"/>
      <c r="U157" s="83"/>
    </row>
    <row r="158" spans="2:21" ht="67.95" customHeight="1" x14ac:dyDescent="0.7">
      <c r="B158" s="32" t="s">
        <v>1750</v>
      </c>
      <c r="C158" s="1592"/>
      <c r="D158" s="5">
        <f>+'Ciudad Conectada'!J159</f>
        <v>0</v>
      </c>
      <c r="E158" s="5">
        <f>+'Ciudad Conectada'!K159</f>
        <v>0</v>
      </c>
      <c r="F158" s="5">
        <f>+'Ciudad Conectada'!L159</f>
        <v>0.16666666666666666</v>
      </c>
      <c r="G158" s="5">
        <f t="shared" si="68"/>
        <v>0</v>
      </c>
      <c r="H158" s="5">
        <f t="shared" si="69"/>
        <v>0.16666666666666666</v>
      </c>
      <c r="I158" s="5">
        <f>+'Ciudad Conectada'!M159</f>
        <v>0</v>
      </c>
      <c r="J158" s="5">
        <f>+'Ciudad Conectada'!N159</f>
        <v>0</v>
      </c>
      <c r="K158" s="5">
        <f>+'Ciudad Conectada'!AD159</f>
        <v>0</v>
      </c>
      <c r="L158" s="5">
        <f>+'Ciudad Conectada'!AE159</f>
        <v>0.4</v>
      </c>
      <c r="M158" s="5"/>
      <c r="N158" s="5"/>
      <c r="O158" s="5"/>
      <c r="P158" s="33">
        <f>+'Ciudad Conectada'!AL159</f>
        <v>0</v>
      </c>
      <c r="Q158" s="33">
        <f>+'Ciudad Conectada'!AM159</f>
        <v>0</v>
      </c>
      <c r="R158" s="33">
        <f>+'Ciudad Conectada'!AN159</f>
        <v>0.06</v>
      </c>
      <c r="S158" s="25"/>
      <c r="T158" s="2"/>
      <c r="U158" s="83"/>
    </row>
    <row r="159" spans="2:21" ht="49.8" x14ac:dyDescent="0.7">
      <c r="B159" s="30" t="str">
        <f>+'Ciudad Conectada'!B167:B167</f>
        <v xml:space="preserve"> Integración Regional y Metropolitana
</v>
      </c>
      <c r="C159" s="1592"/>
      <c r="D159" s="23">
        <f t="shared" ref="D159:L159" si="82">+(D160)/1</f>
        <v>0</v>
      </c>
      <c r="E159" s="23">
        <f>+(E160)/1</f>
        <v>0.16666666666666666</v>
      </c>
      <c r="F159" s="23">
        <f>+(F160)/1</f>
        <v>0.18333333333333335</v>
      </c>
      <c r="G159" s="23">
        <f t="shared" si="68"/>
        <v>0.16666666666666666</v>
      </c>
      <c r="H159" s="23">
        <f t="shared" si="69"/>
        <v>0.33183333333333337</v>
      </c>
      <c r="I159" s="24">
        <f t="shared" si="82"/>
        <v>0</v>
      </c>
      <c r="J159" s="24">
        <f t="shared" si="82"/>
        <v>0</v>
      </c>
      <c r="K159" s="689">
        <f t="shared" si="82"/>
        <v>0.90000000000000013</v>
      </c>
      <c r="L159" s="689">
        <f t="shared" si="82"/>
        <v>9.0909090909090912E-2</v>
      </c>
      <c r="M159" s="3">
        <f>+(M160)/1</f>
        <v>0</v>
      </c>
      <c r="N159" s="3">
        <f>+(N160)/1</f>
        <v>0.14850000000000002</v>
      </c>
      <c r="O159" s="3">
        <f>+(O160)/1</f>
        <v>0.16500000000000004</v>
      </c>
      <c r="P159" s="81">
        <f>+(P160)</f>
        <v>0</v>
      </c>
      <c r="Q159" s="81">
        <f>+'Ciudad Conectada'!AM167</f>
        <v>4.5000000000000014E-3</v>
      </c>
      <c r="R159" s="81">
        <f>+'Ciudad Conectada'!AN167</f>
        <v>5.0000000000000018E-3</v>
      </c>
      <c r="S159" s="25"/>
      <c r="T159" s="2"/>
      <c r="U159" s="83"/>
    </row>
    <row r="160" spans="2:21" ht="54.6" customHeight="1" x14ac:dyDescent="0.7">
      <c r="B160" s="35" t="s">
        <v>1751</v>
      </c>
      <c r="C160" s="1593"/>
      <c r="D160" s="36">
        <f>+'Ciudad Conectada'!J168</f>
        <v>0</v>
      </c>
      <c r="E160" s="36">
        <f>+'Ciudad Conectada'!K168</f>
        <v>0.16666666666666666</v>
      </c>
      <c r="F160" s="36">
        <f>+'Ciudad Conectada'!L168</f>
        <v>0.18333333333333335</v>
      </c>
      <c r="G160" s="36">
        <f t="shared" si="68"/>
        <v>0.16666666666666666</v>
      </c>
      <c r="H160" s="36">
        <f t="shared" si="69"/>
        <v>0.33183333333333337</v>
      </c>
      <c r="I160" s="36">
        <f>+'Ciudad Conectada'!M168</f>
        <v>0</v>
      </c>
      <c r="J160" s="36">
        <f>+'Ciudad Conectada'!N168</f>
        <v>0</v>
      </c>
      <c r="K160" s="36">
        <f>+'Ciudad Conectada'!AD168</f>
        <v>0.90000000000000013</v>
      </c>
      <c r="L160" s="36">
        <f>+'Ciudad Conectada'!AE168</f>
        <v>9.0909090909090912E-2</v>
      </c>
      <c r="M160" s="36">
        <f>+'Ciudad Conectada'!AI168</f>
        <v>0</v>
      </c>
      <c r="N160" s="36">
        <f>+'Ciudad Conectada'!AJ168</f>
        <v>0.14850000000000002</v>
      </c>
      <c r="O160" s="1513">
        <f>+'Ciudad Conectada'!AK168</f>
        <v>0.16500000000000004</v>
      </c>
      <c r="P160" s="37">
        <f>+'Ciudad Conectada'!AL168</f>
        <v>0</v>
      </c>
      <c r="Q160" s="37">
        <f>+'Ciudad Conectada'!AM168</f>
        <v>9.0000000000000024E-2</v>
      </c>
      <c r="R160" s="37">
        <f>+'Ciudad Conectada'!AN168</f>
        <v>0.10000000000000003</v>
      </c>
      <c r="S160" s="25"/>
      <c r="T160" s="2"/>
      <c r="U160" s="83"/>
    </row>
    <row r="161" spans="2:21" ht="120" customHeight="1" x14ac:dyDescent="0.7">
      <c r="B161" s="27" t="str">
        <f>+'Innovación Pública'!B3:B3</f>
        <v xml:space="preserve"> INNOVACIÓN PÚBLICA Y PARTICIPACIÓN CIUDADANA
</v>
      </c>
      <c r="C161" s="1594">
        <v>0.08</v>
      </c>
      <c r="D161" s="28">
        <f>+'Innovación Pública'!J3</f>
        <v>0.23222048675539217</v>
      </c>
      <c r="E161" s="28">
        <f>+'Innovación Pública'!K3</f>
        <v>0.28247799844447724</v>
      </c>
      <c r="F161" s="28">
        <f>+'Innovación Pública'!L3</f>
        <v>0.29285203758620826</v>
      </c>
      <c r="G161" s="28">
        <f t="shared" si="68"/>
        <v>0.4993734663770556</v>
      </c>
      <c r="H161" s="28">
        <f t="shared" si="69"/>
        <v>0.83819641214294427</v>
      </c>
      <c r="I161" s="28">
        <f>+'Innovación Pública'!M3</f>
        <v>0.21726216822485131</v>
      </c>
      <c r="J161" s="28">
        <f>+'Innovación Pública'!N3</f>
        <v>0.25962902970153884</v>
      </c>
      <c r="K161" s="28">
        <f>+'Innovación Pública'!AD3</f>
        <v>0.88535453902418837</v>
      </c>
      <c r="L161" s="28">
        <f>+'Innovación Pública'!AE3</f>
        <v>0.25770144245140841</v>
      </c>
      <c r="M161" s="28">
        <f>+'Innovación Pública'!AI3</f>
        <v>0.21689546793257833</v>
      </c>
      <c r="N161" s="28">
        <f>+'Innovación Pública'!AJ3</f>
        <v>0.54534437455673601</v>
      </c>
      <c r="O161" s="28">
        <f>+'Innovación Pública'!AK3</f>
        <v>0.58485635336926378</v>
      </c>
      <c r="P161" s="29">
        <f>+'Innovación Pública'!AL3</f>
        <v>0.19300125399793866</v>
      </c>
      <c r="Q161" s="29">
        <f>+'Innovación Pública'!AM3</f>
        <v>0.50552782129594898</v>
      </c>
      <c r="R161" s="29">
        <f>+'Innovación Pública'!AN3</f>
        <v>0.54894144575815218</v>
      </c>
      <c r="S161" s="25"/>
      <c r="T161" s="2"/>
      <c r="U161" s="83"/>
    </row>
    <row r="162" spans="2:21" ht="87" customHeight="1" x14ac:dyDescent="0.7">
      <c r="B162" s="30" t="str">
        <f>+'Innovación Pública'!B4:B4</f>
        <v xml:space="preserve">Componente Impulsor del avance: Transparencia y Gobierno Abierto
</v>
      </c>
      <c r="C162" s="1589"/>
      <c r="D162" s="23">
        <f>+(D163+D164+D165)/2</f>
        <v>0.24124999999999999</v>
      </c>
      <c r="E162" s="23">
        <f>+(E163+E164+E165)/3</f>
        <v>0.23564814814814816</v>
      </c>
      <c r="F162" s="23">
        <f>+(F163+F164+F165)/3</f>
        <v>0.28537037037037033</v>
      </c>
      <c r="G162" s="23">
        <f t="shared" si="68"/>
        <v>0.44564814814814813</v>
      </c>
      <c r="H162" s="23">
        <f t="shared" si="69"/>
        <v>0.6911759259259258</v>
      </c>
      <c r="I162" s="24">
        <f>+(I163+I164+I165)/2</f>
        <v>0.24783333333333332</v>
      </c>
      <c r="J162" s="24">
        <f t="shared" ref="J162" si="83">+(J163+J164+J165)/2</f>
        <v>0.26858333333333329</v>
      </c>
      <c r="K162" s="689">
        <f>+(K163+K164+K165)/3</f>
        <v>0.77777777777777768</v>
      </c>
      <c r="L162" s="689">
        <f>+(L163+L164+L165)/3</f>
        <v>0.3129365079365079</v>
      </c>
      <c r="M162" s="3">
        <f>+(M163+M164+M165)/2</f>
        <v>0.21</v>
      </c>
      <c r="N162" s="3">
        <f>+(N163+N164+N165)/3</f>
        <v>0.40580555555555553</v>
      </c>
      <c r="O162" s="3">
        <f>+(O163+O164+O165)/3</f>
        <v>0.43897222222222226</v>
      </c>
      <c r="P162" s="24">
        <f>+(P163+P164+P165)</f>
        <v>0.15870000000000001</v>
      </c>
      <c r="Q162" s="24">
        <f>+'Innovación Pública'!AM4</f>
        <v>0.41844000000000003</v>
      </c>
      <c r="R162" s="24">
        <f>+'Innovación Pública'!AN4</f>
        <v>0.44303999999999999</v>
      </c>
      <c r="S162" s="25"/>
      <c r="T162" s="2"/>
      <c r="U162" s="83"/>
    </row>
    <row r="163" spans="2:21" ht="60" customHeight="1" x14ac:dyDescent="0.7">
      <c r="B163" s="32" t="s">
        <v>1752</v>
      </c>
      <c r="C163" s="1589"/>
      <c r="D163" s="5">
        <f>+'Innovación Pública'!J5</f>
        <v>0</v>
      </c>
      <c r="E163" s="5">
        <f>+'Innovación Pública'!K5</f>
        <v>0.30444444444444446</v>
      </c>
      <c r="F163" s="5">
        <f>+'Innovación Pública'!L5</f>
        <v>0.34611111111111109</v>
      </c>
      <c r="G163" s="5">
        <f t="shared" si="68"/>
        <v>0.30444444444444446</v>
      </c>
      <c r="H163" s="5">
        <f t="shared" si="69"/>
        <v>0.46161111111111108</v>
      </c>
      <c r="I163" s="5">
        <f>+'Innovación Pública'!M5</f>
        <v>0</v>
      </c>
      <c r="J163" s="5">
        <f>+'Innovación Pública'!N5</f>
        <v>0.13749999999999998</v>
      </c>
      <c r="K163" s="5">
        <f>+'Innovación Pública'!AD5</f>
        <v>0.33333333333333331</v>
      </c>
      <c r="L163" s="5">
        <f>+'Innovación Pública'!AE5</f>
        <v>0</v>
      </c>
      <c r="M163" s="5">
        <f>+'Innovación Pública'!AI5</f>
        <v>0</v>
      </c>
      <c r="N163" s="5">
        <f>+'Innovación Pública'!AJ5</f>
        <v>0.11549999999999999</v>
      </c>
      <c r="O163" s="5">
        <f>+'Innovación Pública'!AK5</f>
        <v>0.11666666666666665</v>
      </c>
      <c r="P163" s="33">
        <f>+'Innovación Pública'!AL5</f>
        <v>0</v>
      </c>
      <c r="Q163" s="33">
        <f>+'Innovación Pública'!AM5</f>
        <v>0.12249999999999998</v>
      </c>
      <c r="R163" s="33">
        <f>+'Innovación Pública'!AN5</f>
        <v>0.12249999999999998</v>
      </c>
      <c r="S163" s="25"/>
      <c r="T163" s="2"/>
      <c r="U163" s="83"/>
    </row>
    <row r="164" spans="2:21" ht="44.4" customHeight="1" x14ac:dyDescent="0.7">
      <c r="B164" s="32" t="s">
        <v>1753</v>
      </c>
      <c r="C164" s="1589"/>
      <c r="D164" s="5">
        <f>+'Innovación Pública'!J9</f>
        <v>0.25</v>
      </c>
      <c r="E164" s="5">
        <f>+'Innovación Pública'!K9</f>
        <v>0.25</v>
      </c>
      <c r="F164" s="5">
        <f>+'Innovación Pública'!L9</f>
        <v>0.1875</v>
      </c>
      <c r="G164" s="5">
        <f t="shared" si="68"/>
        <v>0.4375</v>
      </c>
      <c r="H164" s="5">
        <f t="shared" si="69"/>
        <v>0.8125</v>
      </c>
      <c r="I164" s="5">
        <f>+'Innovación Pública'!M9</f>
        <v>0.25</v>
      </c>
      <c r="J164" s="5">
        <f>+'Innovación Pública'!N9</f>
        <v>0.25</v>
      </c>
      <c r="K164" s="5">
        <f>+'Innovación Pública'!AD9</f>
        <v>1</v>
      </c>
      <c r="L164" s="5">
        <f>+'Innovación Pública'!AE9</f>
        <v>0.5</v>
      </c>
      <c r="M164" s="5">
        <f>+'Innovación Pública'!AI9</f>
        <v>0.1875</v>
      </c>
      <c r="N164" s="5">
        <f>+'Innovación Pública'!AJ9</f>
        <v>0.625</v>
      </c>
      <c r="O164" s="5">
        <f>+'Innovación Pública'!AK9</f>
        <v>0.6875</v>
      </c>
      <c r="P164" s="33">
        <f>+'Innovación Pública'!AL9</f>
        <v>8.5000000000000006E-2</v>
      </c>
      <c r="Q164" s="33">
        <f>+'Innovación Pública'!AM9</f>
        <v>0.57499999999999996</v>
      </c>
      <c r="R164" s="33">
        <f>+'Innovación Pública'!AN9</f>
        <v>0.61250000000000004</v>
      </c>
      <c r="S164" s="25"/>
      <c r="T164" s="2"/>
      <c r="U164" s="83"/>
    </row>
    <row r="165" spans="2:21" ht="38.4" customHeight="1" x14ac:dyDescent="0.7">
      <c r="B165" s="32" t="s">
        <v>1754</v>
      </c>
      <c r="C165" s="1589"/>
      <c r="D165" s="5">
        <f>+'Innovación Pública'!J12</f>
        <v>0.23249999999999998</v>
      </c>
      <c r="E165" s="5">
        <f>+'Innovación Pública'!K12</f>
        <v>0.1525</v>
      </c>
      <c r="F165" s="5">
        <f>+'Innovación Pública'!L12</f>
        <v>0.32250000000000001</v>
      </c>
      <c r="G165" s="5">
        <f t="shared" si="68"/>
        <v>0.38500000000000001</v>
      </c>
      <c r="H165" s="5">
        <f t="shared" si="69"/>
        <v>0.79941666666666666</v>
      </c>
      <c r="I165" s="5">
        <f>+'Innovación Pública'!M12</f>
        <v>0.24566666666666664</v>
      </c>
      <c r="J165" s="5">
        <f>+'Innovación Pública'!N12</f>
        <v>0.14966666666666667</v>
      </c>
      <c r="K165" s="5">
        <f>+'Innovación Pública'!AD12</f>
        <v>1</v>
      </c>
      <c r="L165" s="5">
        <f>+'Innovación Pública'!AE12</f>
        <v>0.43880952380952382</v>
      </c>
      <c r="M165" s="5">
        <f>+'Innovación Pública'!AI12</f>
        <v>0.23249999999999998</v>
      </c>
      <c r="N165" s="5">
        <f>+'Innovación Pública'!AJ12</f>
        <v>0.47691666666666666</v>
      </c>
      <c r="O165" s="5">
        <f>+'Innovación Pública'!AK12</f>
        <v>0.51275000000000004</v>
      </c>
      <c r="P165" s="33">
        <f>+'Innovación Pública'!AL12</f>
        <v>7.3699999999999988E-2</v>
      </c>
      <c r="Q165" s="33">
        <f>+'Innovación Pública'!AM12</f>
        <v>0.50563333333333338</v>
      </c>
      <c r="R165" s="33">
        <f>+'Innovación Pública'!AN12</f>
        <v>0.53763333333333341</v>
      </c>
      <c r="S165" s="25"/>
      <c r="T165" s="2"/>
      <c r="U165" s="83"/>
    </row>
    <row r="166" spans="2:21" ht="124.2" customHeight="1" x14ac:dyDescent="0.7">
      <c r="B166" s="30" t="str">
        <f>+'Innovación Pública'!B17:B17</f>
        <v xml:space="preserve">Fortalecimiento Institucional e Innovación Administrativa
</v>
      </c>
      <c r="C166" s="1589"/>
      <c r="D166" s="23">
        <f>+(D167+D168+D169+D170+D171+D172+D173+D174)/6</f>
        <v>0.19706348655814188</v>
      </c>
      <c r="E166" s="23">
        <f>+(E167+E168+E169+E170+E171+E172+E173+E174)/8</f>
        <v>0.26909331873479403</v>
      </c>
      <c r="F166" s="23">
        <f>+(F167+F168+F169+F170+F171+F172+F173+F174)/8</f>
        <v>0.32124337991608437</v>
      </c>
      <c r="G166" s="23">
        <f t="shared" si="68"/>
        <v>0.4688387775963947</v>
      </c>
      <c r="H166" s="23">
        <f t="shared" si="69"/>
        <v>0.78791252215759355</v>
      </c>
      <c r="I166" s="24">
        <f>+(I167+I168+I169+I170+I171+I172+I173+I174)/6</f>
        <v>0.16739826874293517</v>
      </c>
      <c r="J166" s="24">
        <f t="shared" ref="J166" si="84">+(J167+J168+J169+J170+J171+J172+J173+J174)/6</f>
        <v>0.351193038594735</v>
      </c>
      <c r="K166" s="689">
        <f>+(K167+K168+K169+K170+K171+K172+K173+K174)/8</f>
        <v>0.80490114379084976</v>
      </c>
      <c r="L166" s="689">
        <f>+(L167+L168+L169+L170+L171+L172+L173+L174)/8</f>
        <v>0.2321691666666667</v>
      </c>
      <c r="M166" s="88">
        <f>+(M167+M168+M169+M170+M171+M172+M173+M174)/6</f>
        <v>0.19974545886160069</v>
      </c>
      <c r="N166" s="88">
        <f>+(N167+N168+N169+N170+N171+N172+N173+N174)/8</f>
        <v>0.46666914224150913</v>
      </c>
      <c r="O166" s="88">
        <f>+(O167+O168+O169+O170+O171+O172+O173+O174)/8</f>
        <v>0.53328062515392005</v>
      </c>
      <c r="P166" s="81">
        <f>+(P167+P168+P169+P170+P171+P172+P173+P174)</f>
        <v>0.14653217466808169</v>
      </c>
      <c r="Q166" s="81">
        <f>+'Innovación Pública'!AM17</f>
        <v>0.52144215270407368</v>
      </c>
      <c r="R166" s="81">
        <f>+'Innovación Pública'!AN17</f>
        <v>0.57272250232279487</v>
      </c>
      <c r="S166" s="25"/>
      <c r="T166" s="2"/>
      <c r="U166" s="83"/>
    </row>
    <row r="167" spans="2:21" ht="57" customHeight="1" x14ac:dyDescent="0.7">
      <c r="B167" s="32" t="s">
        <v>1755</v>
      </c>
      <c r="C167" s="1589"/>
      <c r="D167" s="5">
        <f>+'Innovación Pública'!J18</f>
        <v>0.27777777777777773</v>
      </c>
      <c r="E167" s="5">
        <f>+'Innovación Pública'!K18</f>
        <v>0.29083333333333333</v>
      </c>
      <c r="F167" s="5">
        <f>+'Innovación Pública'!L18</f>
        <v>0.27666666666666667</v>
      </c>
      <c r="G167" s="5">
        <f t="shared" si="68"/>
        <v>0.56861111111111107</v>
      </c>
      <c r="H167" s="5">
        <f t="shared" si="69"/>
        <v>0.90484166666666654</v>
      </c>
      <c r="I167" s="5">
        <f>+'Innovación Pública'!M18</f>
        <v>0.27083333333333337</v>
      </c>
      <c r="J167" s="5">
        <f>+'Innovación Pública'!N18</f>
        <v>0.28733333333333333</v>
      </c>
      <c r="K167" s="5">
        <f>+'Innovación Pública'!AD18</f>
        <v>1</v>
      </c>
      <c r="L167" s="5">
        <f>+'Innovación Pública'!AE18</f>
        <v>0.26250000000000001</v>
      </c>
      <c r="M167" s="5">
        <f>+'Innovación Pública'!AI18</f>
        <v>0.27777777777777773</v>
      </c>
      <c r="N167" s="5">
        <f>+'Innovación Pública'!AJ18</f>
        <v>0.62817499999999993</v>
      </c>
      <c r="O167" s="5">
        <f>+'Innovación Pública'!AK18</f>
        <v>0.76317499999999994</v>
      </c>
      <c r="P167" s="33">
        <f>+'Innovación Pública'!AL18</f>
        <v>4.0625000000000001E-2</v>
      </c>
      <c r="Q167" s="33">
        <f>+'Innovación Pública'!AM18</f>
        <v>0.70063500000000001</v>
      </c>
      <c r="R167" s="33">
        <f>+'Innovación Pública'!AN18</f>
        <v>0.75575999999999999</v>
      </c>
      <c r="S167" s="25"/>
      <c r="T167" s="2"/>
      <c r="U167" s="83"/>
    </row>
    <row r="168" spans="2:21" ht="40.200000000000003" customHeight="1" x14ac:dyDescent="0.7">
      <c r="B168" s="32" t="s">
        <v>1756</v>
      </c>
      <c r="C168" s="1589"/>
      <c r="D168" s="5">
        <f>+'Innovación Pública'!J23</f>
        <v>0.25</v>
      </c>
      <c r="E168" s="5">
        <f>+'Innovación Pública'!K23</f>
        <v>0.25</v>
      </c>
      <c r="F168" s="5">
        <f>+'Innovación Pública'!L23</f>
        <v>0.25</v>
      </c>
      <c r="G168" s="5">
        <f t="shared" si="68"/>
        <v>0.5</v>
      </c>
      <c r="H168" s="5">
        <f t="shared" si="69"/>
        <v>0.78749999999999998</v>
      </c>
      <c r="I168" s="5">
        <f>+'Innovación Pública'!M23</f>
        <v>0.25</v>
      </c>
      <c r="J168" s="5">
        <f>+'Innovación Pública'!N23</f>
        <v>0.25</v>
      </c>
      <c r="K168" s="5">
        <f>+'Innovación Pública'!AD23</f>
        <v>1</v>
      </c>
      <c r="L168" s="5">
        <f>+'Innovación Pública'!AE23</f>
        <v>0.125</v>
      </c>
      <c r="M168" s="5">
        <f>+'Innovación Pública'!AI23</f>
        <v>0.25</v>
      </c>
      <c r="N168" s="5">
        <f>+'Innovación Pública'!AJ23</f>
        <v>0.53749999999999998</v>
      </c>
      <c r="O168" s="5">
        <f>+'Innovación Pública'!AK23</f>
        <v>0.56874999999999998</v>
      </c>
      <c r="P168" s="33">
        <f>+'Innovación Pública'!AL23</f>
        <v>1.2500000000000001E-2</v>
      </c>
      <c r="Q168" s="33">
        <f>+'Innovación Pública'!AM23</f>
        <v>0.55999999999999994</v>
      </c>
      <c r="R168" s="33">
        <f>+'Innovación Pública'!AN23</f>
        <v>0.61</v>
      </c>
      <c r="S168" s="25"/>
      <c r="T168" s="2"/>
      <c r="U168" s="83"/>
    </row>
    <row r="169" spans="2:21" ht="46.95" customHeight="1" x14ac:dyDescent="0.7">
      <c r="B169" s="32" t="s">
        <v>1757</v>
      </c>
      <c r="C169" s="1589"/>
      <c r="D169" s="5">
        <f>+'Innovación Pública'!J26</f>
        <v>0.20186882933709449</v>
      </c>
      <c r="E169" s="5">
        <f>+'Innovación Pública'!K26</f>
        <v>0.27736248236953459</v>
      </c>
      <c r="F169" s="5">
        <f>+'Innovación Pública'!L26</f>
        <v>0.27736248236953459</v>
      </c>
      <c r="G169" s="5">
        <f t="shared" si="68"/>
        <v>0.44984720263281619</v>
      </c>
      <c r="H169" s="5">
        <f t="shared" si="69"/>
        <v>0.83325497570913654</v>
      </c>
      <c r="I169" s="5">
        <f>+'Innovación Pública'!M26</f>
        <v>0.17686882933709452</v>
      </c>
      <c r="J169" s="5">
        <f>+'Innovación Pública'!N26</f>
        <v>0.24104372355430184</v>
      </c>
      <c r="K169" s="5">
        <f>+'Innovación Pública'!AD26</f>
        <v>1</v>
      </c>
      <c r="L169" s="5">
        <f>+'Innovación Pública'!AE26</f>
        <v>0.52</v>
      </c>
      <c r="M169" s="5">
        <f>+'Innovación Pública'!AI26</f>
        <v>0.17248472026328163</v>
      </c>
      <c r="N169" s="5">
        <f>+'Innovación Pública'!AJ26</f>
        <v>0.555892493339602</v>
      </c>
      <c r="O169" s="5">
        <f>+'Innovación Pública'!AK26</f>
        <v>0.74498354489891871</v>
      </c>
      <c r="P169" s="33">
        <f>+'Innovación Pública'!AL26</f>
        <v>2.9496944052656328E-2</v>
      </c>
      <c r="Q169" s="33">
        <f>+'Innovación Pública'!AM26</f>
        <v>0.53483874000940301</v>
      </c>
      <c r="R169" s="33">
        <f>+'Innovación Pública'!AN26</f>
        <v>0.64214198401504463</v>
      </c>
      <c r="S169" s="25"/>
      <c r="T169" s="2"/>
      <c r="U169" s="83"/>
    </row>
    <row r="170" spans="2:21" ht="46.2" customHeight="1" x14ac:dyDescent="0.7">
      <c r="B170" s="32" t="s">
        <v>1758</v>
      </c>
      <c r="C170" s="1589"/>
      <c r="D170" s="5">
        <f>+'Innovación Pública'!J30</f>
        <v>0.06</v>
      </c>
      <c r="E170" s="5">
        <f>+'Innovación Pública'!K30</f>
        <v>0.06</v>
      </c>
      <c r="F170" s="5">
        <f>+'Innovación Pública'!L30</f>
        <v>0.25</v>
      </c>
      <c r="G170" s="5">
        <f t="shared" si="68"/>
        <v>0.21</v>
      </c>
      <c r="H170" s="5">
        <f t="shared" si="69"/>
        <v>0.87375999999999998</v>
      </c>
      <c r="I170" s="5">
        <f>+'Innovación Pública'!M30</f>
        <v>0.06</v>
      </c>
      <c r="J170" s="5">
        <f>+'Innovación Pública'!N30</f>
        <v>0.06</v>
      </c>
      <c r="K170" s="5">
        <f>+'Innovación Pública'!AD30</f>
        <v>1</v>
      </c>
      <c r="L170" s="5">
        <f>+'Innovación Pública'!AE30</f>
        <v>0.25</v>
      </c>
      <c r="M170" s="5">
        <f>+'Innovación Pública'!AI30</f>
        <v>0.15</v>
      </c>
      <c r="N170" s="5">
        <f>+'Innovación Pública'!AJ30</f>
        <v>0.62375999999999998</v>
      </c>
      <c r="O170" s="5">
        <f>+'Innovación Pública'!AK30</f>
        <v>0.65019760000000004</v>
      </c>
      <c r="P170" s="33">
        <f>+'Innovación Pública'!AL30</f>
        <v>4.4999999999999998E-2</v>
      </c>
      <c r="Q170" s="33">
        <f>+'Innovación Pública'!AM30</f>
        <v>0.62375999999999998</v>
      </c>
      <c r="R170" s="33">
        <f>+'Innovación Pública'!AN30</f>
        <v>0.65019760000000004</v>
      </c>
      <c r="S170" s="25"/>
      <c r="T170" s="2"/>
      <c r="U170" s="83"/>
    </row>
    <row r="171" spans="2:21" ht="44.4" customHeight="1" x14ac:dyDescent="0.7">
      <c r="B171" s="32" t="s">
        <v>1759</v>
      </c>
      <c r="C171" s="1589"/>
      <c r="D171" s="5">
        <f>+'Innovación Pública'!J32</f>
        <v>0</v>
      </c>
      <c r="E171" s="5">
        <f>+'Innovación Pública'!K32</f>
        <v>0.76666666666666661</v>
      </c>
      <c r="F171" s="5">
        <f>+'Innovación Pública'!L32</f>
        <v>0.5</v>
      </c>
      <c r="G171" s="5">
        <f t="shared" si="68"/>
        <v>0.76666666666666661</v>
      </c>
      <c r="H171" s="5">
        <v>1</v>
      </c>
      <c r="I171" s="5">
        <f>+'Innovación Pública'!M32</f>
        <v>0</v>
      </c>
      <c r="J171" s="5">
        <f>+'Innovación Pública'!N32</f>
        <v>0.72</v>
      </c>
      <c r="K171" s="5">
        <f>+'Innovación Pública'!AD32</f>
        <v>0.66666666666666663</v>
      </c>
      <c r="L171" s="5">
        <f>+'Innovación Pública'!AE32</f>
        <v>0.4</v>
      </c>
      <c r="M171" s="5">
        <f>+'Innovación Pública'!AI32</f>
        <v>0</v>
      </c>
      <c r="N171" s="5">
        <f>+'Innovación Pública'!AJ32</f>
        <v>0.66666666666666663</v>
      </c>
      <c r="O171" s="5">
        <f>+'Innovación Pública'!AK32</f>
        <v>0.73333333333333339</v>
      </c>
      <c r="P171" s="33">
        <f>+'Innovación Pública'!AL32</f>
        <v>0</v>
      </c>
      <c r="Q171" s="33">
        <f>+'Innovación Pública'!AM32</f>
        <v>0.6</v>
      </c>
      <c r="R171" s="33">
        <f>+'Innovación Pública'!AN32</f>
        <v>0.67999999999999994</v>
      </c>
      <c r="S171" s="25"/>
      <c r="T171" s="2"/>
      <c r="U171" s="83"/>
    </row>
    <row r="172" spans="2:21" ht="53.4" customHeight="1" x14ac:dyDescent="0.7">
      <c r="B172" s="32" t="s">
        <v>1760</v>
      </c>
      <c r="C172" s="1589"/>
      <c r="D172" s="5">
        <f>+'Innovación Pública'!J36</f>
        <v>0.22500000000000001</v>
      </c>
      <c r="E172" s="5">
        <f>+'Innovación Pública'!K36</f>
        <v>0.33</v>
      </c>
      <c r="F172" s="5">
        <f>+'Innovación Pública'!L36</f>
        <v>0.31666666666666665</v>
      </c>
      <c r="G172" s="5">
        <f t="shared" si="68"/>
        <v>0.505</v>
      </c>
      <c r="H172" s="5">
        <f t="shared" si="69"/>
        <v>0.74666666666666659</v>
      </c>
      <c r="I172" s="5">
        <f>+'Innovación Pública'!M36</f>
        <v>0.16250000000000001</v>
      </c>
      <c r="J172" s="5">
        <f>+'Innovación Pública'!N36</f>
        <v>0.34750000000000003</v>
      </c>
      <c r="K172" s="5">
        <f>+'Innovación Pública'!AD36</f>
        <v>0.91176470588235292</v>
      </c>
      <c r="L172" s="5">
        <f>+'Innovación Pública'!AE36</f>
        <v>0.25333333333333335</v>
      </c>
      <c r="M172" s="5">
        <f>+'Innovación Pública'!AI36</f>
        <v>0.17499999999999999</v>
      </c>
      <c r="N172" s="5">
        <f>+'Innovación Pública'!AJ36</f>
        <v>0.43</v>
      </c>
      <c r="O172" s="5">
        <f>+'Innovación Pública'!AK36</f>
        <v>0.4956666666666667</v>
      </c>
      <c r="P172" s="33">
        <f>+'Innovación Pública'!AL36</f>
        <v>5.6250000000000007E-3</v>
      </c>
      <c r="Q172" s="33">
        <f>+'Innovación Pública'!AM36</f>
        <v>0.45749999999999996</v>
      </c>
      <c r="R172" s="33">
        <f>+'Innovación Pública'!AN36</f>
        <v>0.52974999999999994</v>
      </c>
      <c r="S172" s="25"/>
      <c r="T172" s="2"/>
      <c r="U172" s="83"/>
    </row>
    <row r="173" spans="2:21" ht="39" customHeight="1" x14ac:dyDescent="0.7">
      <c r="B173" s="32" t="s">
        <v>1761</v>
      </c>
      <c r="C173" s="1589"/>
      <c r="D173" s="5">
        <f>+'Innovación Pública'!J40</f>
        <v>0</v>
      </c>
      <c r="E173" s="5">
        <f>+'Innovación Pública'!K40</f>
        <v>0</v>
      </c>
      <c r="F173" s="5">
        <f>+'Innovación Pública'!L40</f>
        <v>0.5</v>
      </c>
      <c r="G173" s="5">
        <f t="shared" si="68"/>
        <v>0</v>
      </c>
      <c r="H173" s="5">
        <f t="shared" si="69"/>
        <v>0.55000000000000004</v>
      </c>
      <c r="I173" s="5">
        <f>+'Innovación Pública'!M40</f>
        <v>0</v>
      </c>
      <c r="J173" s="5">
        <f>+'Innovación Pública'!N40</f>
        <v>0</v>
      </c>
      <c r="K173" s="5">
        <f>+'Innovación Pública'!AD40</f>
        <v>0</v>
      </c>
      <c r="L173" s="5">
        <f>+'Innovación Pública'!AE40</f>
        <v>0</v>
      </c>
      <c r="M173" s="5">
        <f>+'Innovación Pública'!AI40</f>
        <v>0</v>
      </c>
      <c r="N173" s="5">
        <f>+'Innovación Pública'!AJ40</f>
        <v>0.05</v>
      </c>
      <c r="O173" s="5">
        <f>+'Innovación Pública'!AK40</f>
        <v>0.05</v>
      </c>
      <c r="P173" s="33">
        <f>+'Innovación Pública'!AL40</f>
        <v>0</v>
      </c>
      <c r="Q173" s="33">
        <f>+'Innovación Pública'!AM40</f>
        <v>0.05</v>
      </c>
      <c r="R173" s="33">
        <f>+'Innovación Pública'!AN40</f>
        <v>0.05</v>
      </c>
      <c r="S173" s="25"/>
      <c r="T173" s="2"/>
      <c r="U173" s="83"/>
    </row>
    <row r="174" spans="2:21" ht="43.95" customHeight="1" x14ac:dyDescent="0.7">
      <c r="B174" s="32" t="s">
        <v>1762</v>
      </c>
      <c r="C174" s="1589"/>
      <c r="D174" s="5">
        <f>+'Innovación Pública'!J43</f>
        <v>0.16773431223397892</v>
      </c>
      <c r="E174" s="5">
        <f>+'Innovación Pública'!K43</f>
        <v>0.17788406750881749</v>
      </c>
      <c r="F174" s="5">
        <f>+'Innovación Pública'!L43</f>
        <v>0.19925122362580694</v>
      </c>
      <c r="G174" s="5">
        <f t="shared" si="68"/>
        <v>0.35109432263736229</v>
      </c>
      <c r="H174" s="5">
        <f t="shared" si="69"/>
        <v>0.44061020155161162</v>
      </c>
      <c r="I174" s="5">
        <f>+'Innovación Pública'!M43</f>
        <v>8.4187449787183122E-2</v>
      </c>
      <c r="J174" s="5">
        <f>+'Innovación Pública'!N43</f>
        <v>0.20128117468077469</v>
      </c>
      <c r="K174" s="5">
        <f>+'Innovación Pública'!AD43</f>
        <v>0.86077777777777786</v>
      </c>
      <c r="L174" s="5">
        <f>+'Innovación Pública'!AE43</f>
        <v>4.6520000000000006E-2</v>
      </c>
      <c r="M174" s="5">
        <f>+'Innovación Pública'!AI43</f>
        <v>0.17321025512854482</v>
      </c>
      <c r="N174" s="5">
        <f>+'Innovación Pública'!AJ43</f>
        <v>0.24135897792580469</v>
      </c>
      <c r="O174" s="5">
        <f>+'Innovación Pública'!AK43</f>
        <v>0.2601388563324416</v>
      </c>
      <c r="P174" s="33">
        <f>+'Innovación Pública'!AL43</f>
        <v>1.3285230615425379E-2</v>
      </c>
      <c r="Q174" s="33">
        <f>+'Innovación Pública'!AM43</f>
        <v>0.25917436468128752</v>
      </c>
      <c r="R174" s="33">
        <f>+'Innovación Pública'!AN43</f>
        <v>0.28255550346523994</v>
      </c>
      <c r="S174" s="25"/>
      <c r="T174" s="2"/>
      <c r="U174" s="83"/>
    </row>
    <row r="175" spans="2:21" ht="82.95" customHeight="1" x14ac:dyDescent="0.7">
      <c r="B175" s="30" t="str">
        <f>+'Innovación Pública'!B48:B48</f>
        <v xml:space="preserve"> Finanzas Públicas
</v>
      </c>
      <c r="C175" s="1589"/>
      <c r="D175" s="23">
        <f>+(D176+D177)</f>
        <v>0.22689134534516447</v>
      </c>
      <c r="E175" s="23">
        <f>+(E176+E177)/2</f>
        <v>0.2540275605253442</v>
      </c>
      <c r="F175" s="23">
        <f>+(F176+F177)/2</f>
        <v>0.31631974529991125</v>
      </c>
      <c r="G175" s="23">
        <f t="shared" si="68"/>
        <v>0.50982794224574346</v>
      </c>
      <c r="H175" s="23">
        <v>1</v>
      </c>
      <c r="I175" s="24">
        <f t="shared" ref="I175:P175" si="85">+(I176+I177)</f>
        <v>0.22571301967260979</v>
      </c>
      <c r="J175" s="24">
        <f>+(J176+J177)/2</f>
        <v>0.25432469935214241</v>
      </c>
      <c r="K175" s="689">
        <f>+(K176+K177)/2</f>
        <v>0.99113502988969038</v>
      </c>
      <c r="L175" s="689">
        <f>+(L176+L177)/2</f>
        <v>0.40019861695551479</v>
      </c>
      <c r="M175" s="3">
        <f t="shared" si="85"/>
        <v>0.25580038172039926</v>
      </c>
      <c r="N175" s="3">
        <f>+(N176+N177)/2</f>
        <v>0.77712521124768763</v>
      </c>
      <c r="O175" s="3">
        <f>+(O176+O177)/2</f>
        <v>0.79732721065676904</v>
      </c>
      <c r="P175" s="81">
        <f t="shared" si="85"/>
        <v>0.22738216072471779</v>
      </c>
      <c r="Q175" s="81">
        <f>+'Innovación Pública'!AM48</f>
        <v>0.53668886120066794</v>
      </c>
      <c r="R175" s="81">
        <f>+'Innovación Pública'!AN48</f>
        <v>0.56985589212523613</v>
      </c>
      <c r="S175" s="25"/>
      <c r="T175" s="2"/>
      <c r="U175" s="83"/>
    </row>
    <row r="176" spans="2:21" ht="44.4" customHeight="1" x14ac:dyDescent="0.7">
      <c r="B176" s="32" t="s">
        <v>1763</v>
      </c>
      <c r="C176" s="1589"/>
      <c r="D176" s="5">
        <f>+'Innovación Pública'!J49</f>
        <v>0.22689134534516447</v>
      </c>
      <c r="E176" s="5">
        <f>+'Innovación Pública'!K49</f>
        <v>0.2580551210506884</v>
      </c>
      <c r="F176" s="5">
        <f>+'Innovación Pública'!L49</f>
        <v>0.25763949059982244</v>
      </c>
      <c r="G176" s="5">
        <f t="shared" si="68"/>
        <v>0.5138555027710876</v>
      </c>
      <c r="H176" s="5">
        <f t="shared" si="69"/>
        <v>0.81188991309519754</v>
      </c>
      <c r="I176" s="5">
        <f>+'Innovación Pública'!M49</f>
        <v>0.22571301967260979</v>
      </c>
      <c r="J176" s="5">
        <f>+'Innovación Pública'!N49</f>
        <v>0.25864939870428477</v>
      </c>
      <c r="K176" s="5">
        <f>+'Innovación Pública'!AD49</f>
        <v>0.98227005977938087</v>
      </c>
      <c r="L176" s="5">
        <f>+'Innovación Pública'!AE49</f>
        <v>0.13373056724436294</v>
      </c>
      <c r="M176" s="5">
        <f>+'Innovación Pública'!AI49</f>
        <v>0.25580038172039926</v>
      </c>
      <c r="N176" s="5">
        <f>+'Innovación Pública'!AJ49</f>
        <v>0.55425042249537515</v>
      </c>
      <c r="O176" s="5">
        <f>+'Innovación Pública'!AK49</f>
        <v>0.59465442131353807</v>
      </c>
      <c r="P176" s="33">
        <f>+'Innovación Pública'!AL49</f>
        <v>0.22738216072471779</v>
      </c>
      <c r="Q176" s="33">
        <f>+'Innovación Pública'!AM49</f>
        <v>0.51230406442175569</v>
      </c>
      <c r="R176" s="33">
        <f>+'Innovación Pública'!AN49</f>
        <v>0.54721672855288006</v>
      </c>
      <c r="S176" s="25"/>
      <c r="T176" s="2"/>
      <c r="U176" s="83"/>
    </row>
    <row r="177" spans="2:21" ht="31.2" customHeight="1" x14ac:dyDescent="0.7">
      <c r="B177" s="32" t="s">
        <v>1764</v>
      </c>
      <c r="C177" s="1589"/>
      <c r="D177" s="5">
        <f>+'Innovación Pública'!J55</f>
        <v>0</v>
      </c>
      <c r="E177" s="5">
        <f>+'Innovación Pública'!K55</f>
        <v>0.25</v>
      </c>
      <c r="F177" s="5">
        <f>+'Innovación Pública'!L55</f>
        <v>0.375</v>
      </c>
      <c r="G177" s="5">
        <f t="shared" si="68"/>
        <v>0.25</v>
      </c>
      <c r="H177" s="5">
        <v>1</v>
      </c>
      <c r="I177" s="5">
        <f>+'Innovación Pública'!M55</f>
        <v>0</v>
      </c>
      <c r="J177" s="5">
        <f>+'Innovación Pública'!N55</f>
        <v>0.25</v>
      </c>
      <c r="K177" s="5">
        <f>+'Innovación Pública'!AD55</f>
        <v>1</v>
      </c>
      <c r="L177" s="5">
        <f>+'Innovación Pública'!AE55</f>
        <v>0.66666666666666663</v>
      </c>
      <c r="M177" s="5">
        <f>+'Innovación Pública'!AI55</f>
        <v>0</v>
      </c>
      <c r="N177" s="5">
        <f>+'Innovación Pública'!AJ55</f>
        <v>1</v>
      </c>
      <c r="O177" s="5">
        <f>+'Innovación Pública'!AK55</f>
        <v>1</v>
      </c>
      <c r="P177" s="33">
        <f>+'Innovación Pública'!AL55</f>
        <v>0</v>
      </c>
      <c r="Q177" s="33">
        <f>+'Innovación Pública'!AM55</f>
        <v>1</v>
      </c>
      <c r="R177" s="33">
        <f>+'Innovación Pública'!AN55</f>
        <v>1</v>
      </c>
      <c r="S177" s="25"/>
      <c r="T177" s="2"/>
      <c r="U177" s="83"/>
    </row>
    <row r="178" spans="2:21" ht="76.95" customHeight="1" x14ac:dyDescent="0.7">
      <c r="B178" s="30" t="str">
        <f>+'Innovación Pública'!B57:B57</f>
        <v xml:space="preserve">Cultura Ciudadana
</v>
      </c>
      <c r="C178" s="1589"/>
      <c r="D178" s="23">
        <f t="shared" ref="D178:I178" si="86">+(D179+D180+D181+D182+D183)/5</f>
        <v>0.22780333900383748</v>
      </c>
      <c r="E178" s="23">
        <f t="shared" si="86"/>
        <v>0.28056602016325777</v>
      </c>
      <c r="F178" s="23">
        <f t="shared" ref="F178" si="87">+(F179+F180+F181+F182+F183)/5</f>
        <v>0.26023108128601757</v>
      </c>
      <c r="G178" s="23">
        <f t="shared" si="68"/>
        <v>0.5349577019952263</v>
      </c>
      <c r="H178" s="23">
        <f t="shared" si="69"/>
        <v>0.78367528616265114</v>
      </c>
      <c r="I178" s="24">
        <f t="shared" si="86"/>
        <v>0.22258316849309651</v>
      </c>
      <c r="J178" s="24">
        <f t="shared" ref="J178:K178" si="88">+(J179+J180+J181+J182+J183)/5</f>
        <v>0.27229331342063273</v>
      </c>
      <c r="K178" s="689">
        <f t="shared" si="88"/>
        <v>1</v>
      </c>
      <c r="L178" s="689">
        <f t="shared" ref="L178" si="89">+(L179+L180+L181+L182+L183)/5</f>
        <v>9.7906759906759913E-2</v>
      </c>
      <c r="M178" s="3">
        <f>+(M179+M180+M181+M182+M183)/5</f>
        <v>0.25439168183196847</v>
      </c>
      <c r="N178" s="3">
        <f>+(N179+N180+N181+N182+N183)/5</f>
        <v>0.52344420487663357</v>
      </c>
      <c r="O178" s="3">
        <f>+(O179+O180+O181+O182+O183)/5</f>
        <v>0.54786459841621493</v>
      </c>
      <c r="P178" s="81">
        <f>+(P179+P180+P181+P182+P183)</f>
        <v>0.28719335759781622</v>
      </c>
      <c r="Q178" s="81">
        <f>+'Innovación Pública'!AM57</f>
        <v>0.56904333649826588</v>
      </c>
      <c r="R178" s="81">
        <f>+'Innovación Pública'!AN57</f>
        <v>0.59328721616159619</v>
      </c>
      <c r="S178" s="25"/>
      <c r="T178" s="2"/>
      <c r="U178" s="83"/>
    </row>
    <row r="179" spans="2:21" ht="76.95" customHeight="1" x14ac:dyDescent="0.7">
      <c r="B179" s="32" t="s">
        <v>1765</v>
      </c>
      <c r="C179" s="1589"/>
      <c r="D179" s="5">
        <f>+'Innovación Pública'!J58</f>
        <v>0.24988626023657873</v>
      </c>
      <c r="E179" s="5">
        <f>+'Innovación Pública'!K58</f>
        <v>0.24988626023657873</v>
      </c>
      <c r="F179" s="5">
        <f>+'Innovación Pública'!L58</f>
        <v>0.25011373976342133</v>
      </c>
      <c r="G179" s="5">
        <f t="shared" si="68"/>
        <v>0.63330300272975437</v>
      </c>
      <c r="H179" s="5">
        <f t="shared" si="69"/>
        <v>0.89251592356687903</v>
      </c>
      <c r="I179" s="5">
        <f>+'Innovación Pública'!M58</f>
        <v>0.24981801637852596</v>
      </c>
      <c r="J179" s="5">
        <f>+'Innovación Pública'!N58</f>
        <v>0.24981801637852596</v>
      </c>
      <c r="K179" s="5">
        <f>+'Innovación Pública'!AD58</f>
        <v>1</v>
      </c>
      <c r="L179" s="5">
        <f>+'Innovación Pública'!AE58</f>
        <v>4.8636363636363637E-2</v>
      </c>
      <c r="M179" s="5">
        <f>+'Innovación Pública'!AI58</f>
        <v>0.38341674249317559</v>
      </c>
      <c r="N179" s="5">
        <f>+'Innovación Pública'!AJ58</f>
        <v>0.6424021838034577</v>
      </c>
      <c r="O179" s="5">
        <f>+'Innovación Pública'!AK58</f>
        <v>0.65456665150136484</v>
      </c>
      <c r="P179" s="33">
        <f>+'Innovación Pública'!AL58</f>
        <v>9.2693357597816203E-2</v>
      </c>
      <c r="Q179" s="33">
        <f>+'Innovación Pública'!AM58</f>
        <v>0.72784349408553239</v>
      </c>
      <c r="R179" s="33">
        <f>+'Innovación Pública'!AN58</f>
        <v>0.73980664240218386</v>
      </c>
      <c r="S179" s="25"/>
      <c r="T179" s="2"/>
      <c r="U179" s="83"/>
    </row>
    <row r="180" spans="2:21" ht="45" customHeight="1" x14ac:dyDescent="0.7">
      <c r="B180" s="32" t="s">
        <v>1766</v>
      </c>
      <c r="C180" s="1589"/>
      <c r="D180" s="5">
        <f>+'Innovación Pública'!J61</f>
        <v>0.15</v>
      </c>
      <c r="E180" s="5">
        <f>+'Innovación Pública'!K61</f>
        <v>0.29062500000000002</v>
      </c>
      <c r="F180" s="5">
        <f>+'Innovación Pública'!L61</f>
        <v>0.28437499999999999</v>
      </c>
      <c r="G180" s="5">
        <f t="shared" si="68"/>
        <v>0.51249999999999996</v>
      </c>
      <c r="H180" s="5">
        <f t="shared" si="69"/>
        <v>0.796875</v>
      </c>
      <c r="I180" s="5">
        <f>+'Innovación Pública'!M61</f>
        <v>0.19624999999999998</v>
      </c>
      <c r="J180" s="5">
        <f>+'Innovación Pública'!N61</f>
        <v>0.27124999999999999</v>
      </c>
      <c r="K180" s="5">
        <f>+'Innovación Pública'!AD61</f>
        <v>1</v>
      </c>
      <c r="L180" s="5">
        <f>+'Innovación Pública'!AE61</f>
        <v>9.0897435897435888E-2</v>
      </c>
      <c r="M180" s="5">
        <f>+'Innovación Pública'!AI61</f>
        <v>0.22187499999999999</v>
      </c>
      <c r="N180" s="5">
        <f>+'Innovación Pública'!AJ61</f>
        <v>0.51249999999999996</v>
      </c>
      <c r="O180" s="5">
        <f>+'Innovación Pública'!AK61</f>
        <v>0.53493749999999995</v>
      </c>
      <c r="P180" s="33">
        <f>+'Innovación Pública'!AL61</f>
        <v>0.103875</v>
      </c>
      <c r="Q180" s="33">
        <f>+'Innovación Pública'!AM61</f>
        <v>0.61749999999999994</v>
      </c>
      <c r="R180" s="33">
        <f>+'Innovación Pública'!AN61</f>
        <v>0.64127499999999993</v>
      </c>
      <c r="S180" s="25"/>
      <c r="T180" s="2"/>
      <c r="U180" s="83"/>
    </row>
    <row r="181" spans="2:21" ht="42" customHeight="1" x14ac:dyDescent="0.7">
      <c r="B181" s="32" t="s">
        <v>1767</v>
      </c>
      <c r="C181" s="1589"/>
      <c r="D181" s="5">
        <f>+'Innovación Pública'!J66</f>
        <v>0.25</v>
      </c>
      <c r="E181" s="5">
        <f>+'Innovación Pública'!K66</f>
        <v>0.25</v>
      </c>
      <c r="F181" s="5">
        <f>+'Innovación Pública'!L66</f>
        <v>0.25</v>
      </c>
      <c r="G181" s="5">
        <f t="shared" si="68"/>
        <v>0.5</v>
      </c>
      <c r="H181" s="5">
        <f t="shared" si="69"/>
        <v>0.75</v>
      </c>
      <c r="I181" s="5">
        <f>+'Innovación Pública'!M66</f>
        <v>0.25</v>
      </c>
      <c r="J181" s="5">
        <f>+'Innovación Pública'!N66</f>
        <v>0.25</v>
      </c>
      <c r="K181" s="5">
        <f>+'Innovación Pública'!AD66</f>
        <v>1</v>
      </c>
      <c r="L181" s="5">
        <f>+'Innovación Pública'!AE66</f>
        <v>0.19</v>
      </c>
      <c r="M181" s="5">
        <f>+'Innovación Pública'!AI66</f>
        <v>0.25</v>
      </c>
      <c r="N181" s="5">
        <f>+'Innovación Pública'!AJ66</f>
        <v>0.5</v>
      </c>
      <c r="O181" s="5">
        <f>+'Innovación Pública'!AK66</f>
        <v>0.54749999999999999</v>
      </c>
      <c r="P181" s="33">
        <f>+'Innovación Pública'!AL66</f>
        <v>3.7499999999999999E-2</v>
      </c>
      <c r="Q181" s="33">
        <f>+'Innovación Pública'!AM66</f>
        <v>0.5</v>
      </c>
      <c r="R181" s="33">
        <f>+'Innovación Pública'!AN66</f>
        <v>0.54749999999999999</v>
      </c>
      <c r="S181" s="25"/>
      <c r="T181" s="2"/>
      <c r="U181" s="83"/>
    </row>
    <row r="182" spans="2:21" ht="45.6" customHeight="1" x14ac:dyDescent="0.7">
      <c r="B182" s="32" t="s">
        <v>1768</v>
      </c>
      <c r="C182" s="1589"/>
      <c r="D182" s="5">
        <f>+'Innovación Pública'!J68</f>
        <v>0.23913043478260868</v>
      </c>
      <c r="E182" s="5">
        <f>+'Innovación Pública'!K68</f>
        <v>0.36231884057971014</v>
      </c>
      <c r="F182" s="5">
        <f>+'Innovación Pública'!L68</f>
        <v>0.26666666666666666</v>
      </c>
      <c r="G182" s="5">
        <f t="shared" si="68"/>
        <v>0.52898550724637683</v>
      </c>
      <c r="H182" s="5">
        <f t="shared" si="69"/>
        <v>0.7289855072463769</v>
      </c>
      <c r="I182" s="5">
        <f>+'Innovación Pública'!M68</f>
        <v>0.16684782608695653</v>
      </c>
      <c r="J182" s="5">
        <f>+'Innovación Pública'!N68</f>
        <v>0.34039855072463771</v>
      </c>
      <c r="K182" s="5">
        <f>+'Innovación Pública'!AD68</f>
        <v>1</v>
      </c>
      <c r="L182" s="5">
        <f>+'Innovación Pública'!AE68</f>
        <v>0.10000000000000002</v>
      </c>
      <c r="M182" s="5">
        <f>+'Innovación Pública'!AI68</f>
        <v>0.16666666666666666</v>
      </c>
      <c r="N182" s="5">
        <f>+'Innovación Pública'!AJ68</f>
        <v>0.46231884057971018</v>
      </c>
      <c r="O182" s="5">
        <f>+'Innovación Pública'!AK68</f>
        <v>0.48731884057971014</v>
      </c>
      <c r="P182" s="33">
        <f>+'Innovación Pública'!AL68</f>
        <v>2.8125000000000001E-2</v>
      </c>
      <c r="Q182" s="33">
        <f>+'Innovación Pública'!AM68</f>
        <v>0.45289855072463769</v>
      </c>
      <c r="R182" s="33">
        <f>+'Innovación Pública'!AN68</f>
        <v>0.47727355072463767</v>
      </c>
      <c r="S182" s="25"/>
      <c r="T182" s="2"/>
      <c r="U182" s="83"/>
    </row>
    <row r="183" spans="2:21" ht="45.6" customHeight="1" x14ac:dyDescent="0.7">
      <c r="B183" s="32" t="s">
        <v>1769</v>
      </c>
      <c r="C183" s="1589"/>
      <c r="D183" s="5">
        <f>+'Innovación Pública'!J74</f>
        <v>0.25</v>
      </c>
      <c r="E183" s="5">
        <f>+'Innovación Pública'!K74</f>
        <v>0.25</v>
      </c>
      <c r="F183" s="5">
        <f>+'Innovación Pública'!L74</f>
        <v>0.25</v>
      </c>
      <c r="G183" s="5">
        <f t="shared" si="68"/>
        <v>0.5</v>
      </c>
      <c r="H183" s="5">
        <f t="shared" si="69"/>
        <v>0.75</v>
      </c>
      <c r="I183" s="5">
        <f>+'Innovación Pública'!M74</f>
        <v>0.25</v>
      </c>
      <c r="J183" s="5">
        <f>+'Innovación Pública'!N74</f>
        <v>0.25</v>
      </c>
      <c r="K183" s="5">
        <f>+'Innovación Pública'!AD74</f>
        <v>1</v>
      </c>
      <c r="L183" s="5">
        <f>+'Innovación Pública'!AE74</f>
        <v>0.06</v>
      </c>
      <c r="M183" s="5">
        <f>+'Innovación Pública'!AI74</f>
        <v>0.25</v>
      </c>
      <c r="N183" s="5">
        <f>+'Innovación Pública'!AJ74</f>
        <v>0.5</v>
      </c>
      <c r="O183" s="5">
        <f>+'Innovación Pública'!AK74</f>
        <v>0.51500000000000001</v>
      </c>
      <c r="P183" s="33">
        <f>+'Innovación Pública'!AL74</f>
        <v>2.5000000000000001E-2</v>
      </c>
      <c r="Q183" s="33">
        <f>+'Innovación Pública'!AM74</f>
        <v>0.5</v>
      </c>
      <c r="R183" s="33">
        <f>+'Innovación Pública'!AN74</f>
        <v>0.51500000000000001</v>
      </c>
      <c r="S183" s="25"/>
      <c r="T183" s="2"/>
      <c r="U183" s="83"/>
    </row>
    <row r="184" spans="2:21" ht="49.8" x14ac:dyDescent="0.7">
      <c r="B184" s="30" t="str">
        <f>+'Innovación Pública'!B77:B77</f>
        <v xml:space="preserve">Participación Ciudadana y Acción Comunal
</v>
      </c>
      <c r="C184" s="1589"/>
      <c r="D184" s="23">
        <f>+(D185+D186+D187+D188+D189+D190)/5</f>
        <v>0.25436567555113532</v>
      </c>
      <c r="E184" s="23">
        <f>+(E185+E186+E187+E188+E189+E190)/6</f>
        <v>0.31832393913396156</v>
      </c>
      <c r="F184" s="23">
        <f>+(F185+F186+F187+F188+F189+F190)/6</f>
        <v>0.21609381266603023</v>
      </c>
      <c r="G184" s="23">
        <f t="shared" si="68"/>
        <v>0.49043977987101872</v>
      </c>
      <c r="H184" s="23">
        <f t="shared" si="69"/>
        <v>0.68441839317500752</v>
      </c>
      <c r="I184" s="24">
        <f>+(I185+I186+I187+I188+I189+I190)/5</f>
        <v>0.23789244132935511</v>
      </c>
      <c r="J184" s="24">
        <f t="shared" ref="J184" si="90">+(J185+J186+J187+J188+J189+J190)/5</f>
        <v>0.36095652093134517</v>
      </c>
      <c r="K184" s="689">
        <f>+(K185+K186+K187+K188+K189+K190)/6</f>
        <v>0.75171893939393941</v>
      </c>
      <c r="L184" s="689">
        <f>+(L185+L186+L187+L188+L189+L190)/6</f>
        <v>0.1985061146051712</v>
      </c>
      <c r="M184" s="3">
        <f>+(M185+M186+M187+M188+M189+M190)/6</f>
        <v>0.17211584073705719</v>
      </c>
      <c r="N184" s="3">
        <f>+(N185+N186+N187+N188+N189+N190)/6</f>
        <v>0.4683245805089773</v>
      </c>
      <c r="O184" s="3">
        <f>+(O185+O186+O187+O188+O189+O190)/6</f>
        <v>0.50034498493047785</v>
      </c>
      <c r="P184" s="81">
        <f>+(P185+P186+P187+P188+P189+P190)</f>
        <v>0.15231066433034965</v>
      </c>
      <c r="Q184" s="722">
        <f>+'Innovación Pública'!AM77</f>
        <v>0.49669634354560488</v>
      </c>
      <c r="R184" s="722">
        <f>+'Innovación Pública'!AN77</f>
        <v>0.5322047461270204</v>
      </c>
      <c r="S184" s="25"/>
      <c r="T184" s="2"/>
      <c r="U184" s="83"/>
    </row>
    <row r="185" spans="2:21" ht="52.2" customHeight="1" x14ac:dyDescent="0.7">
      <c r="B185" s="32" t="s">
        <v>1770</v>
      </c>
      <c r="C185" s="1589"/>
      <c r="D185" s="5">
        <f>+'Innovación Pública'!J78</f>
        <v>0.35243948886678761</v>
      </c>
      <c r="E185" s="5">
        <f>+'Innovación Pública'!K78</f>
        <v>0.4932769681371027</v>
      </c>
      <c r="F185" s="5">
        <f>+'Innovación Pública'!L78</f>
        <v>0.12295176488507015</v>
      </c>
      <c r="G185" s="5">
        <f t="shared" si="68"/>
        <v>0.82071645700389029</v>
      </c>
      <c r="H185" s="5">
        <f t="shared" si="69"/>
        <v>0.89925035905004491</v>
      </c>
      <c r="I185" s="5">
        <f>+'Innovación Pública'!M78</f>
        <v>0.34219553998010876</v>
      </c>
      <c r="J185" s="5">
        <f>+'Innovación Pública'!N78</f>
        <v>0.53394927132339243</v>
      </c>
      <c r="K185" s="5">
        <f>+'Innovación Pública'!AD78</f>
        <v>0.96969696969696972</v>
      </c>
      <c r="L185" s="5">
        <f>+'Innovación Pública'!AE78</f>
        <v>0.31531446540880498</v>
      </c>
      <c r="M185" s="5">
        <f>+'Innovación Pública'!AI78</f>
        <v>0.32743948886678759</v>
      </c>
      <c r="N185" s="5">
        <f>+'Innovación Pública'!AJ78</f>
        <v>0.77629859416497471</v>
      </c>
      <c r="O185" s="5">
        <f>+'Innovación Pública'!AK78</f>
        <v>0.8144960206939782</v>
      </c>
      <c r="P185" s="33">
        <f>+'Innovación Pública'!AL78</f>
        <v>4.5704330997016318E-2</v>
      </c>
      <c r="Q185" s="33">
        <f>+'Innovación Pública'!AM78</f>
        <v>0.78866873474847721</v>
      </c>
      <c r="R185" s="33">
        <f>+'Innovación Pública'!AN78</f>
        <v>0.8250464186245805</v>
      </c>
      <c r="S185" s="25"/>
      <c r="T185" s="2"/>
      <c r="U185" s="83"/>
    </row>
    <row r="186" spans="2:21" ht="55.95" customHeight="1" x14ac:dyDescent="0.7">
      <c r="B186" s="32" t="s">
        <v>1771</v>
      </c>
      <c r="C186" s="1589"/>
      <c r="D186" s="5">
        <f>+'Innovación Pública'!J85</f>
        <v>0.17916666666666664</v>
      </c>
      <c r="E186" s="5">
        <f>+'Innovación Pública'!K85</f>
        <v>0.23749999999999999</v>
      </c>
      <c r="F186" s="5">
        <f>+'Innovación Pública'!L85</f>
        <v>0.37777777777777777</v>
      </c>
      <c r="G186" s="5">
        <f t="shared" si="68"/>
        <v>0.38749999999999996</v>
      </c>
      <c r="H186" s="5">
        <f t="shared" si="69"/>
        <v>0.63361111111111112</v>
      </c>
      <c r="I186" s="5">
        <f>+'Innovación Pública'!M85</f>
        <v>0.14250000000000002</v>
      </c>
      <c r="J186" s="5">
        <f>+'Innovación Pública'!N85</f>
        <v>0.16</v>
      </c>
      <c r="K186" s="5">
        <f>+'Innovación Pública'!AD85</f>
        <v>0.55000000000000004</v>
      </c>
      <c r="L186" s="5">
        <f>+'Innovación Pública'!AE85</f>
        <v>8.8888888888888892E-2</v>
      </c>
      <c r="M186" s="5">
        <f>+'Innovación Pública'!AI85</f>
        <v>0.14999999999999997</v>
      </c>
      <c r="N186" s="5">
        <f>+'Innovación Pública'!AJ85</f>
        <v>0.2558333333333333</v>
      </c>
      <c r="O186" s="5">
        <f>+'Innovación Pública'!AK85</f>
        <v>0.26916666666666672</v>
      </c>
      <c r="P186" s="33">
        <f>+'Innovación Pública'!AL85</f>
        <v>3.9E-2</v>
      </c>
      <c r="Q186" s="33">
        <f>+'Innovación Pública'!AM85</f>
        <v>0.254</v>
      </c>
      <c r="R186" s="33">
        <f>+'Innovación Pública'!AN85</f>
        <v>0.27799999999999997</v>
      </c>
      <c r="S186" s="25"/>
      <c r="T186" s="2"/>
      <c r="U186" s="83"/>
    </row>
    <row r="187" spans="2:21" ht="43.2" customHeight="1" x14ac:dyDescent="0.7">
      <c r="B187" s="32" t="s">
        <v>1772</v>
      </c>
      <c r="C187" s="1589"/>
      <c r="D187" s="5">
        <f>+'Innovación Pública'!J92</f>
        <v>0</v>
      </c>
      <c r="E187" s="5">
        <f>+'Innovación Pública'!K92</f>
        <v>0</v>
      </c>
      <c r="F187" s="5">
        <f>+'Innovación Pública'!L92</f>
        <v>0</v>
      </c>
      <c r="G187" s="5">
        <f t="shared" si="68"/>
        <v>0</v>
      </c>
      <c r="H187" s="5">
        <f t="shared" si="69"/>
        <v>0</v>
      </c>
      <c r="I187" s="5">
        <f>+'Innovación Pública'!M92</f>
        <v>0</v>
      </c>
      <c r="J187" s="5">
        <f>+'Innovación Pública'!N92</f>
        <v>0</v>
      </c>
      <c r="K187" s="5">
        <f>+'Innovación Pública'!AD92</f>
        <v>0</v>
      </c>
      <c r="L187" s="5">
        <f>+'Innovación Pública'!AE92</f>
        <v>0</v>
      </c>
      <c r="M187" s="5">
        <f>+'Innovación Pública'!AI92</f>
        <v>0</v>
      </c>
      <c r="N187" s="5">
        <f>+'Innovación Pública'!AJ92</f>
        <v>0</v>
      </c>
      <c r="O187" s="5">
        <f>+'Innovación Pública'!AK92</f>
        <v>0</v>
      </c>
      <c r="P187" s="33">
        <f>+'Innovación Pública'!AL92</f>
        <v>0</v>
      </c>
      <c r="Q187" s="33">
        <f>+'Innovación Pública'!AM92</f>
        <v>0</v>
      </c>
      <c r="R187" s="33">
        <f>+'Innovación Pública'!AN92</f>
        <v>0</v>
      </c>
      <c r="S187" s="25"/>
      <c r="T187" s="2"/>
      <c r="U187" s="83"/>
    </row>
    <row r="188" spans="2:21" ht="37.200000000000003" customHeight="1" x14ac:dyDescent="0.7">
      <c r="B188" s="32" t="s">
        <v>1773</v>
      </c>
      <c r="C188" s="1589"/>
      <c r="D188" s="5">
        <f>+'Innovación Pública'!J94</f>
        <v>0.18466666666666667</v>
      </c>
      <c r="E188" s="5">
        <f>+'Innovación Pública'!K94</f>
        <v>0.29583333333333334</v>
      </c>
      <c r="F188" s="5">
        <f>+'Innovación Pública'!L94</f>
        <v>0.29583333333333334</v>
      </c>
      <c r="G188" s="5">
        <f t="shared" si="68"/>
        <v>0.48120000000000002</v>
      </c>
      <c r="H188" s="5">
        <f t="shared" si="69"/>
        <v>0.72904333333333338</v>
      </c>
      <c r="I188" s="5">
        <f>+'Innovación Pública'!M94</f>
        <v>0.17810000000000001</v>
      </c>
      <c r="J188" s="5">
        <f>+'Innovación Pública'!N94</f>
        <v>0.29083333333333333</v>
      </c>
      <c r="K188" s="5">
        <f>+'Innovación Pública'!AD94</f>
        <v>0.9906166666666667</v>
      </c>
      <c r="L188" s="5">
        <f>+'Innovación Pública'!AE94</f>
        <v>0.12466666666666668</v>
      </c>
      <c r="M188" s="5">
        <f>+'Innovación Pública'!AI94</f>
        <v>0.18536666666666668</v>
      </c>
      <c r="N188" s="5">
        <f>+'Innovación Pública'!AJ94</f>
        <v>0.43321000000000004</v>
      </c>
      <c r="O188" s="5">
        <f>+'Innovación Pública'!AK94</f>
        <v>0.47061000000000003</v>
      </c>
      <c r="P188" s="33">
        <f>+'Innovación Pública'!AL94</f>
        <v>3.5682999999999999E-2</v>
      </c>
      <c r="Q188" s="33">
        <f>+'Innovación Pública'!AM94</f>
        <v>0.468026</v>
      </c>
      <c r="R188" s="33">
        <f>+'Innovación Pública'!AN94</f>
        <v>0.50796600000000003</v>
      </c>
      <c r="S188" s="25"/>
      <c r="T188" s="2"/>
      <c r="U188" s="83"/>
    </row>
    <row r="189" spans="2:21" ht="67.95" customHeight="1" x14ac:dyDescent="0.7">
      <c r="B189" s="32" t="s">
        <v>1774</v>
      </c>
      <c r="C189" s="1589"/>
      <c r="D189" s="5">
        <f>+'Innovación Pública'!J99</f>
        <v>0.25</v>
      </c>
      <c r="E189" s="5">
        <f>+'Innovación Pública'!K99</f>
        <v>0.55000000000000004</v>
      </c>
      <c r="F189" s="5">
        <f>+'Innovación Pública'!L99</f>
        <v>0.25</v>
      </c>
      <c r="G189" s="5">
        <f t="shared" si="68"/>
        <v>0.81166666666666676</v>
      </c>
      <c r="H189" s="5">
        <f t="shared" si="69"/>
        <v>0.95804999999999996</v>
      </c>
      <c r="I189" s="5">
        <f>+'Innovación Pública'!M99</f>
        <v>0.185</v>
      </c>
      <c r="J189" s="5">
        <f>+'Innovación Pública'!N99</f>
        <v>0.44500000000000001</v>
      </c>
      <c r="K189" s="5">
        <f>+'Innovación Pública'!AD99</f>
        <v>1</v>
      </c>
      <c r="L189" s="5">
        <f>+'Innovación Pública'!AE99</f>
        <v>0.43016666666666664</v>
      </c>
      <c r="M189" s="5">
        <f>+'Innovación Pública'!AI99</f>
        <v>0.26166666666666666</v>
      </c>
      <c r="N189" s="5">
        <f>+'Innovación Pública'!AJ99</f>
        <v>0.70804999999999996</v>
      </c>
      <c r="O189" s="5">
        <f>+'Innovación Pública'!AK99</f>
        <v>0.77257500000000001</v>
      </c>
      <c r="P189" s="33">
        <f>+'Innovación Pública'!AL99</f>
        <v>2.095E-2</v>
      </c>
      <c r="Q189" s="33">
        <f>+'Innovación Pública'!AM99</f>
        <v>0.65817499999999995</v>
      </c>
      <c r="R189" s="33">
        <f>+'Innovación Pública'!AN99</f>
        <v>0.71401250000000005</v>
      </c>
      <c r="S189" s="25"/>
      <c r="T189" s="2"/>
      <c r="U189" s="83"/>
    </row>
    <row r="190" spans="2:21" ht="45.6" customHeight="1" x14ac:dyDescent="0.7">
      <c r="B190" s="32" t="s">
        <v>1775</v>
      </c>
      <c r="C190" s="1589"/>
      <c r="D190" s="5">
        <f>+'Innovación Pública'!J105</f>
        <v>0.30555555555555552</v>
      </c>
      <c r="E190" s="5">
        <f>+'Innovación Pública'!K105</f>
        <v>0.33333333333333331</v>
      </c>
      <c r="F190" s="5">
        <f>+'Innovación Pública'!L105</f>
        <v>0.25</v>
      </c>
      <c r="G190" s="5">
        <f t="shared" si="68"/>
        <v>0.44155555555555553</v>
      </c>
      <c r="H190" s="5">
        <f t="shared" si="69"/>
        <v>0.88655555555555554</v>
      </c>
      <c r="I190" s="5">
        <f>+'Innovación Pública'!M105</f>
        <v>0.34166666666666667</v>
      </c>
      <c r="J190" s="5">
        <f>+'Innovación Pública'!N105</f>
        <v>0.375</v>
      </c>
      <c r="K190" s="5">
        <f>+'Innovación Pública'!AD105</f>
        <v>1</v>
      </c>
      <c r="L190" s="5">
        <f>+'Innovación Pública'!AE105</f>
        <v>0.23200000000000001</v>
      </c>
      <c r="M190" s="5">
        <f>+'Innovación Pública'!AI105</f>
        <v>0.10822222222222222</v>
      </c>
      <c r="N190" s="5">
        <f>+'Innovación Pública'!AJ105</f>
        <v>0.63655555555555554</v>
      </c>
      <c r="O190" s="5">
        <f>+'Innovación Pública'!AK105</f>
        <v>0.67522222222222217</v>
      </c>
      <c r="P190" s="33">
        <f>+'Innovación Pública'!AL105</f>
        <v>1.0973333333333335E-2</v>
      </c>
      <c r="Q190" s="33">
        <f>+'Innovación Pública'!AM105</f>
        <v>0.71386666666666665</v>
      </c>
      <c r="R190" s="33">
        <f>+'Innovación Pública'!AN105</f>
        <v>0.76026666666666665</v>
      </c>
      <c r="S190" s="25"/>
      <c r="T190" s="2"/>
      <c r="U190" s="83"/>
    </row>
    <row r="191" spans="2:21" ht="49.8" x14ac:dyDescent="0.7">
      <c r="B191" s="30" t="str">
        <f>+'Innovación Pública'!B109:B109</f>
        <v xml:space="preserve">Sistema de Planeación Distrital
</v>
      </c>
      <c r="C191" s="1589"/>
      <c r="D191" s="23">
        <f t="shared" ref="D191:I191" si="91">+(D192+D193+D194+D195+D196+D197)/6</f>
        <v>0.24594907407407407</v>
      </c>
      <c r="E191" s="23">
        <f t="shared" si="91"/>
        <v>0.29876710128495843</v>
      </c>
      <c r="F191" s="23">
        <f t="shared" ref="F191" si="92">+(F192+F193+F194+F195+F196+F197)/6</f>
        <v>0.35785383597883591</v>
      </c>
      <c r="G191" s="23">
        <f t="shared" si="68"/>
        <v>0.50808654572940293</v>
      </c>
      <c r="H191" s="23">
        <f t="shared" si="69"/>
        <v>0.91855138888888888</v>
      </c>
      <c r="I191" s="24">
        <f t="shared" si="91"/>
        <v>0.20215277777777776</v>
      </c>
      <c r="J191" s="24">
        <f t="shared" ref="J191:K191" si="93">+(J192+J193+J194+J195+J196+J197)/6</f>
        <v>0.28790873015873014</v>
      </c>
      <c r="K191" s="689">
        <f t="shared" si="93"/>
        <v>0.87160846560846561</v>
      </c>
      <c r="L191" s="689">
        <f t="shared" ref="L191" si="94">+(L192+L193+L194+L195+L196+L197)/6</f>
        <v>0.3044914886378301</v>
      </c>
      <c r="M191" s="3">
        <f>+(M192+M193+M194+M195+M196+M197)/6</f>
        <v>0.20931944444444447</v>
      </c>
      <c r="N191" s="3">
        <f>+(N192+N193+N194+N195+N196+N197)/6</f>
        <v>0.56069755291005297</v>
      </c>
      <c r="O191" s="3">
        <f>+(O192+O193+O194+O195+O196+O197)/6</f>
        <v>0.62134847883597877</v>
      </c>
      <c r="P191" s="81">
        <f>+(P192+P193+P194+P195+P196+P197)</f>
        <v>0.18588916666666666</v>
      </c>
      <c r="Q191" s="81">
        <f>+'Innovación Pública'!AM109</f>
        <v>0.49863416666666671</v>
      </c>
      <c r="R191" s="81">
        <f>+'Innovación Pública'!AN109</f>
        <v>0.57405166666666663</v>
      </c>
      <c r="S191" s="25"/>
      <c r="T191" s="2"/>
      <c r="U191" s="83"/>
    </row>
    <row r="192" spans="2:21" ht="55.95" customHeight="1" x14ac:dyDescent="0.7">
      <c r="B192" s="32" t="s">
        <v>1776</v>
      </c>
      <c r="C192" s="1589"/>
      <c r="D192" s="5">
        <f>+'Innovación Pública'!J110</f>
        <v>0.20833333333333331</v>
      </c>
      <c r="E192" s="5">
        <f>+'Innovación Pública'!K110</f>
        <v>0.29833333333333334</v>
      </c>
      <c r="F192" s="5">
        <f>+'Innovación Pública'!L110</f>
        <v>0.55000000000000004</v>
      </c>
      <c r="G192" s="5">
        <f t="shared" si="68"/>
        <v>0.48722222222222222</v>
      </c>
      <c r="H192" s="5">
        <v>1</v>
      </c>
      <c r="I192" s="5">
        <f>+'Innovación Pública'!M110</f>
        <v>0.10833333333333334</v>
      </c>
      <c r="J192" s="5">
        <f>+'Innovación Pública'!N110</f>
        <v>0.24833333333333332</v>
      </c>
      <c r="K192" s="5">
        <f>+'Innovación Pública'!AD110</f>
        <v>0.98000000000000009</v>
      </c>
      <c r="L192" s="5">
        <f>+'Innovación Pública'!AE110</f>
        <v>0.41818181818181815</v>
      </c>
      <c r="M192" s="5">
        <f>+'Innovación Pública'!AI110</f>
        <v>0.18888888888888888</v>
      </c>
      <c r="N192" s="5">
        <f>+'Innovación Pública'!AJ110</f>
        <v>0.82333333333333347</v>
      </c>
      <c r="O192" s="5">
        <f>+'Innovación Pública'!AK110</f>
        <v>0.9</v>
      </c>
      <c r="P192" s="33">
        <f>+'Innovación Pública'!AL110</f>
        <v>2.7666666666666669E-2</v>
      </c>
      <c r="Q192" s="33">
        <f>+'Innovación Pública'!AM110</f>
        <v>0.51416666666666666</v>
      </c>
      <c r="R192" s="33">
        <f>+'Innovación Pública'!AN110</f>
        <v>0.77500000000000002</v>
      </c>
      <c r="S192" s="25"/>
      <c r="T192" s="2"/>
      <c r="U192" s="83"/>
    </row>
    <row r="193" spans="2:21" ht="43.95" customHeight="1" x14ac:dyDescent="0.7">
      <c r="B193" s="32" t="s">
        <v>1777</v>
      </c>
      <c r="C193" s="1589"/>
      <c r="D193" s="5">
        <f>+'Innovación Pública'!J116</f>
        <v>0.19999999999999998</v>
      </c>
      <c r="E193" s="5">
        <f>+'Innovación Pública'!K116</f>
        <v>0.28150000000000003</v>
      </c>
      <c r="F193" s="5">
        <f>+'Innovación Pública'!L116</f>
        <v>0.26666666666666666</v>
      </c>
      <c r="G193" s="5">
        <f t="shared" si="68"/>
        <v>0.46550000000000002</v>
      </c>
      <c r="H193" s="5">
        <f t="shared" si="69"/>
        <v>0.80505833333333343</v>
      </c>
      <c r="I193" s="5">
        <f>+'Innovación Pública'!M116</f>
        <v>0.17499999999999999</v>
      </c>
      <c r="J193" s="5">
        <f>+'Innovación Pública'!N116</f>
        <v>0.28525</v>
      </c>
      <c r="K193" s="5">
        <f>+'Innovación Pública'!AD116</f>
        <v>1</v>
      </c>
      <c r="L193" s="5">
        <f>+'Innovación Pública'!AE116</f>
        <v>0.20833333333333334</v>
      </c>
      <c r="M193" s="5">
        <f>+'Innovación Pública'!AI116</f>
        <v>0.18400000000000002</v>
      </c>
      <c r="N193" s="5">
        <f>+'Innovación Pública'!AJ116</f>
        <v>0.53839166666666671</v>
      </c>
      <c r="O193" s="5">
        <f>+'Innovación Pública'!AK116</f>
        <v>0.51005833333333328</v>
      </c>
      <c r="P193" s="33">
        <f>+'Innovación Pública'!AL116</f>
        <v>3.2840000000000001E-2</v>
      </c>
      <c r="Q193" s="33">
        <f>+'Innovación Pública'!AM116</f>
        <v>0.54608749999999995</v>
      </c>
      <c r="R193" s="33">
        <f>+'Innovación Pública'!AN116</f>
        <v>0.47858750000000005</v>
      </c>
      <c r="S193" s="25"/>
      <c r="T193" s="2"/>
      <c r="U193" s="83"/>
    </row>
    <row r="194" spans="2:21" ht="42" customHeight="1" x14ac:dyDescent="0.7">
      <c r="B194" s="32" t="s">
        <v>1778</v>
      </c>
      <c r="C194" s="1589"/>
      <c r="D194" s="5">
        <f>+'Innovación Pública'!J123</f>
        <v>0.25</v>
      </c>
      <c r="E194" s="5">
        <f>+'Innovación Pública'!K123</f>
        <v>0.27040816326530609</v>
      </c>
      <c r="F194" s="5">
        <f>+'Innovación Pública'!L123</f>
        <v>0.32976190476190476</v>
      </c>
      <c r="G194" s="5">
        <f t="shared" si="68"/>
        <v>0.52982482993197277</v>
      </c>
      <c r="H194" s="5">
        <f t="shared" si="69"/>
        <v>0.79583333333333339</v>
      </c>
      <c r="I194" s="5">
        <f>+'Innovación Pública'!M123</f>
        <v>0.2</v>
      </c>
      <c r="J194" s="5">
        <f>+'Innovación Pública'!N123</f>
        <v>0.26428571428571429</v>
      </c>
      <c r="K194" s="5">
        <f>+'Innovación Pública'!AD123</f>
        <v>0.77142857142857146</v>
      </c>
      <c r="L194" s="5">
        <f>+'Innovación Pública'!AE123</f>
        <v>0.19822510822510822</v>
      </c>
      <c r="M194" s="5">
        <f>+'Innovación Pública'!AI123</f>
        <v>0.25941666666666668</v>
      </c>
      <c r="N194" s="5">
        <f>+'Innovación Pública'!AJ123</f>
        <v>0.46607142857142858</v>
      </c>
      <c r="O194" s="5">
        <f>+'Innovación Pública'!AK123</f>
        <v>0.51190476190476197</v>
      </c>
      <c r="P194" s="33">
        <f>+'Innovación Pública'!AL123</f>
        <v>4.8570000000000002E-2</v>
      </c>
      <c r="Q194" s="33">
        <f>+'Innovación Pública'!AM123</f>
        <v>0.50124999999999997</v>
      </c>
      <c r="R194" s="33">
        <f>+'Innovación Pública'!AN123</f>
        <v>0.54895833333333333</v>
      </c>
      <c r="S194" s="25"/>
      <c r="T194" s="2"/>
      <c r="U194" s="83"/>
    </row>
    <row r="195" spans="2:21" ht="39" customHeight="1" x14ac:dyDescent="0.7">
      <c r="B195" s="32" t="s">
        <v>1779</v>
      </c>
      <c r="C195" s="1589"/>
      <c r="D195" s="5">
        <f>+'Innovación Pública'!J131</f>
        <v>0.41111111111111109</v>
      </c>
      <c r="E195" s="5">
        <f>+'Innovación Pública'!K131</f>
        <v>0.41111111111111109</v>
      </c>
      <c r="F195" s="5">
        <f>+'Innovación Pública'!L131</f>
        <v>0.41111111111111109</v>
      </c>
      <c r="G195" s="5">
        <f t="shared" si="68"/>
        <v>0.72222222222222221</v>
      </c>
      <c r="H195" s="5">
        <v>1</v>
      </c>
      <c r="I195" s="5">
        <f>+'Innovación Pública'!M131</f>
        <v>0.37333333333333329</v>
      </c>
      <c r="J195" s="5">
        <f>+'Innovación Pública'!N131</f>
        <v>0.37333333333333329</v>
      </c>
      <c r="K195" s="5">
        <f>+'Innovación Pública'!AD131</f>
        <v>1</v>
      </c>
      <c r="L195" s="5">
        <f>+'Innovación Pública'!AE131</f>
        <v>0.41666666666666663</v>
      </c>
      <c r="M195" s="5">
        <f>+'Innovación Pública'!AI131</f>
        <v>0.31111111111111112</v>
      </c>
      <c r="N195" s="5">
        <f>+'Innovación Pública'!AJ131</f>
        <v>0.72222222222222221</v>
      </c>
      <c r="O195" s="5">
        <f>+'Innovación Pública'!AK131</f>
        <v>0.77777777777777779</v>
      </c>
      <c r="P195" s="33">
        <f>+'Innovación Pública'!AL131</f>
        <v>4.3999999999999997E-2</v>
      </c>
      <c r="Q195" s="33">
        <f>+'Innovación Pública'!AM131</f>
        <v>0.66666666666666674</v>
      </c>
      <c r="R195" s="33">
        <f>+'Innovación Pública'!AN131</f>
        <v>0.73333333333333339</v>
      </c>
      <c r="S195" s="25"/>
      <c r="T195" s="2"/>
      <c r="U195" s="83"/>
    </row>
    <row r="196" spans="2:21" ht="33.6" customHeight="1" x14ac:dyDescent="0.7">
      <c r="B196" s="32" t="s">
        <v>1780</v>
      </c>
      <c r="C196" s="1589"/>
      <c r="D196" s="5">
        <f>+'Innovación Pública'!J134</f>
        <v>0.25</v>
      </c>
      <c r="E196" s="5">
        <f>+'Innovación Pública'!K134</f>
        <v>0.25</v>
      </c>
      <c r="F196" s="5">
        <f>+'Innovación Pública'!L134</f>
        <v>0.33333333333333331</v>
      </c>
      <c r="G196" s="5">
        <f t="shared" ref="G196:G206" si="95">+M196+E196</f>
        <v>0.40625</v>
      </c>
      <c r="H196" s="5">
        <f t="shared" si="69"/>
        <v>0.6875</v>
      </c>
      <c r="I196" s="5">
        <f>+'Innovación Pública'!M134</f>
        <v>0.2</v>
      </c>
      <c r="J196" s="5">
        <f>+'Innovación Pública'!N134</f>
        <v>0.27500000000000002</v>
      </c>
      <c r="K196" s="5">
        <f>+'Innovación Pública'!AD134</f>
        <v>0.72222222222222221</v>
      </c>
      <c r="L196" s="5">
        <f>+'Innovación Pública'!AE134</f>
        <v>0.14444444444444446</v>
      </c>
      <c r="M196" s="85">
        <f>+'Innovación Pública'!AI134</f>
        <v>0.15625</v>
      </c>
      <c r="N196" s="85">
        <f>+'Innovación Pública'!AJ134</f>
        <v>0.35416666666666669</v>
      </c>
      <c r="O196" s="85">
        <f>+'Innovación Pública'!AK134</f>
        <v>0.38750000000000001</v>
      </c>
      <c r="P196" s="33">
        <f>+'Innovación Pública'!AL134</f>
        <v>2.5000000000000001E-2</v>
      </c>
      <c r="Q196" s="33">
        <f>+'Innovación Pública'!AM134</f>
        <v>0.31666666666666665</v>
      </c>
      <c r="R196" s="33">
        <f>+'Innovación Pública'!AN134</f>
        <v>0.35750000000000004</v>
      </c>
      <c r="S196" s="25"/>
      <c r="T196" s="2"/>
      <c r="U196" s="83"/>
    </row>
    <row r="197" spans="2:21" ht="48.6" customHeight="1" x14ac:dyDescent="0.7">
      <c r="B197" s="35" t="s">
        <v>1781</v>
      </c>
      <c r="C197" s="1590"/>
      <c r="D197" s="36">
        <f>+'Innovación Pública'!J139</f>
        <v>0.15625</v>
      </c>
      <c r="E197" s="36">
        <f>+'Innovación Pública'!K139</f>
        <v>0.28125</v>
      </c>
      <c r="F197" s="36">
        <f>+'Innovación Pública'!L139</f>
        <v>0.25624999999999998</v>
      </c>
      <c r="G197" s="36">
        <f t="shared" si="95"/>
        <v>0.4375</v>
      </c>
      <c r="H197" s="36">
        <f t="shared" ref="H197:H206" si="96">+N197+F197</f>
        <v>0.71625000000000005</v>
      </c>
      <c r="I197" s="36">
        <f>+'Innovación Pública'!M139</f>
        <v>0.15625</v>
      </c>
      <c r="J197" s="36">
        <f>+'Innovación Pública'!N139</f>
        <v>0.28125</v>
      </c>
      <c r="K197" s="36">
        <f>+'Innovación Pública'!AD139</f>
        <v>0.75600000000000001</v>
      </c>
      <c r="L197" s="36">
        <f>+'Innovación Pública'!AE139</f>
        <v>0.44109756097560981</v>
      </c>
      <c r="M197" s="108">
        <f>+'Innovación Pública'!AI139</f>
        <v>0.15625</v>
      </c>
      <c r="N197" s="108">
        <f>+'Innovación Pública'!AJ139</f>
        <v>0.46</v>
      </c>
      <c r="O197" s="108">
        <f>+'Innovación Pública'!AK139</f>
        <v>0.64085000000000003</v>
      </c>
      <c r="P197" s="37">
        <f>+'Innovación Pública'!AL139</f>
        <v>7.8125E-3</v>
      </c>
      <c r="Q197" s="37">
        <f>+'Innovación Pública'!AM139</f>
        <v>0.46</v>
      </c>
      <c r="R197" s="37">
        <f>+'Innovación Pública'!AN139</f>
        <v>0.64085000000000003</v>
      </c>
      <c r="S197" s="25"/>
      <c r="T197" s="2"/>
      <c r="U197" s="83"/>
    </row>
    <row r="198" spans="2:21" ht="120" customHeight="1" x14ac:dyDescent="0.7">
      <c r="B198" s="27" t="str">
        <f>+'Capitulo Etnico'!B3:C3</f>
        <v xml:space="preserve">CAPÍTULO DE LOS PUEBLOS Y COMUNIDADES ÉTNICAS
</v>
      </c>
      <c r="C198" s="1586">
        <v>0.02</v>
      </c>
      <c r="D198" s="28">
        <f>+'Capitulo Etnico'!J3</f>
        <v>0.25509259259259259</v>
      </c>
      <c r="E198" s="28">
        <f>+'Capitulo Etnico'!K3</f>
        <v>0.26321869488536154</v>
      </c>
      <c r="F198" s="28">
        <f>+'Capitulo Etnico'!L3</f>
        <v>0.39634171075837743</v>
      </c>
      <c r="G198" s="28">
        <f t="shared" si="95"/>
        <v>0.31880731922398586</v>
      </c>
      <c r="H198" s="28">
        <f t="shared" si="96"/>
        <v>0.75826724587141259</v>
      </c>
      <c r="I198" s="28">
        <f>+'Capitulo Etnico'!M3</f>
        <v>6.9222222222222241E-2</v>
      </c>
      <c r="J198" s="28">
        <f>+'Capitulo Etnico'!N3</f>
        <v>0.24656944444444442</v>
      </c>
      <c r="K198" s="28">
        <f>+'Capitulo Etnico'!AD3</f>
        <v>0.92347222222222225</v>
      </c>
      <c r="L198" s="28">
        <f>+'Capitulo Etnico'!AE3</f>
        <v>3.8722256579399435E-2</v>
      </c>
      <c r="M198" s="28">
        <f>+'Capitulo Etnico'!AI3</f>
        <v>5.5588624338624326E-2</v>
      </c>
      <c r="N198" s="28">
        <f>+'Capitulo Etnico'!AJ3</f>
        <v>0.36192553511303516</v>
      </c>
      <c r="O198" s="28">
        <f>+'Capitulo Etnico'!AK3</f>
        <v>0.37655873466810963</v>
      </c>
      <c r="P198" s="29">
        <f>+'Capitulo Etnico'!AL3</f>
        <v>3.0192916666666677E-2</v>
      </c>
      <c r="Q198" s="29">
        <f>+'Capitulo Etnico'!AM3</f>
        <v>0.33027767045454548</v>
      </c>
      <c r="R198" s="29">
        <f>+'Capitulo Etnico'!AN3</f>
        <v>0.36127683238636366</v>
      </c>
      <c r="S198" s="25"/>
      <c r="T198" s="2"/>
      <c r="U198" s="83"/>
    </row>
    <row r="199" spans="2:21" ht="142.19999999999999" customHeight="1" x14ac:dyDescent="0.7">
      <c r="B199" s="30" t="str">
        <f>+'Capitulo Etnico'!B4:C4</f>
        <v xml:space="preserve"> Fortalecimiento al Desarrollo Afro-Territorial de la Población Negra, Afrocolombiana, Raizal y Palenquera
</v>
      </c>
      <c r="C199" s="1587"/>
      <c r="D199" s="23">
        <f>+(D200+D201+D202)/2</f>
        <v>0.42499999999999999</v>
      </c>
      <c r="E199" s="23">
        <f>+(E200+E201+E202)/3</f>
        <v>0.21841269841269842</v>
      </c>
      <c r="F199" s="23">
        <f>+(F200+F201+F202)/3</f>
        <v>0.38562169312169309</v>
      </c>
      <c r="G199" s="23">
        <f t="shared" si="95"/>
        <v>0.28329365079365076</v>
      </c>
      <c r="H199" s="23">
        <f t="shared" si="96"/>
        <v>0.73731072631072636</v>
      </c>
      <c r="I199" s="24">
        <f>+(I200+I201+I202)/3</f>
        <v>5.4833333333333345E-2</v>
      </c>
      <c r="J199" s="24">
        <f t="shared" ref="J199:L199" si="97">+(J200+J201+J202)/3</f>
        <v>0.20013888888888887</v>
      </c>
      <c r="K199" s="24">
        <f t="shared" si="97"/>
        <v>0.9458333333333333</v>
      </c>
      <c r="L199" s="24">
        <f t="shared" si="97"/>
        <v>4.5037105751391464E-2</v>
      </c>
      <c r="M199" s="3">
        <f>+(M200+M201+M202)/3</f>
        <v>6.4880952380952372E-2</v>
      </c>
      <c r="N199" s="3">
        <f>+(N200+N201+N202)/3</f>
        <v>0.35168903318903322</v>
      </c>
      <c r="O199" s="3">
        <f>+(O200+O201+O202)/3</f>
        <v>0.36015103415103411</v>
      </c>
      <c r="P199" s="723">
        <f>+(P200+P201+P202)</f>
        <v>6.946666666666669E-2</v>
      </c>
      <c r="Q199" s="723">
        <f>+'Capitulo Etnico'!AM4</f>
        <v>0.32727939393939398</v>
      </c>
      <c r="R199" s="723">
        <f>+'Capitulo Etnico'!AN4</f>
        <v>0.36487348484848486</v>
      </c>
      <c r="S199" s="25"/>
      <c r="T199" s="2"/>
      <c r="U199" s="83"/>
    </row>
    <row r="200" spans="2:21" ht="103.95" customHeight="1" x14ac:dyDescent="0.7">
      <c r="B200" s="32" t="s">
        <v>1782</v>
      </c>
      <c r="C200" s="1587"/>
      <c r="D200" s="10">
        <f>+'Capitulo Etnico'!J5</f>
        <v>0.19999999999999998</v>
      </c>
      <c r="E200" s="10">
        <f>+'Capitulo Etnico'!K5</f>
        <v>0.22666666666666666</v>
      </c>
      <c r="F200" s="10">
        <f>+'Capitulo Etnico'!L5</f>
        <v>0.45514285714285718</v>
      </c>
      <c r="G200" s="10">
        <f t="shared" si="95"/>
        <v>0.36416666666666664</v>
      </c>
      <c r="H200" s="10">
        <f t="shared" si="96"/>
        <v>0.75533982683982681</v>
      </c>
      <c r="I200" s="10">
        <f>+'Capitulo Etnico'!M5</f>
        <v>8.7000000000000008E-2</v>
      </c>
      <c r="J200" s="10">
        <f>+'Capitulo Etnico'!N5</f>
        <v>0.16666666666666663</v>
      </c>
      <c r="K200" s="10">
        <f>+'Capitulo Etnico'!AD5</f>
        <v>1</v>
      </c>
      <c r="L200" s="10">
        <f>+'Capitulo Etnico'!AE5</f>
        <v>5.9353741496598632E-2</v>
      </c>
      <c r="M200" s="5">
        <f>+'Capitulo Etnico'!AI5</f>
        <v>0.13749999999999998</v>
      </c>
      <c r="N200" s="5">
        <f>+'Capitulo Etnico'!AJ5</f>
        <v>0.30019696969696968</v>
      </c>
      <c r="O200" s="5">
        <f>+'Capitulo Etnico'!AK5</f>
        <v>0.30754545454545457</v>
      </c>
      <c r="P200" s="34">
        <f>+'Capitulo Etnico'!AL5</f>
        <v>6.1466666666666683E-2</v>
      </c>
      <c r="Q200" s="34">
        <f>+'Capitulo Etnico'!AM5</f>
        <v>0.29172121212121216</v>
      </c>
      <c r="R200" s="34">
        <f>+'Capitulo Etnico'!AN5</f>
        <v>0.3525151515151515</v>
      </c>
      <c r="S200" s="25"/>
      <c r="T200" s="2"/>
      <c r="U200" s="83"/>
    </row>
    <row r="201" spans="2:21" ht="66.599999999999994" customHeight="1" x14ac:dyDescent="0.7">
      <c r="B201" s="32" t="s">
        <v>1783</v>
      </c>
      <c r="C201" s="1587"/>
      <c r="D201" s="10">
        <f>+'Capitulo Etnico'!J14</f>
        <v>0.25</v>
      </c>
      <c r="E201" s="10">
        <f>+'Capitulo Etnico'!K14</f>
        <v>9.6428571428571433E-2</v>
      </c>
      <c r="F201" s="10">
        <f>+'Capitulo Etnico'!L14</f>
        <v>0.24922222222222218</v>
      </c>
      <c r="G201" s="10">
        <f t="shared" si="95"/>
        <v>9.6428571428571433E-2</v>
      </c>
      <c r="H201" s="10">
        <f t="shared" si="96"/>
        <v>0.65409235209235206</v>
      </c>
      <c r="I201" s="10">
        <f>+'Capitulo Etnico'!M14</f>
        <v>3.7500000000000006E-2</v>
      </c>
      <c r="J201" s="10">
        <f>+'Capitulo Etnico'!N14</f>
        <v>0.1075</v>
      </c>
      <c r="K201" s="10">
        <f>+'Capitulo Etnico'!AD14</f>
        <v>1</v>
      </c>
      <c r="L201" s="10">
        <f>+'Capitulo Etnico'!AE14</f>
        <v>7.575757575757576E-2</v>
      </c>
      <c r="M201" s="5">
        <f>+'Capitulo Etnico'!AI14</f>
        <v>0</v>
      </c>
      <c r="N201" s="5">
        <f>+'Capitulo Etnico'!AJ14</f>
        <v>0.40487012987012988</v>
      </c>
      <c r="O201" s="5">
        <f>+'Capitulo Etnico'!AK14</f>
        <v>0.4229076479076479</v>
      </c>
      <c r="P201" s="34">
        <f>+'Capitulo Etnico'!AL14</f>
        <v>0</v>
      </c>
      <c r="Q201" s="34">
        <f>+'Capitulo Etnico'!AM14</f>
        <v>0.25522727272727275</v>
      </c>
      <c r="R201" s="34">
        <f>+'Capitulo Etnico'!AN14</f>
        <v>0.29310606060606059</v>
      </c>
      <c r="S201" s="25"/>
      <c r="T201" s="2"/>
      <c r="U201" s="83"/>
    </row>
    <row r="202" spans="2:21" ht="57" customHeight="1" x14ac:dyDescent="0.7">
      <c r="B202" s="32" t="s">
        <v>1784</v>
      </c>
      <c r="C202" s="1587"/>
      <c r="D202" s="10">
        <f>+'Capitulo Etnico'!J22</f>
        <v>0.4</v>
      </c>
      <c r="E202" s="10">
        <f>+'Capitulo Etnico'!K22</f>
        <v>0.33214285714285718</v>
      </c>
      <c r="F202" s="10">
        <f>+'Capitulo Etnico'!L22</f>
        <v>0.45250000000000001</v>
      </c>
      <c r="G202" s="10">
        <f t="shared" si="95"/>
        <v>0.38928571428571435</v>
      </c>
      <c r="H202" s="10">
        <f t="shared" si="96"/>
        <v>0.80249999999999999</v>
      </c>
      <c r="I202" s="10">
        <f>+'Capitulo Etnico'!M22</f>
        <v>4.0000000000000008E-2</v>
      </c>
      <c r="J202" s="10">
        <f>+'Capitulo Etnico'!N22</f>
        <v>0.32625000000000004</v>
      </c>
      <c r="K202" s="10">
        <f>+'Capitulo Etnico'!AD22</f>
        <v>0.83750000000000002</v>
      </c>
      <c r="L202" s="10">
        <f>+'Capitulo Etnico'!AE22</f>
        <v>0</v>
      </c>
      <c r="M202" s="5">
        <f>+'Capitulo Etnico'!AI22</f>
        <v>5.7142857142857141E-2</v>
      </c>
      <c r="N202" s="5">
        <f>+'Capitulo Etnico'!AJ22</f>
        <v>0.35</v>
      </c>
      <c r="O202" s="5">
        <f>+'Capitulo Etnico'!AK22</f>
        <v>0.35</v>
      </c>
      <c r="P202" s="33">
        <f>+'Capitulo Etnico'!AL22</f>
        <v>8.0000000000000019E-3</v>
      </c>
      <c r="Q202" s="33">
        <f>+'Capitulo Etnico'!AM22</f>
        <v>0.54249999999999998</v>
      </c>
      <c r="R202" s="33">
        <f>+'Capitulo Etnico'!AN22</f>
        <v>0.53312500000000007</v>
      </c>
      <c r="S202" s="25"/>
      <c r="T202" s="2"/>
      <c r="U202" s="83"/>
    </row>
    <row r="203" spans="2:21" ht="49.8" x14ac:dyDescent="0.7">
      <c r="B203" s="30" t="str">
        <f>+'Capitulo Etnico'!B30:C30</f>
        <v xml:space="preserve">Territorio Sitio de Paz y Pensamiento Colectivo
</v>
      </c>
      <c r="C203" s="1587"/>
      <c r="D203" s="23">
        <f t="shared" ref="D203:I203" si="98">+(D204+D205+D206)/3</f>
        <v>0.22685185185185186</v>
      </c>
      <c r="E203" s="23">
        <f t="shared" si="98"/>
        <v>0.30802469135802468</v>
      </c>
      <c r="F203" s="23">
        <f t="shared" ref="F203" si="99">+(F204+F205+F206)/3</f>
        <v>0.40706172839506172</v>
      </c>
      <c r="G203" s="23">
        <f t="shared" si="95"/>
        <v>0.35432098765432096</v>
      </c>
      <c r="H203" s="23">
        <f t="shared" si="96"/>
        <v>0.77922376543209881</v>
      </c>
      <c r="I203" s="24">
        <f t="shared" si="98"/>
        <v>8.3611111111111122E-2</v>
      </c>
      <c r="J203" s="24">
        <f t="shared" ref="J203:K203" si="100">+(J204+J205+J206)/3</f>
        <v>0.29299999999999998</v>
      </c>
      <c r="K203" s="24">
        <f t="shared" si="100"/>
        <v>0.90111111111111108</v>
      </c>
      <c r="L203" s="24"/>
      <c r="M203" s="3">
        <f>+(M204+M205+M206)/3</f>
        <v>4.6296296296296287E-2</v>
      </c>
      <c r="N203" s="3">
        <f>+(N204+N205+N206)/3</f>
        <v>0.37216203703703704</v>
      </c>
      <c r="O203" s="3">
        <f>+(O204+O205+O206)/3</f>
        <v>0.39296643518518515</v>
      </c>
      <c r="P203" s="81">
        <f>+(P204+P205+P206)</f>
        <v>9.6249999999999999E-3</v>
      </c>
      <c r="Q203" s="81">
        <f>+'Capitulo Etnico'!AM30</f>
        <v>0.33927250000000003</v>
      </c>
      <c r="R203" s="81">
        <f>+'Capitulo Etnico'!AN30</f>
        <v>0.35048687500000003</v>
      </c>
      <c r="S203" s="25"/>
      <c r="T203" s="2"/>
      <c r="U203" s="83"/>
    </row>
    <row r="204" spans="2:21" ht="33.6" customHeight="1" x14ac:dyDescent="0.7">
      <c r="B204" s="32" t="s">
        <v>1785</v>
      </c>
      <c r="C204" s="1587"/>
      <c r="D204" s="10">
        <f>+'Capitulo Etnico'!J31</f>
        <v>0.30555555555555552</v>
      </c>
      <c r="E204" s="10">
        <f>+'Capitulo Etnico'!K31</f>
        <v>0.33462962962962967</v>
      </c>
      <c r="F204" s="10">
        <f>+'Capitulo Etnico'!L31</f>
        <v>0.45351851851851849</v>
      </c>
      <c r="G204" s="10">
        <f t="shared" si="95"/>
        <v>0.47351851851851856</v>
      </c>
      <c r="H204" s="10">
        <f t="shared" si="96"/>
        <v>0.76733796296296286</v>
      </c>
      <c r="I204" s="10">
        <f>+'Capitulo Etnico'!M31</f>
        <v>0.18208333333333335</v>
      </c>
      <c r="J204" s="10">
        <f>+'Capitulo Etnico'!N31</f>
        <v>0.29941666666666666</v>
      </c>
      <c r="K204" s="10">
        <f>+'Capitulo Etnico'!AD31</f>
        <v>0.83333333333333337</v>
      </c>
      <c r="L204" s="10">
        <f>+'Capitulo Etnico'!AE31</f>
        <v>3.4722222222222224E-2</v>
      </c>
      <c r="M204" s="5">
        <f>+'Capitulo Etnico'!AI31</f>
        <v>0.13888888888888887</v>
      </c>
      <c r="N204" s="5">
        <f>+'Capitulo Etnico'!AJ31</f>
        <v>0.31381944444444443</v>
      </c>
      <c r="O204" s="5">
        <f>+'Capitulo Etnico'!AK31</f>
        <v>0.34012152777777777</v>
      </c>
      <c r="P204" s="33">
        <f>+'Capitulo Etnico'!AL31</f>
        <v>9.6249999999999999E-3</v>
      </c>
      <c r="Q204" s="33">
        <f>+'Capitulo Etnico'!AM31</f>
        <v>0.17684166666666667</v>
      </c>
      <c r="R204" s="33">
        <f>+'Capitulo Etnico'!AN31</f>
        <v>0.18588958333333333</v>
      </c>
      <c r="S204" s="25"/>
      <c r="T204" s="2"/>
      <c r="U204" s="83"/>
    </row>
    <row r="205" spans="2:21" ht="40.200000000000003" customHeight="1" x14ac:dyDescent="0.7">
      <c r="B205" s="32" t="s">
        <v>1786</v>
      </c>
      <c r="C205" s="1587"/>
      <c r="D205" s="10">
        <f>+'Capitulo Etnico'!J40</f>
        <v>0.25</v>
      </c>
      <c r="E205" s="10">
        <f>+'Capitulo Etnico'!K40</f>
        <v>0.32777777777777778</v>
      </c>
      <c r="F205" s="10">
        <f>+'Capitulo Etnico'!L40</f>
        <v>0.4326666666666667</v>
      </c>
      <c r="G205" s="10">
        <f t="shared" si="95"/>
        <v>0.32777777777777778</v>
      </c>
      <c r="H205" s="10">
        <f t="shared" si="96"/>
        <v>0.76833333333333331</v>
      </c>
      <c r="I205" s="10">
        <f>+'Capitulo Etnico'!M40</f>
        <v>3.7499999999999999E-2</v>
      </c>
      <c r="J205" s="10">
        <f>+'Capitulo Etnico'!N40</f>
        <v>0.28416666666666668</v>
      </c>
      <c r="K205" s="10">
        <f>+'Capitulo Etnico'!AD40</f>
        <v>0.86999999999999988</v>
      </c>
      <c r="L205" s="10">
        <f>+'Capitulo Etnico'!AE40</f>
        <v>6.25E-2</v>
      </c>
      <c r="M205" s="5">
        <f>+'Capitulo Etnico'!AI40</f>
        <v>0</v>
      </c>
      <c r="N205" s="5">
        <f>+'Capitulo Etnico'!AJ40</f>
        <v>0.33566666666666661</v>
      </c>
      <c r="O205" s="5">
        <f>+'Capitulo Etnico'!AK40</f>
        <v>0.37177777777777776</v>
      </c>
      <c r="P205" s="33">
        <f>+'Capitulo Etnico'!AL40</f>
        <v>0</v>
      </c>
      <c r="Q205" s="33">
        <f>+'Capitulo Etnico'!AM40</f>
        <v>0.31906666666666667</v>
      </c>
      <c r="R205" s="33">
        <f>+'Capitulo Etnico'!AN40</f>
        <v>0.34739999999999999</v>
      </c>
      <c r="S205" s="25"/>
      <c r="T205" s="2"/>
      <c r="U205" s="83"/>
    </row>
    <row r="206" spans="2:21" ht="46.2" customHeight="1" x14ac:dyDescent="0.7">
      <c r="B206" s="35" t="s">
        <v>1787</v>
      </c>
      <c r="C206" s="1588"/>
      <c r="D206" s="39">
        <f>+'Capitulo Etnico'!J47</f>
        <v>0.125</v>
      </c>
      <c r="E206" s="39">
        <f>+'Capitulo Etnico'!K47</f>
        <v>0.26166666666666666</v>
      </c>
      <c r="F206" s="39">
        <f>+'Capitulo Etnico'!L47</f>
        <v>0.33500000000000002</v>
      </c>
      <c r="G206" s="39">
        <f t="shared" si="95"/>
        <v>0.26166666666666666</v>
      </c>
      <c r="H206" s="39">
        <f t="shared" si="96"/>
        <v>0.80200000000000005</v>
      </c>
      <c r="I206" s="39">
        <f>+'Capitulo Etnico'!M47</f>
        <v>3.125E-2</v>
      </c>
      <c r="J206" s="39">
        <f>+'Capitulo Etnico'!N47</f>
        <v>0.29541666666666666</v>
      </c>
      <c r="K206" s="39">
        <f>+'Capitulo Etnico'!AD47</f>
        <v>1</v>
      </c>
      <c r="L206" s="39">
        <f>+'Capitulo Etnico'!AE47</f>
        <v>0</v>
      </c>
      <c r="M206" s="36">
        <f>+'Capitulo Etnico'!AI47</f>
        <v>0</v>
      </c>
      <c r="N206" s="36">
        <f>+'Capitulo Etnico'!AJ47</f>
        <v>0.46699999999999997</v>
      </c>
      <c r="O206" s="36">
        <f>+'Capitulo Etnico'!AK47</f>
        <v>0.46699999999999997</v>
      </c>
      <c r="P206" s="37">
        <f>+'Capitulo Etnico'!AL47</f>
        <v>0</v>
      </c>
      <c r="Q206" s="37">
        <f>+'Capitulo Etnico'!AM47</f>
        <v>0.47625000000000006</v>
      </c>
      <c r="R206" s="37">
        <f>+'Capitulo Etnico'!AN47</f>
        <v>0.47625000000000006</v>
      </c>
      <c r="S206" s="25"/>
      <c r="T206" s="2"/>
      <c r="U206" s="83"/>
    </row>
  </sheetData>
  <sheetProtection password="DF7C" sheet="1" objects="1" scenarios="1"/>
  <autoFilter ref="B2:Y206"/>
  <mergeCells count="6">
    <mergeCell ref="C198:C206"/>
    <mergeCell ref="C4:C45"/>
    <mergeCell ref="C46:C91"/>
    <mergeCell ref="C92:C122"/>
    <mergeCell ref="C123:C160"/>
    <mergeCell ref="C161:C19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000"/>
  <sheetViews>
    <sheetView topLeftCell="P1" zoomScale="25" zoomScaleNormal="25" workbookViewId="0">
      <selection activeCell="AB8" sqref="AB8"/>
    </sheetView>
  </sheetViews>
  <sheetFormatPr baseColWidth="10" defaultColWidth="14.44140625" defaultRowHeight="15" customHeight="1" x14ac:dyDescent="0.5"/>
  <cols>
    <col min="1" max="1" width="10.6640625" style="1222" customWidth="1"/>
    <col min="2" max="2" width="80.88671875" style="1222" customWidth="1"/>
    <col min="3" max="3" width="48.109375" style="1222" customWidth="1"/>
    <col min="4" max="4" width="47.88671875" style="1222" customWidth="1"/>
    <col min="5" max="5" width="44" style="1222" customWidth="1"/>
    <col min="6" max="6" width="55.6640625" style="1222" customWidth="1"/>
    <col min="7" max="7" width="50.109375" style="1222" customWidth="1"/>
    <col min="8" max="8" width="53.77734375" style="1222" hidden="1" customWidth="1"/>
    <col min="9" max="10" width="51" style="1222" customWidth="1"/>
    <col min="11" max="11" width="49.77734375" style="1222" customWidth="1"/>
    <col min="12" max="13" width="54.33203125" style="1222" customWidth="1"/>
    <col min="14" max="14" width="55.44140625" style="1222" hidden="1" customWidth="1"/>
    <col min="15" max="15" width="50" style="1222" hidden="1" customWidth="1"/>
    <col min="16" max="16" width="63.5546875" style="1222" customWidth="1"/>
    <col min="17" max="17" width="66" style="1222" customWidth="1"/>
    <col min="18" max="18" width="61" style="1222" customWidth="1"/>
    <col min="19" max="19" width="69.6640625" style="1222" customWidth="1"/>
    <col min="20" max="20" width="67.44140625" style="1222" customWidth="1"/>
    <col min="21" max="21" width="56.109375" style="1222" hidden="1" customWidth="1"/>
    <col min="22" max="22" width="54.44140625" style="1222" hidden="1" customWidth="1"/>
    <col min="23" max="23" width="10.6640625" style="1222" customWidth="1"/>
    <col min="24" max="24" width="27.33203125" style="1222" customWidth="1"/>
    <col min="25" max="25" width="10.6640625" style="1222" customWidth="1"/>
    <col min="26" max="27" width="30" style="1222" customWidth="1"/>
    <col min="28" max="39" width="10.6640625" style="1222" customWidth="1"/>
    <col min="40" max="16384" width="14.44140625" style="1222"/>
  </cols>
  <sheetData>
    <row r="1" spans="2:29" ht="15" customHeight="1" thickBot="1" x14ac:dyDescent="0.55000000000000004"/>
    <row r="2" spans="2:29" ht="301.2" customHeight="1" x14ac:dyDescent="0.5">
      <c r="B2" s="1232"/>
      <c r="C2" s="1233" t="s">
        <v>1156</v>
      </c>
      <c r="D2" s="1234" t="s">
        <v>1986</v>
      </c>
      <c r="E2" s="1235" t="s">
        <v>1935</v>
      </c>
      <c r="F2" s="1236" t="s">
        <v>2564</v>
      </c>
      <c r="G2" s="1236" t="s">
        <v>2565</v>
      </c>
      <c r="H2" s="1237" t="s">
        <v>2478</v>
      </c>
      <c r="I2" s="1238" t="s">
        <v>2479</v>
      </c>
      <c r="J2" s="1236" t="s">
        <v>2568</v>
      </c>
      <c r="K2" s="1239" t="s">
        <v>2327</v>
      </c>
      <c r="L2" s="1238" t="s">
        <v>2480</v>
      </c>
      <c r="M2" s="1240" t="s">
        <v>2566</v>
      </c>
      <c r="N2" s="1241" t="s">
        <v>2433</v>
      </c>
      <c r="O2" s="1242" t="s">
        <v>2567</v>
      </c>
      <c r="P2" s="1243" t="s">
        <v>1578</v>
      </c>
      <c r="Q2" s="1244" t="s">
        <v>1969</v>
      </c>
      <c r="R2" s="1245" t="s">
        <v>1970</v>
      </c>
      <c r="S2" s="1246" t="s">
        <v>2481</v>
      </c>
      <c r="T2" s="1240" t="s">
        <v>2588</v>
      </c>
      <c r="U2" s="1247" t="s">
        <v>1154</v>
      </c>
      <c r="V2" s="1248" t="s">
        <v>1155</v>
      </c>
      <c r="Z2" s="1595" t="s">
        <v>1538</v>
      </c>
      <c r="AA2" s="1595" t="s">
        <v>1539</v>
      </c>
    </row>
    <row r="3" spans="2:29" ht="123.6" customHeight="1" thickBot="1" x14ac:dyDescent="0.75">
      <c r="B3" s="1249" t="s">
        <v>1588</v>
      </c>
      <c r="C3" s="1250"/>
      <c r="D3" s="1276">
        <v>0.2014</v>
      </c>
      <c r="E3" s="1277">
        <f>+'PLAN DE DESARROLLO 2024 - 2027'!E3</f>
        <v>0.29256753414565928</v>
      </c>
      <c r="F3" s="1515">
        <f>+'PLAN DE DESARROLLO 2024 - 2027'!F3</f>
        <v>0.31728941041665748</v>
      </c>
      <c r="G3" s="1516">
        <f>+F3+I3</f>
        <v>0.80223711421976773</v>
      </c>
      <c r="H3" s="1278">
        <f t="shared" ref="H3:H9" si="0">+I3-D3</f>
        <v>0.28354770380311023</v>
      </c>
      <c r="I3" s="1278">
        <f>+'PLAN DE DESARROLLO 2024 - 2027'!N3</f>
        <v>0.4849477038031102</v>
      </c>
      <c r="J3" s="1517">
        <f>+'PLAN DE DESARROLLO 2024 - 2027'!O3</f>
        <v>0.52319293972307812</v>
      </c>
      <c r="K3" s="1279">
        <v>0.7941582819202514</v>
      </c>
      <c r="L3" s="1279">
        <f>+'PLAN DE DESARROLLO 2024 - 2027'!K3</f>
        <v>0.84057533830791298</v>
      </c>
      <c r="M3" s="1518">
        <f>+'PLAN DE DESARROLLO 2024 - 2027'!L3</f>
        <v>0.18501820403177074</v>
      </c>
      <c r="N3" s="1276">
        <f t="shared" ref="N3:N9" si="1">+H3/E3</f>
        <v>0.96917009138116339</v>
      </c>
      <c r="O3" s="1280"/>
      <c r="P3" s="1276">
        <f>+'PLAN DE DESARROLLO 2024 - 2027'!I3</f>
        <v>0.17694181972502762</v>
      </c>
      <c r="Q3" s="1276">
        <f>+'PLAN DE DESARROLLO 2024 - 2027'!J3</f>
        <v>0.25280387096698398</v>
      </c>
      <c r="R3" s="1278">
        <v>0.16474944869063249</v>
      </c>
      <c r="S3" s="1281">
        <f>+'PLAN DE DESARROLLO 2024 - 2027'!Q3</f>
        <v>0.45156450190221792</v>
      </c>
      <c r="T3" s="1519">
        <f>+'PLAN DE DESARROLLO 2024 - 2027'!R3</f>
        <v>0.49708320477254825</v>
      </c>
      <c r="U3" s="1251"/>
      <c r="V3" s="1252"/>
      <c r="X3" s="1223"/>
      <c r="Z3" s="1596"/>
      <c r="AA3" s="1596"/>
    </row>
    <row r="4" spans="2:29" ht="92.25" customHeight="1" thickBot="1" x14ac:dyDescent="0.75">
      <c r="B4" s="1253" t="str">
        <f>+'Seguridad Humana'!B3:C3</f>
        <v xml:space="preserve"> SEGURIDAD HUMANA
</v>
      </c>
      <c r="C4" s="1282">
        <v>0.3</v>
      </c>
      <c r="D4" s="1254">
        <v>0.25472941442069297</v>
      </c>
      <c r="E4" s="1255">
        <f>+'PLAN DE DESARROLLO 2024 - 2027'!E4</f>
        <v>0.37391117816579211</v>
      </c>
      <c r="F4" s="1256">
        <f>+'PLAN DE DESARROLLO 2024 - 2027'!F4</f>
        <v>0.27891300774404798</v>
      </c>
      <c r="G4" s="1256">
        <f t="shared" ref="G4:G9" si="2">+F4+I4</f>
        <v>0.79931262285361604</v>
      </c>
      <c r="H4" s="1257">
        <f t="shared" si="0"/>
        <v>0.26567020068887515</v>
      </c>
      <c r="I4" s="1258">
        <f>+'PLAN DE DESARROLLO 2024 - 2027'!N4</f>
        <v>0.52039961510956811</v>
      </c>
      <c r="J4" s="1259">
        <f>+'PLAN DE DESARROLLO 2024 - 2027'!O4</f>
        <v>0.55531722153017071</v>
      </c>
      <c r="K4" s="1258">
        <v>0.84332704195548547</v>
      </c>
      <c r="L4" s="1258">
        <f>+'PLAN DE DESARROLLO 2024 - 2027'!K4</f>
        <v>0.84734962769466726</v>
      </c>
      <c r="M4" s="1259">
        <f>+'PLAN DE DESARROLLO 2024 - 2027'!L4</f>
        <v>0.19121125187168028</v>
      </c>
      <c r="N4" s="1254">
        <f t="shared" si="1"/>
        <v>0.71051687192693946</v>
      </c>
      <c r="O4" s="1260"/>
      <c r="P4" s="1254">
        <f>+'PLAN DE DESARROLLO 2024 - 2027'!I4</f>
        <v>0.1963447624265218</v>
      </c>
      <c r="Q4" s="1254">
        <f>+'PLAN DE DESARROLLO 2024 - 2027'!J4</f>
        <v>0.2531166550657612</v>
      </c>
      <c r="R4" s="1257">
        <v>0.20761825159703684</v>
      </c>
      <c r="S4" s="1261">
        <f>+'PLAN DE DESARROLLO 2024 - 2027'!Q4</f>
        <v>0.47908249879234166</v>
      </c>
      <c r="T4" s="1262">
        <f>+'PLAN DE DESARROLLO 2024 - 2027'!R4</f>
        <v>0.52120742165003209</v>
      </c>
      <c r="U4" s="1263"/>
      <c r="V4" s="1264"/>
      <c r="Z4" s="1224">
        <v>697</v>
      </c>
      <c r="AA4" s="1225">
        <f>1/Z4</f>
        <v>1.4347202295552368E-3</v>
      </c>
      <c r="AB4" s="1226"/>
    </row>
    <row r="5" spans="2:29" ht="91.2" customHeight="1" x14ac:dyDescent="0.7">
      <c r="B5" s="1253" t="str">
        <f>+'Vida Digna'!B3:C3</f>
        <v xml:space="preserve"> VIDA DIGNA
</v>
      </c>
      <c r="C5" s="1282">
        <v>0.2</v>
      </c>
      <c r="D5" s="1254">
        <v>0.22389547133016827</v>
      </c>
      <c r="E5" s="1255">
        <f>+'PLAN DE DESARROLLO 2024 - 2027'!E46</f>
        <v>0.29872026705958277</v>
      </c>
      <c r="F5" s="1256">
        <f>+'PLAN DE DESARROLLO 2024 - 2027'!F46</f>
        <v>0.31001232315895783</v>
      </c>
      <c r="G5" s="1256">
        <f t="shared" si="2"/>
        <v>0.82276088820641258</v>
      </c>
      <c r="H5" s="1257">
        <f t="shared" si="0"/>
        <v>0.2888530937172864</v>
      </c>
      <c r="I5" s="1258">
        <f>+'PLAN DE DESARROLLO 2024 - 2027'!N46</f>
        <v>0.5127485650474547</v>
      </c>
      <c r="J5" s="1259">
        <f>+'PLAN DE DESARROLLO 2024 - 2027'!O46</f>
        <v>0.56537558510342345</v>
      </c>
      <c r="K5" s="1258">
        <v>0.85198226383644504</v>
      </c>
      <c r="L5" s="1258">
        <f>+'PLAN DE DESARROLLO 2024 - 2027'!K46</f>
        <v>0.71907447715303718</v>
      </c>
      <c r="M5" s="1259">
        <f>+'PLAN DE DESARROLLO 2024 - 2027'!L46</f>
        <v>0.27856668470614288</v>
      </c>
      <c r="N5" s="1254">
        <f t="shared" si="1"/>
        <v>0.96696851727061339</v>
      </c>
      <c r="O5" s="1260"/>
      <c r="P5" s="1254">
        <f>+'PLAN DE DESARROLLO 2024 - 2027'!I46</f>
        <v>0.20215522261646302</v>
      </c>
      <c r="Q5" s="1254">
        <f>+'PLAN DE DESARROLLO 2024 - 2027'!J46</f>
        <v>0.26377249543649056</v>
      </c>
      <c r="R5" s="1257">
        <v>0.18203033285293824</v>
      </c>
      <c r="S5" s="1261">
        <f>+'PLAN DE DESARROLLO 2024 - 2027'!Q46</f>
        <v>0.48090129462939524</v>
      </c>
      <c r="T5" s="1262">
        <f>+'PLAN DE DESARROLLO 2024 - 2027'!R46</f>
        <v>0.53288230613882503</v>
      </c>
      <c r="U5" s="1263"/>
      <c r="V5" s="1265"/>
      <c r="AA5" s="1227"/>
      <c r="AB5" s="1228"/>
      <c r="AC5" s="1228"/>
    </row>
    <row r="6" spans="2:29" ht="105.6" customHeight="1" x14ac:dyDescent="0.7">
      <c r="B6" s="1253" t="str">
        <f>+'Desarrollo Economico'!B3:B3</f>
        <v xml:space="preserve"> DESARROLLO ECONÓMICO EQUITATIVO
</v>
      </c>
      <c r="C6" s="1282">
        <v>0.15</v>
      </c>
      <c r="D6" s="1254">
        <v>0.23537004965661618</v>
      </c>
      <c r="E6" s="1255">
        <f>+'PLAN DE DESARROLLO 2024 - 2027'!E92</f>
        <v>0.30640994027190521</v>
      </c>
      <c r="F6" s="1256">
        <f>+'PLAN DE DESARROLLO 2024 - 2027'!F92</f>
        <v>0.33397271274256368</v>
      </c>
      <c r="G6" s="1256">
        <f t="shared" si="2"/>
        <v>0.82209331785503881</v>
      </c>
      <c r="H6" s="1257">
        <f t="shared" si="0"/>
        <v>0.25275055545585895</v>
      </c>
      <c r="I6" s="1258">
        <f>+'PLAN DE DESARROLLO 2024 - 2027'!N92</f>
        <v>0.48812060511247513</v>
      </c>
      <c r="J6" s="1259">
        <f>+'PLAN DE DESARROLLO 2024 - 2027'!O92</f>
        <v>0.52346057293872739</v>
      </c>
      <c r="K6" s="1258">
        <v>0.9432222222222223</v>
      </c>
      <c r="L6" s="1258">
        <f>+'PLAN DE DESARROLLO 2024 - 2027'!K92</f>
        <v>0.8280801355041183</v>
      </c>
      <c r="M6" s="1259">
        <f>+'PLAN DE DESARROLLO 2024 - 2027'!L92</f>
        <v>0.13599855463539826</v>
      </c>
      <c r="N6" s="1254">
        <f t="shared" si="1"/>
        <v>0.8248771408380895</v>
      </c>
      <c r="O6" s="1260"/>
      <c r="P6" s="1254">
        <f>+'PLAN DE DESARROLLO 2024 - 2027'!I92</f>
        <v>0.17821682568108904</v>
      </c>
      <c r="Q6" s="1254">
        <f>+'PLAN DE DESARROLLO 2024 - 2027'!J92</f>
        <v>0.29286468501983037</v>
      </c>
      <c r="R6" s="1257">
        <v>0.19709284711832917</v>
      </c>
      <c r="S6" s="1261">
        <f>+'PLAN DE DESARROLLO 2024 - 2027'!Q92</f>
        <v>0.47987044466787071</v>
      </c>
      <c r="T6" s="1262">
        <f>+'PLAN DE DESARROLLO 2024 - 2027'!R92</f>
        <v>0.50250755082733933</v>
      </c>
      <c r="U6" s="1263"/>
      <c r="V6" s="1265"/>
      <c r="AA6" s="1227"/>
    </row>
    <row r="7" spans="2:29" ht="153.6" customHeight="1" x14ac:dyDescent="0.7">
      <c r="B7" s="1253" t="str">
        <f>+'Ciudad Conectada'!B3:B3</f>
        <v xml:space="preserve">CARTAGENA CIUDAD CONECTADA Y SOSTENIBLE
</v>
      </c>
      <c r="C7" s="1282">
        <v>0.25</v>
      </c>
      <c r="D7" s="1254">
        <v>0.22160323916687383</v>
      </c>
      <c r="E7" s="1255">
        <f>+'PLAN DE DESARROLLO 2024 - 2027'!E123</f>
        <v>0.23066712604683681</v>
      </c>
      <c r="F7" s="1256">
        <f>+'PLAN DE DESARROLLO 2024 - 2027'!F123</f>
        <v>0.29164467050978948</v>
      </c>
      <c r="G7" s="1256">
        <f t="shared" si="2"/>
        <v>0.77279219838918167</v>
      </c>
      <c r="H7" s="1257">
        <f t="shared" si="0"/>
        <v>0.25954428871251833</v>
      </c>
      <c r="I7" s="1258">
        <f>+'PLAN DE DESARROLLO 2024 - 2027'!N123</f>
        <v>0.48114752787939219</v>
      </c>
      <c r="J7" s="1259">
        <f>+'PLAN DE DESARROLLO 2024 - 2027'!O123</f>
        <v>0.53358917072877365</v>
      </c>
      <c r="K7" s="1258">
        <v>0.81130732140563089</v>
      </c>
      <c r="L7" s="1258">
        <f>+'PLAN DE DESARROLLO 2024 - 2027'!K123</f>
        <v>0.84012102824924451</v>
      </c>
      <c r="M7" s="1259">
        <f>+'PLAN DE DESARROLLO 2024 - 2027'!L123</f>
        <v>0.20790903394659535</v>
      </c>
      <c r="N7" s="1254">
        <f t="shared" si="1"/>
        <v>1.1251897622369389</v>
      </c>
      <c r="O7" s="1260"/>
      <c r="P7" s="1254">
        <f>+'PLAN DE DESARROLLO 2024 - 2027'!I123</f>
        <v>0.19844971717901827</v>
      </c>
      <c r="Q7" s="1254">
        <f>+'PLAN DE DESARROLLO 2024 - 2027'!J123</f>
        <v>0.20087091613383856</v>
      </c>
      <c r="R7" s="1257">
        <v>0.1858257807711004</v>
      </c>
      <c r="S7" s="1261">
        <f>+'PLAN DE DESARROLLO 2024 - 2027'!Q123</f>
        <v>0.37052459010275579</v>
      </c>
      <c r="T7" s="1262">
        <f>+'PLAN DE DESARROLLO 2024 - 2027'!R123</f>
        <v>0.43051012846917308</v>
      </c>
      <c r="U7" s="1263"/>
      <c r="V7" s="1265"/>
    </row>
    <row r="8" spans="2:29" ht="169.2" customHeight="1" x14ac:dyDescent="0.7">
      <c r="B8" s="1253" t="str">
        <f>+'Innovación Pública'!B3:B3</f>
        <v xml:space="preserve"> INNOVACIÓN PÚBLICA Y PARTICIPACIÓN CIUDADANA
</v>
      </c>
      <c r="C8" s="1282">
        <v>0.08</v>
      </c>
      <c r="D8" s="1254">
        <v>0.21734598565460142</v>
      </c>
      <c r="E8" s="1255">
        <f>+'PLAN DE DESARROLLO 2024 - 2027'!E161</f>
        <v>0.28247799844447724</v>
      </c>
      <c r="F8" s="1256">
        <f>+'PLAN DE DESARROLLO 2024 - 2027'!F161</f>
        <v>0.29285203758620826</v>
      </c>
      <c r="G8" s="1256">
        <f t="shared" si="2"/>
        <v>0.83819641214294427</v>
      </c>
      <c r="H8" s="1257">
        <f t="shared" si="0"/>
        <v>0.32799838890213462</v>
      </c>
      <c r="I8" s="1258">
        <f>+'PLAN DE DESARROLLO 2024 - 2027'!N161</f>
        <v>0.54534437455673601</v>
      </c>
      <c r="J8" s="1259">
        <f>+'PLAN DE DESARROLLO 2024 - 2027'!O161</f>
        <v>0.58485635336926378</v>
      </c>
      <c r="K8" s="1258">
        <v>0.9123330643239469</v>
      </c>
      <c r="L8" s="1258">
        <f>+'PLAN DE DESARROLLO 2024 - 2027'!K161</f>
        <v>0.88535453902418837</v>
      </c>
      <c r="M8" s="1259">
        <f>+'PLAN DE DESARROLLO 2024 - 2027'!L161</f>
        <v>0.25770144245140841</v>
      </c>
      <c r="N8" s="1254">
        <f t="shared" si="1"/>
        <v>1.161146675876793</v>
      </c>
      <c r="O8" s="1260"/>
      <c r="P8" s="1254">
        <f>+'PLAN DE DESARROLLO 2024 - 2027'!I161</f>
        <v>0.21726216822485131</v>
      </c>
      <c r="Q8" s="1254">
        <f>+'PLAN DE DESARROLLO 2024 - 2027'!J161</f>
        <v>0.25962902970153884</v>
      </c>
      <c r="R8" s="1257">
        <v>0.19305031313772361</v>
      </c>
      <c r="S8" s="1261">
        <f>+'PLAN DE DESARROLLO 2024 - 2027'!Q161</f>
        <v>0.50552782129594898</v>
      </c>
      <c r="T8" s="1262">
        <f>+'PLAN DE DESARROLLO 2024 - 2027'!R161</f>
        <v>0.54894144575815218</v>
      </c>
      <c r="U8" s="1263"/>
      <c r="V8" s="1265"/>
    </row>
    <row r="9" spans="2:29" ht="184.95" customHeight="1" thickBot="1" x14ac:dyDescent="0.75">
      <c r="B9" s="1266" t="str">
        <f>+'Capitulo Etnico'!B3:C3</f>
        <v xml:space="preserve">CAPÍTULO DE LOS PUEBLOS Y COMUNIDADES ÉTNICAS
</v>
      </c>
      <c r="C9" s="1283">
        <v>0.02</v>
      </c>
      <c r="D9" s="1267">
        <v>5.5588624338624326E-2</v>
      </c>
      <c r="E9" s="1268">
        <f>+'PLAN DE DESARROLLO 2024 - 2027'!E198</f>
        <v>0.26321869488536154</v>
      </c>
      <c r="F9" s="1269">
        <f>+'PLAN DE DESARROLLO 2024 - 2027'!F198</f>
        <v>0.39634171075837743</v>
      </c>
      <c r="G9" s="1269">
        <f t="shared" si="2"/>
        <v>0.75826724587141259</v>
      </c>
      <c r="H9" s="1270">
        <f t="shared" si="0"/>
        <v>0.30633691077441083</v>
      </c>
      <c r="I9" s="1271">
        <f>+'PLAN DE DESARROLLO 2024 - 2027'!N198</f>
        <v>0.36192553511303516</v>
      </c>
      <c r="J9" s="1272">
        <f>+'PLAN DE DESARROLLO 2024 - 2027'!O198</f>
        <v>0.37655873466810963</v>
      </c>
      <c r="K9" s="1271">
        <v>0.40277777777777779</v>
      </c>
      <c r="L9" s="1271">
        <f>+'PLAN DE DESARROLLO 2024 - 2027'!K198</f>
        <v>0.92347222222222225</v>
      </c>
      <c r="M9" s="1272">
        <f>+'PLAN DE DESARROLLO 2024 - 2027'!L198</f>
        <v>3.8722256579399435E-2</v>
      </c>
      <c r="N9" s="1267">
        <f t="shared" si="1"/>
        <v>1.1638113733062478</v>
      </c>
      <c r="O9" s="1273"/>
      <c r="P9" s="1267">
        <f>+'PLAN DE DESARROLLO 2024 - 2027'!I198</f>
        <v>6.9222222222222241E-2</v>
      </c>
      <c r="Q9" s="1267">
        <f>+'PLAN DE DESARROLLO 2024 - 2027'!J198</f>
        <v>0.24656944444444442</v>
      </c>
      <c r="R9" s="1270">
        <v>2.2879166666666673E-2</v>
      </c>
      <c r="S9" s="1274">
        <f>+'PLAN DE DESARROLLO 2024 - 2027'!Q198</f>
        <v>0.33027767045454548</v>
      </c>
      <c r="T9" s="1275">
        <f>+'PLAN DE DESARROLLO 2024 - 2027'!R198</f>
        <v>0.36127683238636366</v>
      </c>
      <c r="U9" s="1263"/>
      <c r="V9" s="1265"/>
    </row>
    <row r="10" spans="2:29" ht="25.8" x14ac:dyDescent="0.5">
      <c r="B10" s="1229"/>
      <c r="U10" s="1230"/>
    </row>
    <row r="14" spans="2:29" ht="25.8" x14ac:dyDescent="0.5">
      <c r="U14" s="1229"/>
    </row>
    <row r="21" ht="15.75" customHeight="1" x14ac:dyDescent="0.5"/>
    <row r="22" ht="15.75" customHeight="1" x14ac:dyDescent="0.5"/>
    <row r="23" ht="15.75" customHeight="1" x14ac:dyDescent="0.5"/>
    <row r="24" ht="15.75" customHeight="1" x14ac:dyDescent="0.5"/>
    <row r="25" ht="15.75" customHeight="1" x14ac:dyDescent="0.5"/>
    <row r="26" ht="15.75" customHeight="1" x14ac:dyDescent="0.5"/>
    <row r="27" ht="15.75" customHeight="1" x14ac:dyDescent="0.5"/>
    <row r="28" ht="15.75" customHeight="1" x14ac:dyDescent="0.5"/>
    <row r="29" ht="15.75" customHeight="1" x14ac:dyDescent="0.5"/>
    <row r="30" ht="15.75" customHeight="1" x14ac:dyDescent="0.5"/>
    <row r="31" ht="15.75" customHeight="1" x14ac:dyDescent="0.5"/>
    <row r="32" ht="15.75" customHeight="1" x14ac:dyDescent="0.5"/>
    <row r="33" spans="30:30" ht="15.75" customHeight="1" x14ac:dyDescent="0.5"/>
    <row r="34" spans="30:30" ht="15.75" customHeight="1" x14ac:dyDescent="0.5"/>
    <row r="35" spans="30:30" ht="15.75" customHeight="1" x14ac:dyDescent="0.5"/>
    <row r="36" spans="30:30" ht="15.75" customHeight="1" x14ac:dyDescent="0.5"/>
    <row r="37" spans="30:30" ht="15.75" customHeight="1" x14ac:dyDescent="0.5"/>
    <row r="38" spans="30:30" ht="15.75" customHeight="1" x14ac:dyDescent="0.5"/>
    <row r="39" spans="30:30" ht="15.75" customHeight="1" x14ac:dyDescent="0.5"/>
    <row r="40" spans="30:30" ht="15.75" customHeight="1" x14ac:dyDescent="0.5"/>
    <row r="41" spans="30:30" ht="15.75" customHeight="1" x14ac:dyDescent="0.5"/>
    <row r="42" spans="30:30" ht="15.75" customHeight="1" x14ac:dyDescent="0.5"/>
    <row r="43" spans="30:30" ht="15.75" customHeight="1" x14ac:dyDescent="0.5"/>
    <row r="44" spans="30:30" ht="15.75" customHeight="1" x14ac:dyDescent="0.5"/>
    <row r="45" spans="30:30" ht="15.75" customHeight="1" x14ac:dyDescent="0.5"/>
    <row r="46" spans="30:30" ht="15.75" customHeight="1" x14ac:dyDescent="0.5"/>
    <row r="47" spans="30:30" ht="15.75" customHeight="1" x14ac:dyDescent="0.5">
      <c r="AD47" s="1231"/>
    </row>
    <row r="48" spans="30:30" ht="15.75" customHeight="1" x14ac:dyDescent="0.5"/>
    <row r="49" ht="15.75" customHeight="1" x14ac:dyDescent="0.5"/>
    <row r="50" ht="15.75" customHeight="1" x14ac:dyDescent="0.5"/>
    <row r="51" ht="15.75" customHeight="1" x14ac:dyDescent="0.5"/>
    <row r="52" ht="15.75" customHeight="1" x14ac:dyDescent="0.5"/>
    <row r="53" ht="15.75" customHeight="1" x14ac:dyDescent="0.5"/>
    <row r="54" ht="15.75" customHeight="1" x14ac:dyDescent="0.5"/>
    <row r="55" ht="15.75" customHeight="1" x14ac:dyDescent="0.5"/>
    <row r="56" ht="15.75" customHeight="1" x14ac:dyDescent="0.5"/>
    <row r="57" ht="15.75" customHeight="1" x14ac:dyDescent="0.5"/>
    <row r="58" ht="15.75" customHeight="1" x14ac:dyDescent="0.5"/>
    <row r="59" ht="15.75" customHeight="1" x14ac:dyDescent="0.5"/>
    <row r="60" ht="15.75" customHeight="1" x14ac:dyDescent="0.5"/>
    <row r="61" ht="15.75" customHeight="1" x14ac:dyDescent="0.5"/>
    <row r="62" ht="15.75" customHeight="1" x14ac:dyDescent="0.5"/>
    <row r="63" ht="15.75" customHeight="1" x14ac:dyDescent="0.5"/>
    <row r="64" ht="15.75" customHeight="1" x14ac:dyDescent="0.5"/>
    <row r="65" ht="15.75" customHeight="1" x14ac:dyDescent="0.5"/>
    <row r="66" ht="15.75" customHeight="1" x14ac:dyDescent="0.5"/>
    <row r="67" ht="15.75" customHeight="1" x14ac:dyDescent="0.5"/>
    <row r="68" ht="15.75" customHeight="1" x14ac:dyDescent="0.5"/>
    <row r="69" ht="15.75" customHeight="1" x14ac:dyDescent="0.5"/>
    <row r="70" ht="15.75" customHeight="1" x14ac:dyDescent="0.5"/>
    <row r="71" ht="15.75" customHeight="1" x14ac:dyDescent="0.5"/>
    <row r="72" ht="15.75" customHeight="1" x14ac:dyDescent="0.5"/>
    <row r="73" ht="15.75" customHeight="1" x14ac:dyDescent="0.5"/>
    <row r="74" ht="15.75" customHeight="1" x14ac:dyDescent="0.5"/>
    <row r="75" ht="15.75" customHeight="1" x14ac:dyDescent="0.5"/>
    <row r="76" ht="15.75" customHeight="1" x14ac:dyDescent="0.5"/>
    <row r="77" ht="15.75" customHeight="1" x14ac:dyDescent="0.5"/>
    <row r="78" ht="15.75" customHeight="1" x14ac:dyDescent="0.5"/>
    <row r="79" ht="15.75" customHeight="1" x14ac:dyDescent="0.5"/>
    <row r="80" ht="15.75" customHeight="1" x14ac:dyDescent="0.5"/>
    <row r="81" ht="15.75" customHeight="1" x14ac:dyDescent="0.5"/>
    <row r="82" ht="15.75" customHeight="1" x14ac:dyDescent="0.5"/>
    <row r="83" ht="15.75" customHeight="1" x14ac:dyDescent="0.5"/>
    <row r="84" ht="15.75" customHeight="1" x14ac:dyDescent="0.5"/>
    <row r="85" ht="15.75" customHeight="1" x14ac:dyDescent="0.5"/>
    <row r="86" ht="15.75" customHeight="1" x14ac:dyDescent="0.5"/>
    <row r="87" ht="15.75" customHeight="1" x14ac:dyDescent="0.5"/>
    <row r="88" ht="15.75" customHeight="1" x14ac:dyDescent="0.5"/>
    <row r="89" ht="15.75" customHeight="1" x14ac:dyDescent="0.5"/>
    <row r="90" ht="15.75" customHeight="1" x14ac:dyDescent="0.5"/>
    <row r="91" ht="15.75" customHeight="1" x14ac:dyDescent="0.5"/>
    <row r="92" ht="15.75" customHeight="1" x14ac:dyDescent="0.5"/>
    <row r="93" ht="15.75" customHeight="1" x14ac:dyDescent="0.5"/>
    <row r="94" ht="15.75" customHeight="1" x14ac:dyDescent="0.5"/>
    <row r="95" ht="15.75" customHeight="1" x14ac:dyDescent="0.5"/>
    <row r="96" ht="15.75" customHeight="1" x14ac:dyDescent="0.5"/>
    <row r="97" ht="15.75" customHeight="1" x14ac:dyDescent="0.5"/>
    <row r="98" ht="15.75" customHeight="1" x14ac:dyDescent="0.5"/>
    <row r="99" ht="15.75" customHeight="1" x14ac:dyDescent="0.5"/>
    <row r="100" ht="15.75" customHeight="1" x14ac:dyDescent="0.5"/>
    <row r="101" ht="15.75" customHeight="1" x14ac:dyDescent="0.5"/>
    <row r="102" ht="15.75" customHeight="1" x14ac:dyDescent="0.5"/>
    <row r="103" ht="15.75" customHeight="1" x14ac:dyDescent="0.5"/>
    <row r="104" ht="15.75" customHeight="1" x14ac:dyDescent="0.5"/>
    <row r="105" ht="15.75" customHeight="1" x14ac:dyDescent="0.5"/>
    <row r="106" ht="15.75" customHeight="1" x14ac:dyDescent="0.5"/>
    <row r="107" ht="15.75" customHeight="1" x14ac:dyDescent="0.5"/>
    <row r="108" ht="15.75" customHeight="1" x14ac:dyDescent="0.5"/>
    <row r="109" ht="15.75" customHeight="1" x14ac:dyDescent="0.5"/>
    <row r="110" ht="15.75" customHeight="1" x14ac:dyDescent="0.5"/>
    <row r="111" ht="15.75" customHeight="1" x14ac:dyDescent="0.5"/>
    <row r="112" ht="15.75" customHeight="1" x14ac:dyDescent="0.5"/>
    <row r="113" ht="15.75" customHeight="1" x14ac:dyDescent="0.5"/>
    <row r="114" ht="15.75" customHeight="1" x14ac:dyDescent="0.5"/>
    <row r="115" ht="15.75" customHeight="1" x14ac:dyDescent="0.5"/>
    <row r="116" ht="15.75" customHeight="1" x14ac:dyDescent="0.5"/>
    <row r="117" ht="15.75" customHeight="1" x14ac:dyDescent="0.5"/>
    <row r="118" ht="15.75" customHeight="1" x14ac:dyDescent="0.5"/>
    <row r="119" ht="15.75" customHeight="1" x14ac:dyDescent="0.5"/>
    <row r="120" ht="15.75" customHeight="1" x14ac:dyDescent="0.5"/>
    <row r="121" ht="15.75" customHeight="1" x14ac:dyDescent="0.5"/>
    <row r="122" ht="15.75" customHeight="1" x14ac:dyDescent="0.5"/>
    <row r="123" ht="15.75" customHeight="1" x14ac:dyDescent="0.5"/>
    <row r="124" ht="15.75" customHeight="1" x14ac:dyDescent="0.5"/>
    <row r="125" ht="15.75" customHeight="1" x14ac:dyDescent="0.5"/>
    <row r="126" ht="15.75" customHeight="1" x14ac:dyDescent="0.5"/>
    <row r="127" ht="15.75" customHeight="1" x14ac:dyDescent="0.5"/>
    <row r="128" ht="15.75" customHeight="1" x14ac:dyDescent="0.5"/>
    <row r="129" ht="15.75" customHeight="1" x14ac:dyDescent="0.5"/>
    <row r="130" ht="15.75" customHeight="1" x14ac:dyDescent="0.5"/>
    <row r="131" ht="15.75" customHeight="1" x14ac:dyDescent="0.5"/>
    <row r="132" ht="15.75" customHeight="1" x14ac:dyDescent="0.5"/>
    <row r="133" ht="15.75" customHeight="1" x14ac:dyDescent="0.5"/>
    <row r="134" ht="15.75" customHeight="1" x14ac:dyDescent="0.5"/>
    <row r="135" ht="15.75" customHeight="1" x14ac:dyDescent="0.5"/>
    <row r="136" ht="15.75" customHeight="1" x14ac:dyDescent="0.5"/>
    <row r="137" ht="15.75" customHeight="1" x14ac:dyDescent="0.5"/>
    <row r="138" ht="15.75" customHeight="1" x14ac:dyDescent="0.5"/>
    <row r="139" ht="15.75" customHeight="1" x14ac:dyDescent="0.5"/>
    <row r="140" ht="15.75" customHeight="1" x14ac:dyDescent="0.5"/>
    <row r="141" ht="15.75" customHeight="1" x14ac:dyDescent="0.5"/>
    <row r="142" ht="15.75" customHeight="1" x14ac:dyDescent="0.5"/>
    <row r="143" ht="15.75" customHeight="1" x14ac:dyDescent="0.5"/>
    <row r="144" ht="15.75" customHeight="1" x14ac:dyDescent="0.5"/>
    <row r="145" ht="15.75" customHeight="1" x14ac:dyDescent="0.5"/>
    <row r="146" ht="15.75" customHeight="1" x14ac:dyDescent="0.5"/>
    <row r="147" ht="15.75" customHeight="1" x14ac:dyDescent="0.5"/>
    <row r="148" ht="15.75" customHeight="1" x14ac:dyDescent="0.5"/>
    <row r="149" ht="15.75" customHeight="1" x14ac:dyDescent="0.5"/>
    <row r="150" ht="15.75" customHeight="1" x14ac:dyDescent="0.5"/>
    <row r="151" ht="15.75" customHeight="1" x14ac:dyDescent="0.5"/>
    <row r="152" ht="15.75" customHeight="1" x14ac:dyDescent="0.5"/>
    <row r="153" ht="15.75" customHeight="1" x14ac:dyDescent="0.5"/>
    <row r="154" ht="15.75" customHeight="1" x14ac:dyDescent="0.5"/>
    <row r="155" ht="15.75" customHeight="1" x14ac:dyDescent="0.5"/>
    <row r="156" ht="15.75" customHeight="1" x14ac:dyDescent="0.5"/>
    <row r="157" ht="15.75" customHeight="1" x14ac:dyDescent="0.5"/>
    <row r="158" ht="15.75" customHeight="1" x14ac:dyDescent="0.5"/>
    <row r="159" ht="15.75" customHeight="1" x14ac:dyDescent="0.5"/>
    <row r="160" ht="15.75" customHeight="1" x14ac:dyDescent="0.5"/>
    <row r="161" ht="15.75" customHeight="1" x14ac:dyDescent="0.5"/>
    <row r="162" ht="15.75" customHeight="1" x14ac:dyDescent="0.5"/>
    <row r="163" ht="15.75" customHeight="1" x14ac:dyDescent="0.5"/>
    <row r="164" ht="15.75" customHeight="1" x14ac:dyDescent="0.5"/>
    <row r="165" ht="15.75" customHeight="1" x14ac:dyDescent="0.5"/>
    <row r="166" ht="15.75" customHeight="1" x14ac:dyDescent="0.5"/>
    <row r="167" ht="15.75" customHeight="1" x14ac:dyDescent="0.5"/>
    <row r="168" ht="15.75" customHeight="1" x14ac:dyDescent="0.5"/>
    <row r="169" ht="15.75" customHeight="1" x14ac:dyDescent="0.5"/>
    <row r="170" ht="15.75" customHeight="1" x14ac:dyDescent="0.5"/>
    <row r="171" ht="15.75" customHeight="1" x14ac:dyDescent="0.5"/>
    <row r="172" ht="15.75" customHeight="1" x14ac:dyDescent="0.5"/>
    <row r="173" ht="15.75" customHeight="1" x14ac:dyDescent="0.5"/>
    <row r="174" ht="15.75" customHeight="1" x14ac:dyDescent="0.5"/>
    <row r="175" ht="15.75" customHeight="1" x14ac:dyDescent="0.5"/>
    <row r="176" ht="15.75" customHeight="1" x14ac:dyDescent="0.5"/>
    <row r="177" ht="15.75" customHeight="1" x14ac:dyDescent="0.5"/>
    <row r="178" ht="15.75" customHeight="1" x14ac:dyDescent="0.5"/>
    <row r="179" ht="15.75" customHeight="1" x14ac:dyDescent="0.5"/>
    <row r="180" ht="15.75" customHeight="1" x14ac:dyDescent="0.5"/>
    <row r="181" ht="15.75" customHeight="1" x14ac:dyDescent="0.5"/>
    <row r="182" ht="15.75" customHeight="1" x14ac:dyDescent="0.5"/>
    <row r="183" ht="15.75" customHeight="1" x14ac:dyDescent="0.5"/>
    <row r="184" ht="15.75" customHeight="1" x14ac:dyDescent="0.5"/>
    <row r="185" ht="15.75" customHeight="1" x14ac:dyDescent="0.5"/>
    <row r="186" ht="15.75" customHeight="1" x14ac:dyDescent="0.5"/>
    <row r="187" ht="15.75" customHeight="1" x14ac:dyDescent="0.5"/>
    <row r="188" ht="15.75" customHeight="1" x14ac:dyDescent="0.5"/>
    <row r="189" ht="15.75" customHeight="1" x14ac:dyDescent="0.5"/>
    <row r="190" ht="15.75" customHeight="1" x14ac:dyDescent="0.5"/>
    <row r="191" ht="15.75" customHeight="1" x14ac:dyDescent="0.5"/>
    <row r="192" ht="15.75" customHeight="1" x14ac:dyDescent="0.5"/>
    <row r="193" ht="15.75" customHeight="1" x14ac:dyDescent="0.5"/>
    <row r="194" ht="15.75" customHeight="1" x14ac:dyDescent="0.5"/>
    <row r="195" ht="15.75" customHeight="1" x14ac:dyDescent="0.5"/>
    <row r="196" ht="15.75" customHeight="1" x14ac:dyDescent="0.5"/>
    <row r="197" ht="15.75" customHeight="1" x14ac:dyDescent="0.5"/>
    <row r="198" ht="15.75" customHeight="1" x14ac:dyDescent="0.5"/>
    <row r="199" ht="15.75" customHeight="1" x14ac:dyDescent="0.5"/>
    <row r="200" ht="15.75" customHeight="1" x14ac:dyDescent="0.5"/>
    <row r="201" ht="15.75" customHeight="1" x14ac:dyDescent="0.5"/>
    <row r="202" ht="15.75" customHeight="1" x14ac:dyDescent="0.5"/>
    <row r="203" ht="15.75" customHeight="1" x14ac:dyDescent="0.5"/>
    <row r="204" ht="15.75" customHeight="1" x14ac:dyDescent="0.5"/>
    <row r="205" ht="15.75" customHeight="1" x14ac:dyDescent="0.5"/>
    <row r="206" ht="15.75" customHeight="1" x14ac:dyDescent="0.5"/>
    <row r="207" ht="15.75" customHeight="1" x14ac:dyDescent="0.5"/>
    <row r="208" ht="15.75" customHeight="1" x14ac:dyDescent="0.5"/>
    <row r="209" ht="15.75" customHeight="1" x14ac:dyDescent="0.5"/>
    <row r="210" ht="15.75" customHeight="1" x14ac:dyDescent="0.5"/>
    <row r="211" ht="15.75" customHeight="1" x14ac:dyDescent="0.5"/>
    <row r="212" ht="15.75" customHeight="1" x14ac:dyDescent="0.5"/>
    <row r="213" ht="15.75" customHeight="1" x14ac:dyDescent="0.5"/>
    <row r="214" ht="15.75" customHeight="1" x14ac:dyDescent="0.5"/>
    <row r="215" ht="15.75" customHeight="1" x14ac:dyDescent="0.5"/>
    <row r="216" ht="15.75" customHeight="1" x14ac:dyDescent="0.5"/>
    <row r="217" ht="15.75" customHeight="1" x14ac:dyDescent="0.5"/>
    <row r="218" ht="15.75" customHeight="1" x14ac:dyDescent="0.5"/>
    <row r="219" ht="15.75" customHeight="1" x14ac:dyDescent="0.5"/>
    <row r="220" ht="15.75" customHeight="1" x14ac:dyDescent="0.5"/>
    <row r="221" ht="15.75" customHeight="1" x14ac:dyDescent="0.5"/>
    <row r="222" ht="15.75" customHeight="1" x14ac:dyDescent="0.5"/>
    <row r="223" ht="15.75" customHeight="1" x14ac:dyDescent="0.5"/>
    <row r="224" ht="15.75" customHeight="1" x14ac:dyDescent="0.5"/>
    <row r="225" ht="15.75" customHeight="1" x14ac:dyDescent="0.5"/>
    <row r="226" ht="15.75" customHeight="1" x14ac:dyDescent="0.5"/>
    <row r="227" ht="15.75" customHeight="1" x14ac:dyDescent="0.5"/>
    <row r="228" ht="15.75" customHeight="1" x14ac:dyDescent="0.5"/>
    <row r="229" ht="15.75" customHeight="1" x14ac:dyDescent="0.5"/>
    <row r="230" ht="15.75" customHeight="1" x14ac:dyDescent="0.5"/>
    <row r="231" ht="15.75" customHeight="1" x14ac:dyDescent="0.5"/>
    <row r="232" ht="15.75" customHeight="1" x14ac:dyDescent="0.5"/>
    <row r="233" ht="15.75" customHeight="1" x14ac:dyDescent="0.5"/>
    <row r="234" ht="15.75" customHeight="1" x14ac:dyDescent="0.5"/>
    <row r="235" ht="15.75" customHeight="1" x14ac:dyDescent="0.5"/>
    <row r="236" ht="15.75" customHeight="1" x14ac:dyDescent="0.5"/>
    <row r="237" ht="15.75" customHeight="1" x14ac:dyDescent="0.5"/>
    <row r="238" ht="15.75" customHeight="1" x14ac:dyDescent="0.5"/>
    <row r="239" ht="15.75" customHeight="1" x14ac:dyDescent="0.5"/>
    <row r="240" ht="15.75" customHeight="1" x14ac:dyDescent="0.5"/>
    <row r="241" ht="15.75" customHeight="1" x14ac:dyDescent="0.5"/>
    <row r="242" ht="15.75" customHeight="1" x14ac:dyDescent="0.5"/>
    <row r="243" ht="15.75" customHeight="1" x14ac:dyDescent="0.5"/>
    <row r="244" ht="15.75" customHeight="1" x14ac:dyDescent="0.5"/>
    <row r="245" ht="15.75" customHeight="1" x14ac:dyDescent="0.5"/>
    <row r="246" ht="15.75" customHeight="1" x14ac:dyDescent="0.5"/>
    <row r="247" ht="15.75" customHeight="1" x14ac:dyDescent="0.5"/>
    <row r="248" ht="15.75" customHeight="1" x14ac:dyDescent="0.5"/>
    <row r="249" ht="15.75" customHeight="1" x14ac:dyDescent="0.5"/>
    <row r="250" ht="15.75" customHeight="1" x14ac:dyDescent="0.5"/>
    <row r="251" ht="15.75" customHeight="1" x14ac:dyDescent="0.5"/>
    <row r="252" ht="15.75" customHeight="1" x14ac:dyDescent="0.5"/>
    <row r="253" ht="15.75" customHeight="1" x14ac:dyDescent="0.5"/>
    <row r="254" ht="15.75" customHeight="1" x14ac:dyDescent="0.5"/>
    <row r="255" ht="15.75" customHeight="1" x14ac:dyDescent="0.5"/>
    <row r="256" ht="15.75" customHeight="1" x14ac:dyDescent="0.5"/>
    <row r="257" ht="15.75" customHeight="1" x14ac:dyDescent="0.5"/>
    <row r="258" ht="15.75" customHeight="1" x14ac:dyDescent="0.5"/>
    <row r="259" ht="15.75" customHeight="1" x14ac:dyDescent="0.5"/>
    <row r="260" ht="15.75" customHeight="1" x14ac:dyDescent="0.5"/>
    <row r="261" ht="15.75" customHeight="1" x14ac:dyDescent="0.5"/>
    <row r="262" ht="15.75" customHeight="1" x14ac:dyDescent="0.5"/>
    <row r="263" ht="15.75" customHeight="1" x14ac:dyDescent="0.5"/>
    <row r="264" ht="15.75" customHeight="1" x14ac:dyDescent="0.5"/>
    <row r="265" ht="15.75" customHeight="1" x14ac:dyDescent="0.5"/>
    <row r="266" ht="15.75" customHeight="1" x14ac:dyDescent="0.5"/>
    <row r="267" ht="15.75" customHeight="1" x14ac:dyDescent="0.5"/>
    <row r="268" ht="15.75" customHeight="1" x14ac:dyDescent="0.5"/>
    <row r="269" ht="15.75" customHeight="1" x14ac:dyDescent="0.5"/>
    <row r="270" ht="15.75" customHeight="1" x14ac:dyDescent="0.5"/>
    <row r="271" ht="15.75" customHeight="1" x14ac:dyDescent="0.5"/>
    <row r="272" ht="15.75" customHeight="1" x14ac:dyDescent="0.5"/>
    <row r="273" ht="15.75" customHeight="1" x14ac:dyDescent="0.5"/>
    <row r="274" ht="15.75" customHeight="1" x14ac:dyDescent="0.5"/>
    <row r="275" ht="15.75" customHeight="1" x14ac:dyDescent="0.5"/>
    <row r="276" ht="15.75" customHeight="1" x14ac:dyDescent="0.5"/>
    <row r="277" ht="15.75" customHeight="1" x14ac:dyDescent="0.5"/>
    <row r="278" ht="15.75" customHeight="1" x14ac:dyDescent="0.5"/>
    <row r="279" ht="15.75" customHeight="1" x14ac:dyDescent="0.5"/>
    <row r="280" ht="15.75" customHeight="1" x14ac:dyDescent="0.5"/>
    <row r="281" ht="15.75" customHeight="1" x14ac:dyDescent="0.5"/>
    <row r="282" ht="15.75" customHeight="1" x14ac:dyDescent="0.5"/>
    <row r="283" ht="15.75" customHeight="1" x14ac:dyDescent="0.5"/>
    <row r="284" ht="15.75" customHeight="1" x14ac:dyDescent="0.5"/>
    <row r="285" ht="15.75" customHeight="1" x14ac:dyDescent="0.5"/>
    <row r="286" ht="15.75" customHeight="1" x14ac:dyDescent="0.5"/>
    <row r="287" ht="15.75" customHeight="1" x14ac:dyDescent="0.5"/>
    <row r="288" ht="15.75" customHeight="1" x14ac:dyDescent="0.5"/>
    <row r="289" ht="15.75" customHeight="1" x14ac:dyDescent="0.5"/>
    <row r="290" ht="15.75" customHeight="1" x14ac:dyDescent="0.5"/>
    <row r="291" ht="15.75" customHeight="1" x14ac:dyDescent="0.5"/>
    <row r="292" ht="15.75" customHeight="1" x14ac:dyDescent="0.5"/>
    <row r="293" ht="15.75" customHeight="1" x14ac:dyDescent="0.5"/>
    <row r="294" ht="15.75" customHeight="1" x14ac:dyDescent="0.5"/>
    <row r="295" ht="15.75" customHeight="1" x14ac:dyDescent="0.5"/>
    <row r="296" ht="15.75" customHeight="1" x14ac:dyDescent="0.5"/>
    <row r="297" ht="15.75" customHeight="1" x14ac:dyDescent="0.5"/>
    <row r="298" ht="15.75" customHeight="1" x14ac:dyDescent="0.5"/>
    <row r="299" ht="15.75" customHeight="1" x14ac:dyDescent="0.5"/>
    <row r="300" ht="15.75" customHeight="1" x14ac:dyDescent="0.5"/>
    <row r="301" ht="15.75" customHeight="1" x14ac:dyDescent="0.5"/>
    <row r="302" ht="15.75" customHeight="1" x14ac:dyDescent="0.5"/>
    <row r="303" ht="15.75" customHeight="1" x14ac:dyDescent="0.5"/>
    <row r="304" ht="15.75" customHeight="1" x14ac:dyDescent="0.5"/>
    <row r="305" ht="15.75" customHeight="1" x14ac:dyDescent="0.5"/>
    <row r="306" ht="15.75" customHeight="1" x14ac:dyDescent="0.5"/>
    <row r="307" ht="15.75" customHeight="1" x14ac:dyDescent="0.5"/>
    <row r="308" ht="15.75" customHeight="1" x14ac:dyDescent="0.5"/>
    <row r="309" ht="15.75" customHeight="1" x14ac:dyDescent="0.5"/>
    <row r="310" ht="15.75" customHeight="1" x14ac:dyDescent="0.5"/>
    <row r="311" ht="15.75" customHeight="1" x14ac:dyDescent="0.5"/>
    <row r="312" ht="15.75" customHeight="1" x14ac:dyDescent="0.5"/>
    <row r="313" ht="15.75" customHeight="1" x14ac:dyDescent="0.5"/>
    <row r="314" ht="15.75" customHeight="1" x14ac:dyDescent="0.5"/>
    <row r="315" ht="15.75" customHeight="1" x14ac:dyDescent="0.5"/>
    <row r="316" ht="15.75" customHeight="1" x14ac:dyDescent="0.5"/>
    <row r="317" ht="15.75" customHeight="1" x14ac:dyDescent="0.5"/>
    <row r="318" ht="15.75" customHeight="1" x14ac:dyDescent="0.5"/>
    <row r="319" ht="15.75" customHeight="1" x14ac:dyDescent="0.5"/>
    <row r="320" ht="15.75" customHeight="1" x14ac:dyDescent="0.5"/>
    <row r="321" ht="15.75" customHeight="1" x14ac:dyDescent="0.5"/>
    <row r="322" ht="15.75" customHeight="1" x14ac:dyDescent="0.5"/>
    <row r="323" ht="15.75" customHeight="1" x14ac:dyDescent="0.5"/>
    <row r="324" ht="15.75" customHeight="1" x14ac:dyDescent="0.5"/>
    <row r="325" ht="15.75" customHeight="1" x14ac:dyDescent="0.5"/>
    <row r="326" ht="15.75" customHeight="1" x14ac:dyDescent="0.5"/>
    <row r="327" ht="15.75" customHeight="1" x14ac:dyDescent="0.5"/>
    <row r="328" ht="15.75" customHeight="1" x14ac:dyDescent="0.5"/>
    <row r="329" ht="15.75" customHeight="1" x14ac:dyDescent="0.5"/>
    <row r="330" ht="15.75" customHeight="1" x14ac:dyDescent="0.5"/>
    <row r="331" ht="15.75" customHeight="1" x14ac:dyDescent="0.5"/>
    <row r="332" ht="15.75" customHeight="1" x14ac:dyDescent="0.5"/>
    <row r="333" ht="15.75" customHeight="1" x14ac:dyDescent="0.5"/>
    <row r="334" ht="15.75" customHeight="1" x14ac:dyDescent="0.5"/>
    <row r="335" ht="15.75" customHeight="1" x14ac:dyDescent="0.5"/>
    <row r="336" ht="15.75" customHeight="1" x14ac:dyDescent="0.5"/>
    <row r="337" ht="15.75" customHeight="1" x14ac:dyDescent="0.5"/>
    <row r="338" ht="15.75" customHeight="1" x14ac:dyDescent="0.5"/>
    <row r="339" ht="15.75" customHeight="1" x14ac:dyDescent="0.5"/>
    <row r="340" ht="15.75" customHeight="1" x14ac:dyDescent="0.5"/>
    <row r="341" ht="15.75" customHeight="1" x14ac:dyDescent="0.5"/>
    <row r="342" ht="15.75" customHeight="1" x14ac:dyDescent="0.5"/>
    <row r="343" ht="15.75" customHeight="1" x14ac:dyDescent="0.5"/>
    <row r="344" ht="15.75" customHeight="1" x14ac:dyDescent="0.5"/>
    <row r="345" ht="15.75" customHeight="1" x14ac:dyDescent="0.5"/>
    <row r="346" ht="15.75" customHeight="1" x14ac:dyDescent="0.5"/>
    <row r="347" ht="15.75" customHeight="1" x14ac:dyDescent="0.5"/>
    <row r="348" ht="15.75" customHeight="1" x14ac:dyDescent="0.5"/>
    <row r="349" ht="15.75" customHeight="1" x14ac:dyDescent="0.5"/>
    <row r="350" ht="15.75" customHeight="1" x14ac:dyDescent="0.5"/>
    <row r="351" ht="15.75" customHeight="1" x14ac:dyDescent="0.5"/>
    <row r="352" ht="15.75" customHeight="1" x14ac:dyDescent="0.5"/>
    <row r="353" ht="15.75" customHeight="1" x14ac:dyDescent="0.5"/>
    <row r="354" ht="15.75" customHeight="1" x14ac:dyDescent="0.5"/>
    <row r="355" ht="15.75" customHeight="1" x14ac:dyDescent="0.5"/>
    <row r="356" ht="15.75" customHeight="1" x14ac:dyDescent="0.5"/>
    <row r="357" ht="15.75" customHeight="1" x14ac:dyDescent="0.5"/>
    <row r="358" ht="15.75" customHeight="1" x14ac:dyDescent="0.5"/>
    <row r="359" ht="15.75" customHeight="1" x14ac:dyDescent="0.5"/>
    <row r="360" ht="15.75" customHeight="1" x14ac:dyDescent="0.5"/>
    <row r="361" ht="15.75" customHeight="1" x14ac:dyDescent="0.5"/>
    <row r="362" ht="15.75" customHeight="1" x14ac:dyDescent="0.5"/>
    <row r="363" ht="15.75" customHeight="1" x14ac:dyDescent="0.5"/>
    <row r="364" ht="15.75" customHeight="1" x14ac:dyDescent="0.5"/>
    <row r="365" ht="15.75" customHeight="1" x14ac:dyDescent="0.5"/>
    <row r="366" ht="15.75" customHeight="1" x14ac:dyDescent="0.5"/>
    <row r="367" ht="15.75" customHeight="1" x14ac:dyDescent="0.5"/>
    <row r="368" ht="15.75" customHeight="1" x14ac:dyDescent="0.5"/>
    <row r="369" ht="15.75" customHeight="1" x14ac:dyDescent="0.5"/>
    <row r="370" ht="15.75" customHeight="1" x14ac:dyDescent="0.5"/>
    <row r="371" ht="15.75" customHeight="1" x14ac:dyDescent="0.5"/>
    <row r="372" ht="15.75" customHeight="1" x14ac:dyDescent="0.5"/>
    <row r="373" ht="15.75" customHeight="1" x14ac:dyDescent="0.5"/>
    <row r="374" ht="15.75" customHeight="1" x14ac:dyDescent="0.5"/>
    <row r="375" ht="15.75" customHeight="1" x14ac:dyDescent="0.5"/>
    <row r="376" ht="15.75" customHeight="1" x14ac:dyDescent="0.5"/>
    <row r="377" ht="15.75" customHeight="1" x14ac:dyDescent="0.5"/>
    <row r="378" ht="15.75" customHeight="1" x14ac:dyDescent="0.5"/>
    <row r="379" ht="15.75" customHeight="1" x14ac:dyDescent="0.5"/>
    <row r="380" ht="15.75" customHeight="1" x14ac:dyDescent="0.5"/>
    <row r="381" ht="15.75" customHeight="1" x14ac:dyDescent="0.5"/>
    <row r="382" ht="15.75" customHeight="1" x14ac:dyDescent="0.5"/>
    <row r="383" ht="15.75" customHeight="1" x14ac:dyDescent="0.5"/>
    <row r="384" ht="15.75" customHeight="1" x14ac:dyDescent="0.5"/>
    <row r="385" ht="15.75" customHeight="1" x14ac:dyDescent="0.5"/>
    <row r="386" ht="15.75" customHeight="1" x14ac:dyDescent="0.5"/>
    <row r="387" ht="15.75" customHeight="1" x14ac:dyDescent="0.5"/>
    <row r="388" ht="15.75" customHeight="1" x14ac:dyDescent="0.5"/>
    <row r="389" ht="15.75" customHeight="1" x14ac:dyDescent="0.5"/>
    <row r="390" ht="15.75" customHeight="1" x14ac:dyDescent="0.5"/>
    <row r="391" ht="15.75" customHeight="1" x14ac:dyDescent="0.5"/>
    <row r="392" ht="15.75" customHeight="1" x14ac:dyDescent="0.5"/>
    <row r="393" ht="15.75" customHeight="1" x14ac:dyDescent="0.5"/>
    <row r="394" ht="15.75" customHeight="1" x14ac:dyDescent="0.5"/>
    <row r="395" ht="15.75" customHeight="1" x14ac:dyDescent="0.5"/>
    <row r="396" ht="15.75" customHeight="1" x14ac:dyDescent="0.5"/>
    <row r="397" ht="15.75" customHeight="1" x14ac:dyDescent="0.5"/>
    <row r="398" ht="15.75" customHeight="1" x14ac:dyDescent="0.5"/>
    <row r="399" ht="15.75" customHeight="1" x14ac:dyDescent="0.5"/>
    <row r="400" ht="15.75" customHeight="1" x14ac:dyDescent="0.5"/>
    <row r="401" ht="15.75" customHeight="1" x14ac:dyDescent="0.5"/>
    <row r="402" ht="15.75" customHeight="1" x14ac:dyDescent="0.5"/>
    <row r="403" ht="15.75" customHeight="1" x14ac:dyDescent="0.5"/>
    <row r="404" ht="15.75" customHeight="1" x14ac:dyDescent="0.5"/>
    <row r="405" ht="15.75" customHeight="1" x14ac:dyDescent="0.5"/>
    <row r="406" ht="15.75" customHeight="1" x14ac:dyDescent="0.5"/>
    <row r="407" ht="15.75" customHeight="1" x14ac:dyDescent="0.5"/>
    <row r="408" ht="15.75" customHeight="1" x14ac:dyDescent="0.5"/>
    <row r="409" ht="15.75" customHeight="1" x14ac:dyDescent="0.5"/>
    <row r="410" ht="15.75" customHeight="1" x14ac:dyDescent="0.5"/>
    <row r="411" ht="15.75" customHeight="1" x14ac:dyDescent="0.5"/>
    <row r="412" ht="15.75" customHeight="1" x14ac:dyDescent="0.5"/>
    <row r="413" ht="15.75" customHeight="1" x14ac:dyDescent="0.5"/>
    <row r="414" ht="15.75" customHeight="1" x14ac:dyDescent="0.5"/>
    <row r="415" ht="15.75" customHeight="1" x14ac:dyDescent="0.5"/>
    <row r="416" ht="15.75" customHeight="1" x14ac:dyDescent="0.5"/>
    <row r="417" ht="15.75" customHeight="1" x14ac:dyDescent="0.5"/>
    <row r="418" ht="15.75" customHeight="1" x14ac:dyDescent="0.5"/>
    <row r="419" ht="15.75" customHeight="1" x14ac:dyDescent="0.5"/>
    <row r="420" ht="15.75" customHeight="1" x14ac:dyDescent="0.5"/>
    <row r="421" ht="15.75" customHeight="1" x14ac:dyDescent="0.5"/>
    <row r="422" ht="15.75" customHeight="1" x14ac:dyDescent="0.5"/>
    <row r="423" ht="15.75" customHeight="1" x14ac:dyDescent="0.5"/>
    <row r="424" ht="15.75" customHeight="1" x14ac:dyDescent="0.5"/>
    <row r="425" ht="15.75" customHeight="1" x14ac:dyDescent="0.5"/>
    <row r="426" ht="15.75" customHeight="1" x14ac:dyDescent="0.5"/>
    <row r="427" ht="15.75" customHeight="1" x14ac:dyDescent="0.5"/>
    <row r="428" ht="15.75" customHeight="1" x14ac:dyDescent="0.5"/>
    <row r="429" ht="15.75" customHeight="1" x14ac:dyDescent="0.5"/>
    <row r="430" ht="15.75" customHeight="1" x14ac:dyDescent="0.5"/>
    <row r="431" ht="15.75" customHeight="1" x14ac:dyDescent="0.5"/>
    <row r="432" ht="15.75" customHeight="1" x14ac:dyDescent="0.5"/>
    <row r="433" ht="15.75" customHeight="1" x14ac:dyDescent="0.5"/>
    <row r="434" ht="15.75" customHeight="1" x14ac:dyDescent="0.5"/>
    <row r="435" ht="15.75" customHeight="1" x14ac:dyDescent="0.5"/>
    <row r="436" ht="15.75" customHeight="1" x14ac:dyDescent="0.5"/>
    <row r="437" ht="15.75" customHeight="1" x14ac:dyDescent="0.5"/>
    <row r="438" ht="15.75" customHeight="1" x14ac:dyDescent="0.5"/>
    <row r="439" ht="15.75" customHeight="1" x14ac:dyDescent="0.5"/>
    <row r="440" ht="15.75" customHeight="1" x14ac:dyDescent="0.5"/>
    <row r="441" ht="15.75" customHeight="1" x14ac:dyDescent="0.5"/>
    <row r="442" ht="15.75" customHeight="1" x14ac:dyDescent="0.5"/>
    <row r="443" ht="15.75" customHeight="1" x14ac:dyDescent="0.5"/>
    <row r="444" ht="15.75" customHeight="1" x14ac:dyDescent="0.5"/>
    <row r="445" ht="15.75" customHeight="1" x14ac:dyDescent="0.5"/>
    <row r="446" ht="15.75" customHeight="1" x14ac:dyDescent="0.5"/>
    <row r="447" ht="15.75" customHeight="1" x14ac:dyDescent="0.5"/>
    <row r="448" ht="15.75" customHeight="1" x14ac:dyDescent="0.5"/>
    <row r="449" ht="15.75" customHeight="1" x14ac:dyDescent="0.5"/>
    <row r="450" ht="15.75" customHeight="1" x14ac:dyDescent="0.5"/>
    <row r="451" ht="15.75" customHeight="1" x14ac:dyDescent="0.5"/>
    <row r="452" ht="15.75" customHeight="1" x14ac:dyDescent="0.5"/>
    <row r="453" ht="15.75" customHeight="1" x14ac:dyDescent="0.5"/>
    <row r="454" ht="15.75" customHeight="1" x14ac:dyDescent="0.5"/>
    <row r="455" ht="15.75" customHeight="1" x14ac:dyDescent="0.5"/>
    <row r="456" ht="15.75" customHeight="1" x14ac:dyDescent="0.5"/>
    <row r="457" ht="15.75" customHeight="1" x14ac:dyDescent="0.5"/>
    <row r="458" ht="15.75" customHeight="1" x14ac:dyDescent="0.5"/>
    <row r="459" ht="15.75" customHeight="1" x14ac:dyDescent="0.5"/>
    <row r="460" ht="15.75" customHeight="1" x14ac:dyDescent="0.5"/>
    <row r="461" ht="15.75" customHeight="1" x14ac:dyDescent="0.5"/>
    <row r="462" ht="15.75" customHeight="1" x14ac:dyDescent="0.5"/>
    <row r="463" ht="15.75" customHeight="1" x14ac:dyDescent="0.5"/>
    <row r="464" ht="15.75" customHeight="1" x14ac:dyDescent="0.5"/>
    <row r="465" ht="15.75" customHeight="1" x14ac:dyDescent="0.5"/>
    <row r="466" ht="15.75" customHeight="1" x14ac:dyDescent="0.5"/>
    <row r="467" ht="15.75" customHeight="1" x14ac:dyDescent="0.5"/>
    <row r="468" ht="15.75" customHeight="1" x14ac:dyDescent="0.5"/>
    <row r="469" ht="15.75" customHeight="1" x14ac:dyDescent="0.5"/>
    <row r="470" ht="15.75" customHeight="1" x14ac:dyDescent="0.5"/>
    <row r="471" ht="15.75" customHeight="1" x14ac:dyDescent="0.5"/>
    <row r="472" ht="15.75" customHeight="1" x14ac:dyDescent="0.5"/>
    <row r="473" ht="15.75" customHeight="1" x14ac:dyDescent="0.5"/>
    <row r="474" ht="15.75" customHeight="1" x14ac:dyDescent="0.5"/>
    <row r="475" ht="15.75" customHeight="1" x14ac:dyDescent="0.5"/>
    <row r="476" ht="15.75" customHeight="1" x14ac:dyDescent="0.5"/>
    <row r="477" ht="15.75" customHeight="1" x14ac:dyDescent="0.5"/>
    <row r="478" ht="15.75" customHeight="1" x14ac:dyDescent="0.5"/>
    <row r="479" ht="15.75" customHeight="1" x14ac:dyDescent="0.5"/>
    <row r="480" ht="15.75" customHeight="1" x14ac:dyDescent="0.5"/>
    <row r="481" ht="15.75" customHeight="1" x14ac:dyDescent="0.5"/>
    <row r="482" ht="15.75" customHeight="1" x14ac:dyDescent="0.5"/>
    <row r="483" ht="15.75" customHeight="1" x14ac:dyDescent="0.5"/>
    <row r="484" ht="15.75" customHeight="1" x14ac:dyDescent="0.5"/>
    <row r="485" ht="15.75" customHeight="1" x14ac:dyDescent="0.5"/>
    <row r="486" ht="15.75" customHeight="1" x14ac:dyDescent="0.5"/>
    <row r="487" ht="15.75" customHeight="1" x14ac:dyDescent="0.5"/>
    <row r="488" ht="15.75" customHeight="1" x14ac:dyDescent="0.5"/>
    <row r="489" ht="15.75" customHeight="1" x14ac:dyDescent="0.5"/>
    <row r="490" ht="15.75" customHeight="1" x14ac:dyDescent="0.5"/>
    <row r="491" ht="15.75" customHeight="1" x14ac:dyDescent="0.5"/>
    <row r="492" ht="15.75" customHeight="1" x14ac:dyDescent="0.5"/>
    <row r="493" ht="15.75" customHeight="1" x14ac:dyDescent="0.5"/>
    <row r="494" ht="15.75" customHeight="1" x14ac:dyDescent="0.5"/>
    <row r="495" ht="15.75" customHeight="1" x14ac:dyDescent="0.5"/>
    <row r="496" ht="15.75" customHeight="1" x14ac:dyDescent="0.5"/>
    <row r="497" ht="15.75" customHeight="1" x14ac:dyDescent="0.5"/>
    <row r="498" ht="15.75" customHeight="1" x14ac:dyDescent="0.5"/>
    <row r="499" ht="15.75" customHeight="1" x14ac:dyDescent="0.5"/>
    <row r="500" ht="15.75" customHeight="1" x14ac:dyDescent="0.5"/>
    <row r="501" ht="15.75" customHeight="1" x14ac:dyDescent="0.5"/>
    <row r="502" ht="15.75" customHeight="1" x14ac:dyDescent="0.5"/>
    <row r="503" ht="15.75" customHeight="1" x14ac:dyDescent="0.5"/>
    <row r="504" ht="15.75" customHeight="1" x14ac:dyDescent="0.5"/>
    <row r="505" ht="15.75" customHeight="1" x14ac:dyDescent="0.5"/>
    <row r="506" ht="15.75" customHeight="1" x14ac:dyDescent="0.5"/>
    <row r="507" ht="15.75" customHeight="1" x14ac:dyDescent="0.5"/>
    <row r="508" ht="15.75" customHeight="1" x14ac:dyDescent="0.5"/>
    <row r="509" ht="15.75" customHeight="1" x14ac:dyDescent="0.5"/>
    <row r="510" ht="15.75" customHeight="1" x14ac:dyDescent="0.5"/>
    <row r="511" ht="15.75" customHeight="1" x14ac:dyDescent="0.5"/>
    <row r="512" ht="15.75" customHeight="1" x14ac:dyDescent="0.5"/>
    <row r="513" ht="15.75" customHeight="1" x14ac:dyDescent="0.5"/>
    <row r="514" ht="15.75" customHeight="1" x14ac:dyDescent="0.5"/>
    <row r="515" ht="15.75" customHeight="1" x14ac:dyDescent="0.5"/>
    <row r="516" ht="15.75" customHeight="1" x14ac:dyDescent="0.5"/>
    <row r="517" ht="15.75" customHeight="1" x14ac:dyDescent="0.5"/>
    <row r="518" ht="15.75" customHeight="1" x14ac:dyDescent="0.5"/>
    <row r="519" ht="15.75" customHeight="1" x14ac:dyDescent="0.5"/>
    <row r="520" ht="15.75" customHeight="1" x14ac:dyDescent="0.5"/>
    <row r="521" ht="15.75" customHeight="1" x14ac:dyDescent="0.5"/>
    <row r="522" ht="15.75" customHeight="1" x14ac:dyDescent="0.5"/>
    <row r="523" ht="15.75" customHeight="1" x14ac:dyDescent="0.5"/>
    <row r="524" ht="15.75" customHeight="1" x14ac:dyDescent="0.5"/>
    <row r="525" ht="15.75" customHeight="1" x14ac:dyDescent="0.5"/>
    <row r="526" ht="15.75" customHeight="1" x14ac:dyDescent="0.5"/>
    <row r="527" ht="15.75" customHeight="1" x14ac:dyDescent="0.5"/>
    <row r="528" ht="15.75" customHeight="1" x14ac:dyDescent="0.5"/>
    <row r="529" ht="15.75" customHeight="1" x14ac:dyDescent="0.5"/>
    <row r="530" ht="15.75" customHeight="1" x14ac:dyDescent="0.5"/>
    <row r="531" ht="15.75" customHeight="1" x14ac:dyDescent="0.5"/>
    <row r="532" ht="15.75" customHeight="1" x14ac:dyDescent="0.5"/>
    <row r="533" ht="15.75" customHeight="1" x14ac:dyDescent="0.5"/>
    <row r="534" ht="15.75" customHeight="1" x14ac:dyDescent="0.5"/>
    <row r="535" ht="15.75" customHeight="1" x14ac:dyDescent="0.5"/>
    <row r="536" ht="15.75" customHeight="1" x14ac:dyDescent="0.5"/>
    <row r="537" ht="15.75" customHeight="1" x14ac:dyDescent="0.5"/>
    <row r="538" ht="15.75" customHeight="1" x14ac:dyDescent="0.5"/>
    <row r="539" ht="15.75" customHeight="1" x14ac:dyDescent="0.5"/>
    <row r="540" ht="15.75" customHeight="1" x14ac:dyDescent="0.5"/>
    <row r="541" ht="15.75" customHeight="1" x14ac:dyDescent="0.5"/>
    <row r="542" ht="15.75" customHeight="1" x14ac:dyDescent="0.5"/>
    <row r="543" ht="15.75" customHeight="1" x14ac:dyDescent="0.5"/>
    <row r="544" ht="15.75" customHeight="1" x14ac:dyDescent="0.5"/>
    <row r="545" ht="15.75" customHeight="1" x14ac:dyDescent="0.5"/>
    <row r="546" ht="15.75" customHeight="1" x14ac:dyDescent="0.5"/>
    <row r="547" ht="15.75" customHeight="1" x14ac:dyDescent="0.5"/>
    <row r="548" ht="15.75" customHeight="1" x14ac:dyDescent="0.5"/>
    <row r="549" ht="15.75" customHeight="1" x14ac:dyDescent="0.5"/>
    <row r="550" ht="15.75" customHeight="1" x14ac:dyDescent="0.5"/>
    <row r="551" ht="15.75" customHeight="1" x14ac:dyDescent="0.5"/>
    <row r="552" ht="15.75" customHeight="1" x14ac:dyDescent="0.5"/>
    <row r="553" ht="15.75" customHeight="1" x14ac:dyDescent="0.5"/>
    <row r="554" ht="15.75" customHeight="1" x14ac:dyDescent="0.5"/>
    <row r="555" ht="15.75" customHeight="1" x14ac:dyDescent="0.5"/>
    <row r="556" ht="15.75" customHeight="1" x14ac:dyDescent="0.5"/>
    <row r="557" ht="15.75" customHeight="1" x14ac:dyDescent="0.5"/>
    <row r="558" ht="15.75" customHeight="1" x14ac:dyDescent="0.5"/>
    <row r="559" ht="15.75" customHeight="1" x14ac:dyDescent="0.5"/>
    <row r="560" ht="15.75" customHeight="1" x14ac:dyDescent="0.5"/>
    <row r="561" ht="15.75" customHeight="1" x14ac:dyDescent="0.5"/>
    <row r="562" ht="15.75" customHeight="1" x14ac:dyDescent="0.5"/>
    <row r="563" ht="15.75" customHeight="1" x14ac:dyDescent="0.5"/>
    <row r="564" ht="15.75" customHeight="1" x14ac:dyDescent="0.5"/>
    <row r="565" ht="15.75" customHeight="1" x14ac:dyDescent="0.5"/>
    <row r="566" ht="15.75" customHeight="1" x14ac:dyDescent="0.5"/>
    <row r="567" ht="15.75" customHeight="1" x14ac:dyDescent="0.5"/>
    <row r="568" ht="15.75" customHeight="1" x14ac:dyDescent="0.5"/>
    <row r="569" ht="15.75" customHeight="1" x14ac:dyDescent="0.5"/>
    <row r="570" ht="15.75" customHeight="1" x14ac:dyDescent="0.5"/>
    <row r="571" ht="15.75" customHeight="1" x14ac:dyDescent="0.5"/>
    <row r="572" ht="15.75" customHeight="1" x14ac:dyDescent="0.5"/>
    <row r="573" ht="15.75" customHeight="1" x14ac:dyDescent="0.5"/>
    <row r="574" ht="15.75" customHeight="1" x14ac:dyDescent="0.5"/>
    <row r="575" ht="15.75" customHeight="1" x14ac:dyDescent="0.5"/>
    <row r="576" ht="15.75" customHeight="1" x14ac:dyDescent="0.5"/>
    <row r="577" ht="15.75" customHeight="1" x14ac:dyDescent="0.5"/>
    <row r="578" ht="15.75" customHeight="1" x14ac:dyDescent="0.5"/>
    <row r="579" ht="15.75" customHeight="1" x14ac:dyDescent="0.5"/>
    <row r="580" ht="15.75" customHeight="1" x14ac:dyDescent="0.5"/>
    <row r="581" ht="15.75" customHeight="1" x14ac:dyDescent="0.5"/>
    <row r="582" ht="15.75" customHeight="1" x14ac:dyDescent="0.5"/>
    <row r="583" ht="15.75" customHeight="1" x14ac:dyDescent="0.5"/>
    <row r="584" ht="15.75" customHeight="1" x14ac:dyDescent="0.5"/>
    <row r="585" ht="15.75" customHeight="1" x14ac:dyDescent="0.5"/>
    <row r="586" ht="15.75" customHeight="1" x14ac:dyDescent="0.5"/>
    <row r="587" ht="15.75" customHeight="1" x14ac:dyDescent="0.5"/>
    <row r="588" ht="15.75" customHeight="1" x14ac:dyDescent="0.5"/>
    <row r="589" ht="15.75" customHeight="1" x14ac:dyDescent="0.5"/>
    <row r="590" ht="15.75" customHeight="1" x14ac:dyDescent="0.5"/>
    <row r="591" ht="15.75" customHeight="1" x14ac:dyDescent="0.5"/>
    <row r="592" ht="15.75" customHeight="1" x14ac:dyDescent="0.5"/>
    <row r="593" ht="15.75" customHeight="1" x14ac:dyDescent="0.5"/>
    <row r="594" ht="15.75" customHeight="1" x14ac:dyDescent="0.5"/>
    <row r="595" ht="15.75" customHeight="1" x14ac:dyDescent="0.5"/>
    <row r="596" ht="15.75" customHeight="1" x14ac:dyDescent="0.5"/>
    <row r="597" ht="15.75" customHeight="1" x14ac:dyDescent="0.5"/>
    <row r="598" ht="15.75" customHeight="1" x14ac:dyDescent="0.5"/>
    <row r="599" ht="15.75" customHeight="1" x14ac:dyDescent="0.5"/>
    <row r="600" ht="15.75" customHeight="1" x14ac:dyDescent="0.5"/>
    <row r="601" ht="15.75" customHeight="1" x14ac:dyDescent="0.5"/>
    <row r="602" ht="15.75" customHeight="1" x14ac:dyDescent="0.5"/>
    <row r="603" ht="15.75" customHeight="1" x14ac:dyDescent="0.5"/>
    <row r="604" ht="15.75" customHeight="1" x14ac:dyDescent="0.5"/>
    <row r="605" ht="15.75" customHeight="1" x14ac:dyDescent="0.5"/>
    <row r="606" ht="15.75" customHeight="1" x14ac:dyDescent="0.5"/>
    <row r="607" ht="15.75" customHeight="1" x14ac:dyDescent="0.5"/>
    <row r="608" ht="15.75" customHeight="1" x14ac:dyDescent="0.5"/>
    <row r="609" ht="15.75" customHeight="1" x14ac:dyDescent="0.5"/>
    <row r="610" ht="15.75" customHeight="1" x14ac:dyDescent="0.5"/>
    <row r="611" ht="15.75" customHeight="1" x14ac:dyDescent="0.5"/>
    <row r="612" ht="15.75" customHeight="1" x14ac:dyDescent="0.5"/>
    <row r="613" ht="15.75" customHeight="1" x14ac:dyDescent="0.5"/>
    <row r="614" ht="15.75" customHeight="1" x14ac:dyDescent="0.5"/>
    <row r="615" ht="15.75" customHeight="1" x14ac:dyDescent="0.5"/>
    <row r="616" ht="15.75" customHeight="1" x14ac:dyDescent="0.5"/>
    <row r="617" ht="15.75" customHeight="1" x14ac:dyDescent="0.5"/>
    <row r="618" ht="15.75" customHeight="1" x14ac:dyDescent="0.5"/>
    <row r="619" ht="15.75" customHeight="1" x14ac:dyDescent="0.5"/>
    <row r="620" ht="15.75" customHeight="1" x14ac:dyDescent="0.5"/>
    <row r="621" ht="15.75" customHeight="1" x14ac:dyDescent="0.5"/>
    <row r="622" ht="15.75" customHeight="1" x14ac:dyDescent="0.5"/>
    <row r="623" ht="15.75" customHeight="1" x14ac:dyDescent="0.5"/>
    <row r="624" ht="15.75" customHeight="1" x14ac:dyDescent="0.5"/>
    <row r="625" ht="15.75" customHeight="1" x14ac:dyDescent="0.5"/>
    <row r="626" ht="15.75" customHeight="1" x14ac:dyDescent="0.5"/>
    <row r="627" ht="15.75" customHeight="1" x14ac:dyDescent="0.5"/>
    <row r="628" ht="15.75" customHeight="1" x14ac:dyDescent="0.5"/>
    <row r="629" ht="15.75" customHeight="1" x14ac:dyDescent="0.5"/>
    <row r="630" ht="15.75" customHeight="1" x14ac:dyDescent="0.5"/>
    <row r="631" ht="15.75" customHeight="1" x14ac:dyDescent="0.5"/>
    <row r="632" ht="15.75" customHeight="1" x14ac:dyDescent="0.5"/>
    <row r="633" ht="15.75" customHeight="1" x14ac:dyDescent="0.5"/>
    <row r="634" ht="15.75" customHeight="1" x14ac:dyDescent="0.5"/>
    <row r="635" ht="15.75" customHeight="1" x14ac:dyDescent="0.5"/>
    <row r="636" ht="15.75" customHeight="1" x14ac:dyDescent="0.5"/>
    <row r="637" ht="15.75" customHeight="1" x14ac:dyDescent="0.5"/>
    <row r="638" ht="15.75" customHeight="1" x14ac:dyDescent="0.5"/>
    <row r="639" ht="15.75" customHeight="1" x14ac:dyDescent="0.5"/>
    <row r="640" ht="15.75" customHeight="1" x14ac:dyDescent="0.5"/>
    <row r="641" ht="15.75" customHeight="1" x14ac:dyDescent="0.5"/>
    <row r="642" ht="15.75" customHeight="1" x14ac:dyDescent="0.5"/>
    <row r="643" ht="15.75" customHeight="1" x14ac:dyDescent="0.5"/>
    <row r="644" ht="15.75" customHeight="1" x14ac:dyDescent="0.5"/>
    <row r="645" ht="15.75" customHeight="1" x14ac:dyDescent="0.5"/>
    <row r="646" ht="15.75" customHeight="1" x14ac:dyDescent="0.5"/>
    <row r="647" ht="15.75" customHeight="1" x14ac:dyDescent="0.5"/>
    <row r="648" ht="15.75" customHeight="1" x14ac:dyDescent="0.5"/>
    <row r="649" ht="15.75" customHeight="1" x14ac:dyDescent="0.5"/>
    <row r="650" ht="15.75" customHeight="1" x14ac:dyDescent="0.5"/>
    <row r="651" ht="15.75" customHeight="1" x14ac:dyDescent="0.5"/>
    <row r="652" ht="15.75" customHeight="1" x14ac:dyDescent="0.5"/>
    <row r="653" ht="15.75" customHeight="1" x14ac:dyDescent="0.5"/>
    <row r="654" ht="15.75" customHeight="1" x14ac:dyDescent="0.5"/>
    <row r="655" ht="15.75" customHeight="1" x14ac:dyDescent="0.5"/>
    <row r="656" ht="15.75" customHeight="1" x14ac:dyDescent="0.5"/>
    <row r="657" ht="15.75" customHeight="1" x14ac:dyDescent="0.5"/>
    <row r="658" ht="15.75" customHeight="1" x14ac:dyDescent="0.5"/>
    <row r="659" ht="15.75" customHeight="1" x14ac:dyDescent="0.5"/>
    <row r="660" ht="15.75" customHeight="1" x14ac:dyDescent="0.5"/>
    <row r="661" ht="15.75" customHeight="1" x14ac:dyDescent="0.5"/>
    <row r="662" ht="15.75" customHeight="1" x14ac:dyDescent="0.5"/>
    <row r="663" ht="15.75" customHeight="1" x14ac:dyDescent="0.5"/>
    <row r="664" ht="15.75" customHeight="1" x14ac:dyDescent="0.5"/>
    <row r="665" ht="15.75" customHeight="1" x14ac:dyDescent="0.5"/>
    <row r="666" ht="15.75" customHeight="1" x14ac:dyDescent="0.5"/>
    <row r="667" ht="15.75" customHeight="1" x14ac:dyDescent="0.5"/>
    <row r="668" ht="15.75" customHeight="1" x14ac:dyDescent="0.5"/>
    <row r="669" ht="15.75" customHeight="1" x14ac:dyDescent="0.5"/>
    <row r="670" ht="15.75" customHeight="1" x14ac:dyDescent="0.5"/>
    <row r="671" ht="15.75" customHeight="1" x14ac:dyDescent="0.5"/>
    <row r="672" ht="15.75" customHeight="1" x14ac:dyDescent="0.5"/>
    <row r="673" ht="15.75" customHeight="1" x14ac:dyDescent="0.5"/>
    <row r="674" ht="15.75" customHeight="1" x14ac:dyDescent="0.5"/>
    <row r="675" ht="15.75" customHeight="1" x14ac:dyDescent="0.5"/>
    <row r="676" ht="15.75" customHeight="1" x14ac:dyDescent="0.5"/>
    <row r="677" ht="15.75" customHeight="1" x14ac:dyDescent="0.5"/>
    <row r="678" ht="15.75" customHeight="1" x14ac:dyDescent="0.5"/>
    <row r="679" ht="15.75" customHeight="1" x14ac:dyDescent="0.5"/>
    <row r="680" ht="15.75" customHeight="1" x14ac:dyDescent="0.5"/>
    <row r="681" ht="15.75" customHeight="1" x14ac:dyDescent="0.5"/>
    <row r="682" ht="15.75" customHeight="1" x14ac:dyDescent="0.5"/>
    <row r="683" ht="15.75" customHeight="1" x14ac:dyDescent="0.5"/>
    <row r="684" ht="15.75" customHeight="1" x14ac:dyDescent="0.5"/>
    <row r="685" ht="15.75" customHeight="1" x14ac:dyDescent="0.5"/>
    <row r="686" ht="15.75" customHeight="1" x14ac:dyDescent="0.5"/>
    <row r="687" ht="15.75" customHeight="1" x14ac:dyDescent="0.5"/>
    <row r="688" ht="15.75" customHeight="1" x14ac:dyDescent="0.5"/>
    <row r="689" ht="15.75" customHeight="1" x14ac:dyDescent="0.5"/>
    <row r="690" ht="15.75" customHeight="1" x14ac:dyDescent="0.5"/>
    <row r="691" ht="15.75" customHeight="1" x14ac:dyDescent="0.5"/>
    <row r="692" ht="15.75" customHeight="1" x14ac:dyDescent="0.5"/>
    <row r="693" ht="15.75" customHeight="1" x14ac:dyDescent="0.5"/>
    <row r="694" ht="15.75" customHeight="1" x14ac:dyDescent="0.5"/>
    <row r="695" ht="15.75" customHeight="1" x14ac:dyDescent="0.5"/>
    <row r="696" ht="15.75" customHeight="1" x14ac:dyDescent="0.5"/>
    <row r="697" ht="15.75" customHeight="1" x14ac:dyDescent="0.5"/>
    <row r="698" ht="15.75" customHeight="1" x14ac:dyDescent="0.5"/>
    <row r="699" ht="15.75" customHeight="1" x14ac:dyDescent="0.5"/>
    <row r="700" ht="15.75" customHeight="1" x14ac:dyDescent="0.5"/>
    <row r="701" ht="15.75" customHeight="1" x14ac:dyDescent="0.5"/>
    <row r="702" ht="15.75" customHeight="1" x14ac:dyDescent="0.5"/>
    <row r="703" ht="15.75" customHeight="1" x14ac:dyDescent="0.5"/>
    <row r="704" ht="15.75" customHeight="1" x14ac:dyDescent="0.5"/>
    <row r="705" ht="15.75" customHeight="1" x14ac:dyDescent="0.5"/>
    <row r="706" ht="15.75" customHeight="1" x14ac:dyDescent="0.5"/>
    <row r="707" ht="15.75" customHeight="1" x14ac:dyDescent="0.5"/>
    <row r="708" ht="15.75" customHeight="1" x14ac:dyDescent="0.5"/>
    <row r="709" ht="15.75" customHeight="1" x14ac:dyDescent="0.5"/>
    <row r="710" ht="15.75" customHeight="1" x14ac:dyDescent="0.5"/>
    <row r="711" ht="15.75" customHeight="1" x14ac:dyDescent="0.5"/>
    <row r="712" ht="15.75" customHeight="1" x14ac:dyDescent="0.5"/>
    <row r="713" ht="15.75" customHeight="1" x14ac:dyDescent="0.5"/>
    <row r="714" ht="15.75" customHeight="1" x14ac:dyDescent="0.5"/>
    <row r="715" ht="15.75" customHeight="1" x14ac:dyDescent="0.5"/>
    <row r="716" ht="15.75" customHeight="1" x14ac:dyDescent="0.5"/>
    <row r="717" ht="15.75" customHeight="1" x14ac:dyDescent="0.5"/>
    <row r="718" ht="15.75" customHeight="1" x14ac:dyDescent="0.5"/>
    <row r="719" ht="15.75" customHeight="1" x14ac:dyDescent="0.5"/>
    <row r="720" ht="15.75" customHeight="1" x14ac:dyDescent="0.5"/>
    <row r="721" ht="15.75" customHeight="1" x14ac:dyDescent="0.5"/>
    <row r="722" ht="15.75" customHeight="1" x14ac:dyDescent="0.5"/>
    <row r="723" ht="15.75" customHeight="1" x14ac:dyDescent="0.5"/>
    <row r="724" ht="15.75" customHeight="1" x14ac:dyDescent="0.5"/>
    <row r="725" ht="15.75" customHeight="1" x14ac:dyDescent="0.5"/>
    <row r="726" ht="15.75" customHeight="1" x14ac:dyDescent="0.5"/>
    <row r="727" ht="15.75" customHeight="1" x14ac:dyDescent="0.5"/>
    <row r="728" ht="15.75" customHeight="1" x14ac:dyDescent="0.5"/>
    <row r="729" ht="15.75" customHeight="1" x14ac:dyDescent="0.5"/>
    <row r="730" ht="15.75" customHeight="1" x14ac:dyDescent="0.5"/>
    <row r="731" ht="15.75" customHeight="1" x14ac:dyDescent="0.5"/>
    <row r="732" ht="15.75" customHeight="1" x14ac:dyDescent="0.5"/>
    <row r="733" ht="15.75" customHeight="1" x14ac:dyDescent="0.5"/>
    <row r="734" ht="15.75" customHeight="1" x14ac:dyDescent="0.5"/>
    <row r="735" ht="15.75" customHeight="1" x14ac:dyDescent="0.5"/>
    <row r="736" ht="15.75" customHeight="1" x14ac:dyDescent="0.5"/>
    <row r="737" ht="15.75" customHeight="1" x14ac:dyDescent="0.5"/>
    <row r="738" ht="15.75" customHeight="1" x14ac:dyDescent="0.5"/>
    <row r="739" ht="15.75" customHeight="1" x14ac:dyDescent="0.5"/>
    <row r="740" ht="15.75" customHeight="1" x14ac:dyDescent="0.5"/>
    <row r="741" ht="15.75" customHeight="1" x14ac:dyDescent="0.5"/>
    <row r="742" ht="15.75" customHeight="1" x14ac:dyDescent="0.5"/>
    <row r="743" ht="15.75" customHeight="1" x14ac:dyDescent="0.5"/>
    <row r="744" ht="15.75" customHeight="1" x14ac:dyDescent="0.5"/>
    <row r="745" ht="15.75" customHeight="1" x14ac:dyDescent="0.5"/>
    <row r="746" ht="15.75" customHeight="1" x14ac:dyDescent="0.5"/>
    <row r="747" ht="15.75" customHeight="1" x14ac:dyDescent="0.5"/>
    <row r="748" ht="15.75" customHeight="1" x14ac:dyDescent="0.5"/>
    <row r="749" ht="15.75" customHeight="1" x14ac:dyDescent="0.5"/>
    <row r="750" ht="15.75" customHeight="1" x14ac:dyDescent="0.5"/>
    <row r="751" ht="15.75" customHeight="1" x14ac:dyDescent="0.5"/>
    <row r="752" ht="15.75" customHeight="1" x14ac:dyDescent="0.5"/>
    <row r="753" ht="15.75" customHeight="1" x14ac:dyDescent="0.5"/>
    <row r="754" ht="15.75" customHeight="1" x14ac:dyDescent="0.5"/>
    <row r="755" ht="15.75" customHeight="1" x14ac:dyDescent="0.5"/>
    <row r="756" ht="15.75" customHeight="1" x14ac:dyDescent="0.5"/>
    <row r="757" ht="15.75" customHeight="1" x14ac:dyDescent="0.5"/>
    <row r="758" ht="15.75" customHeight="1" x14ac:dyDescent="0.5"/>
    <row r="759" ht="15.75" customHeight="1" x14ac:dyDescent="0.5"/>
    <row r="760" ht="15.75" customHeight="1" x14ac:dyDescent="0.5"/>
    <row r="761" ht="15.75" customHeight="1" x14ac:dyDescent="0.5"/>
    <row r="762" ht="15.75" customHeight="1" x14ac:dyDescent="0.5"/>
    <row r="763" ht="15.75" customHeight="1" x14ac:dyDescent="0.5"/>
    <row r="764" ht="15.75" customHeight="1" x14ac:dyDescent="0.5"/>
    <row r="765" ht="15.75" customHeight="1" x14ac:dyDescent="0.5"/>
    <row r="766" ht="15.75" customHeight="1" x14ac:dyDescent="0.5"/>
    <row r="767" ht="15.75" customHeight="1" x14ac:dyDescent="0.5"/>
    <row r="768" ht="15.75" customHeight="1" x14ac:dyDescent="0.5"/>
    <row r="769" ht="15.75" customHeight="1" x14ac:dyDescent="0.5"/>
    <row r="770" ht="15.75" customHeight="1" x14ac:dyDescent="0.5"/>
    <row r="771" ht="15.75" customHeight="1" x14ac:dyDescent="0.5"/>
    <row r="772" ht="15.75" customHeight="1" x14ac:dyDescent="0.5"/>
    <row r="773" ht="15.75" customHeight="1" x14ac:dyDescent="0.5"/>
    <row r="774" ht="15.75" customHeight="1" x14ac:dyDescent="0.5"/>
    <row r="775" ht="15.75" customHeight="1" x14ac:dyDescent="0.5"/>
    <row r="776" ht="15.75" customHeight="1" x14ac:dyDescent="0.5"/>
    <row r="777" ht="15.75" customHeight="1" x14ac:dyDescent="0.5"/>
    <row r="778" ht="15.75" customHeight="1" x14ac:dyDescent="0.5"/>
    <row r="779" ht="15.75" customHeight="1" x14ac:dyDescent="0.5"/>
    <row r="780" ht="15.75" customHeight="1" x14ac:dyDescent="0.5"/>
    <row r="781" ht="15.75" customHeight="1" x14ac:dyDescent="0.5"/>
    <row r="782" ht="15.75" customHeight="1" x14ac:dyDescent="0.5"/>
    <row r="783" ht="15.75" customHeight="1" x14ac:dyDescent="0.5"/>
    <row r="784" ht="15.75" customHeight="1" x14ac:dyDescent="0.5"/>
    <row r="785" ht="15.75" customHeight="1" x14ac:dyDescent="0.5"/>
    <row r="786" ht="15.75" customHeight="1" x14ac:dyDescent="0.5"/>
    <row r="787" ht="15.75" customHeight="1" x14ac:dyDescent="0.5"/>
    <row r="788" ht="15.75" customHeight="1" x14ac:dyDescent="0.5"/>
    <row r="789" ht="15.75" customHeight="1" x14ac:dyDescent="0.5"/>
    <row r="790" ht="15.75" customHeight="1" x14ac:dyDescent="0.5"/>
    <row r="791" ht="15.75" customHeight="1" x14ac:dyDescent="0.5"/>
    <row r="792" ht="15.75" customHeight="1" x14ac:dyDescent="0.5"/>
    <row r="793" ht="15.75" customHeight="1" x14ac:dyDescent="0.5"/>
    <row r="794" ht="15.75" customHeight="1" x14ac:dyDescent="0.5"/>
    <row r="795" ht="15.75" customHeight="1" x14ac:dyDescent="0.5"/>
    <row r="796" ht="15.75" customHeight="1" x14ac:dyDescent="0.5"/>
    <row r="797" ht="15.75" customHeight="1" x14ac:dyDescent="0.5"/>
    <row r="798" ht="15.75" customHeight="1" x14ac:dyDescent="0.5"/>
    <row r="799" ht="15.75" customHeight="1" x14ac:dyDescent="0.5"/>
    <row r="800" ht="15.75" customHeight="1" x14ac:dyDescent="0.5"/>
    <row r="801" ht="15.75" customHeight="1" x14ac:dyDescent="0.5"/>
    <row r="802" ht="15.75" customHeight="1" x14ac:dyDescent="0.5"/>
    <row r="803" ht="15.75" customHeight="1" x14ac:dyDescent="0.5"/>
    <row r="804" ht="15.75" customHeight="1" x14ac:dyDescent="0.5"/>
    <row r="805" ht="15.75" customHeight="1" x14ac:dyDescent="0.5"/>
    <row r="806" ht="15.75" customHeight="1" x14ac:dyDescent="0.5"/>
    <row r="807" ht="15.75" customHeight="1" x14ac:dyDescent="0.5"/>
    <row r="808" ht="15.75" customHeight="1" x14ac:dyDescent="0.5"/>
    <row r="809" ht="15.75" customHeight="1" x14ac:dyDescent="0.5"/>
    <row r="810" ht="15.75" customHeight="1" x14ac:dyDescent="0.5"/>
    <row r="811" ht="15.75" customHeight="1" x14ac:dyDescent="0.5"/>
    <row r="812" ht="15.75" customHeight="1" x14ac:dyDescent="0.5"/>
    <row r="813" ht="15.75" customHeight="1" x14ac:dyDescent="0.5"/>
    <row r="814" ht="15.75" customHeight="1" x14ac:dyDescent="0.5"/>
    <row r="815" ht="15.75" customHeight="1" x14ac:dyDescent="0.5"/>
    <row r="816" ht="15.75" customHeight="1" x14ac:dyDescent="0.5"/>
    <row r="817" ht="15.75" customHeight="1" x14ac:dyDescent="0.5"/>
    <row r="818" ht="15.75" customHeight="1" x14ac:dyDescent="0.5"/>
    <row r="819" ht="15.75" customHeight="1" x14ac:dyDescent="0.5"/>
    <row r="820" ht="15.75" customHeight="1" x14ac:dyDescent="0.5"/>
    <row r="821" ht="15.75" customHeight="1" x14ac:dyDescent="0.5"/>
    <row r="822" ht="15.75" customHeight="1" x14ac:dyDescent="0.5"/>
    <row r="823" ht="15.75" customHeight="1" x14ac:dyDescent="0.5"/>
    <row r="824" ht="15.75" customHeight="1" x14ac:dyDescent="0.5"/>
    <row r="825" ht="15.75" customHeight="1" x14ac:dyDescent="0.5"/>
    <row r="826" ht="15.75" customHeight="1" x14ac:dyDescent="0.5"/>
    <row r="827" ht="15.75" customHeight="1" x14ac:dyDescent="0.5"/>
    <row r="828" ht="15.75" customHeight="1" x14ac:dyDescent="0.5"/>
    <row r="829" ht="15.75" customHeight="1" x14ac:dyDescent="0.5"/>
    <row r="830" ht="15.75" customHeight="1" x14ac:dyDescent="0.5"/>
    <row r="831" ht="15.75" customHeight="1" x14ac:dyDescent="0.5"/>
    <row r="832" ht="15.75" customHeight="1" x14ac:dyDescent="0.5"/>
    <row r="833" ht="15.75" customHeight="1" x14ac:dyDescent="0.5"/>
    <row r="834" ht="15.75" customHeight="1" x14ac:dyDescent="0.5"/>
    <row r="835" ht="15.75" customHeight="1" x14ac:dyDescent="0.5"/>
    <row r="836" ht="15.75" customHeight="1" x14ac:dyDescent="0.5"/>
    <row r="837" ht="15.75" customHeight="1" x14ac:dyDescent="0.5"/>
    <row r="838" ht="15.75" customHeight="1" x14ac:dyDescent="0.5"/>
    <row r="839" ht="15.75" customHeight="1" x14ac:dyDescent="0.5"/>
    <row r="840" ht="15.75" customHeight="1" x14ac:dyDescent="0.5"/>
    <row r="841" ht="15.75" customHeight="1" x14ac:dyDescent="0.5"/>
    <row r="842" ht="15.75" customHeight="1" x14ac:dyDescent="0.5"/>
    <row r="843" ht="15.75" customHeight="1" x14ac:dyDescent="0.5"/>
    <row r="844" ht="15.75" customHeight="1" x14ac:dyDescent="0.5"/>
    <row r="845" ht="15.75" customHeight="1" x14ac:dyDescent="0.5"/>
    <row r="846" ht="15.75" customHeight="1" x14ac:dyDescent="0.5"/>
    <row r="847" ht="15.75" customHeight="1" x14ac:dyDescent="0.5"/>
    <row r="848" ht="15.75" customHeight="1" x14ac:dyDescent="0.5"/>
    <row r="849" ht="15.75" customHeight="1" x14ac:dyDescent="0.5"/>
    <row r="850" ht="15.75" customHeight="1" x14ac:dyDescent="0.5"/>
    <row r="851" ht="15.75" customHeight="1" x14ac:dyDescent="0.5"/>
    <row r="852" ht="15.75" customHeight="1" x14ac:dyDescent="0.5"/>
    <row r="853" ht="15.75" customHeight="1" x14ac:dyDescent="0.5"/>
    <row r="854" ht="15.75" customHeight="1" x14ac:dyDescent="0.5"/>
    <row r="855" ht="15.75" customHeight="1" x14ac:dyDescent="0.5"/>
    <row r="856" ht="15.75" customHeight="1" x14ac:dyDescent="0.5"/>
    <row r="857" ht="15.75" customHeight="1" x14ac:dyDescent="0.5"/>
    <row r="858" ht="15.75" customHeight="1" x14ac:dyDescent="0.5"/>
    <row r="859" ht="15.75" customHeight="1" x14ac:dyDescent="0.5"/>
    <row r="860" ht="15.75" customHeight="1" x14ac:dyDescent="0.5"/>
    <row r="861" ht="15.75" customHeight="1" x14ac:dyDescent="0.5"/>
    <row r="862" ht="15.75" customHeight="1" x14ac:dyDescent="0.5"/>
    <row r="863" ht="15.75" customHeight="1" x14ac:dyDescent="0.5"/>
    <row r="864" ht="15.75" customHeight="1" x14ac:dyDescent="0.5"/>
    <row r="865" ht="15.75" customHeight="1" x14ac:dyDescent="0.5"/>
    <row r="866" ht="15.75" customHeight="1" x14ac:dyDescent="0.5"/>
    <row r="867" ht="15.75" customHeight="1" x14ac:dyDescent="0.5"/>
    <row r="868" ht="15.75" customHeight="1" x14ac:dyDescent="0.5"/>
    <row r="869" ht="15.75" customHeight="1" x14ac:dyDescent="0.5"/>
    <row r="870" ht="15.75" customHeight="1" x14ac:dyDescent="0.5"/>
    <row r="871" ht="15.75" customHeight="1" x14ac:dyDescent="0.5"/>
    <row r="872" ht="15.75" customHeight="1" x14ac:dyDescent="0.5"/>
    <row r="873" ht="15.75" customHeight="1" x14ac:dyDescent="0.5"/>
    <row r="874" ht="15.75" customHeight="1" x14ac:dyDescent="0.5"/>
    <row r="875" ht="15.75" customHeight="1" x14ac:dyDescent="0.5"/>
    <row r="876" ht="15.75" customHeight="1" x14ac:dyDescent="0.5"/>
    <row r="877" ht="15.75" customHeight="1" x14ac:dyDescent="0.5"/>
    <row r="878" ht="15.75" customHeight="1" x14ac:dyDescent="0.5"/>
    <row r="879" ht="15.75" customHeight="1" x14ac:dyDescent="0.5"/>
    <row r="880" ht="15.75" customHeight="1" x14ac:dyDescent="0.5"/>
    <row r="881" ht="15.75" customHeight="1" x14ac:dyDescent="0.5"/>
    <row r="882" ht="15.75" customHeight="1" x14ac:dyDescent="0.5"/>
    <row r="883" ht="15.75" customHeight="1" x14ac:dyDescent="0.5"/>
    <row r="884" ht="15.75" customHeight="1" x14ac:dyDescent="0.5"/>
    <row r="885" ht="15.75" customHeight="1" x14ac:dyDescent="0.5"/>
    <row r="886" ht="15.75" customHeight="1" x14ac:dyDescent="0.5"/>
    <row r="887" ht="15.75" customHeight="1" x14ac:dyDescent="0.5"/>
    <row r="888" ht="15.75" customHeight="1" x14ac:dyDescent="0.5"/>
    <row r="889" ht="15.75" customHeight="1" x14ac:dyDescent="0.5"/>
    <row r="890" ht="15.75" customHeight="1" x14ac:dyDescent="0.5"/>
    <row r="891" ht="15.75" customHeight="1" x14ac:dyDescent="0.5"/>
    <row r="892" ht="15.75" customHeight="1" x14ac:dyDescent="0.5"/>
    <row r="893" ht="15.75" customHeight="1" x14ac:dyDescent="0.5"/>
    <row r="894" ht="15.75" customHeight="1" x14ac:dyDescent="0.5"/>
    <row r="895" ht="15.75" customHeight="1" x14ac:dyDescent="0.5"/>
    <row r="896" ht="15.75" customHeight="1" x14ac:dyDescent="0.5"/>
    <row r="897" ht="15.75" customHeight="1" x14ac:dyDescent="0.5"/>
    <row r="898" ht="15.75" customHeight="1" x14ac:dyDescent="0.5"/>
    <row r="899" ht="15.75" customHeight="1" x14ac:dyDescent="0.5"/>
    <row r="900" ht="15.75" customHeight="1" x14ac:dyDescent="0.5"/>
    <row r="901" ht="15.75" customHeight="1" x14ac:dyDescent="0.5"/>
    <row r="902" ht="15.75" customHeight="1" x14ac:dyDescent="0.5"/>
    <row r="903" ht="15.75" customHeight="1" x14ac:dyDescent="0.5"/>
    <row r="904" ht="15.75" customHeight="1" x14ac:dyDescent="0.5"/>
    <row r="905" ht="15.75" customHeight="1" x14ac:dyDescent="0.5"/>
    <row r="906" ht="15.75" customHeight="1" x14ac:dyDescent="0.5"/>
    <row r="907" ht="15.75" customHeight="1" x14ac:dyDescent="0.5"/>
    <row r="908" ht="15.75" customHeight="1" x14ac:dyDescent="0.5"/>
    <row r="909" ht="15.75" customHeight="1" x14ac:dyDescent="0.5"/>
    <row r="910" ht="15.75" customHeight="1" x14ac:dyDescent="0.5"/>
    <row r="911" ht="15.75" customHeight="1" x14ac:dyDescent="0.5"/>
    <row r="912" ht="15.75" customHeight="1" x14ac:dyDescent="0.5"/>
    <row r="913" ht="15.75" customHeight="1" x14ac:dyDescent="0.5"/>
    <row r="914" ht="15.75" customHeight="1" x14ac:dyDescent="0.5"/>
    <row r="915" ht="15.75" customHeight="1" x14ac:dyDescent="0.5"/>
    <row r="916" ht="15.75" customHeight="1" x14ac:dyDescent="0.5"/>
    <row r="917" ht="15.75" customHeight="1" x14ac:dyDescent="0.5"/>
    <row r="918" ht="15.75" customHeight="1" x14ac:dyDescent="0.5"/>
    <row r="919" ht="15.75" customHeight="1" x14ac:dyDescent="0.5"/>
    <row r="920" ht="15.75" customHeight="1" x14ac:dyDescent="0.5"/>
    <row r="921" ht="15.75" customHeight="1" x14ac:dyDescent="0.5"/>
    <row r="922" ht="15.75" customHeight="1" x14ac:dyDescent="0.5"/>
    <row r="923" ht="15.75" customHeight="1" x14ac:dyDescent="0.5"/>
    <row r="924" ht="15.75" customHeight="1" x14ac:dyDescent="0.5"/>
    <row r="925" ht="15.75" customHeight="1" x14ac:dyDescent="0.5"/>
    <row r="926" ht="15.75" customHeight="1" x14ac:dyDescent="0.5"/>
    <row r="927" ht="15.75" customHeight="1" x14ac:dyDescent="0.5"/>
    <row r="928" ht="15.75" customHeight="1" x14ac:dyDescent="0.5"/>
    <row r="929" ht="15.75" customHeight="1" x14ac:dyDescent="0.5"/>
    <row r="930" ht="15.75" customHeight="1" x14ac:dyDescent="0.5"/>
    <row r="931" ht="15.75" customHeight="1" x14ac:dyDescent="0.5"/>
    <row r="932" ht="15.75" customHeight="1" x14ac:dyDescent="0.5"/>
    <row r="933" ht="15.75" customHeight="1" x14ac:dyDescent="0.5"/>
    <row r="934" ht="15.75" customHeight="1" x14ac:dyDescent="0.5"/>
    <row r="935" ht="15.75" customHeight="1" x14ac:dyDescent="0.5"/>
    <row r="936" ht="15.75" customHeight="1" x14ac:dyDescent="0.5"/>
    <row r="937" ht="15.75" customHeight="1" x14ac:dyDescent="0.5"/>
    <row r="938" ht="15.75" customHeight="1" x14ac:dyDescent="0.5"/>
    <row r="939" ht="15.75" customHeight="1" x14ac:dyDescent="0.5"/>
    <row r="940" ht="15.75" customHeight="1" x14ac:dyDescent="0.5"/>
    <row r="941" ht="15.75" customHeight="1" x14ac:dyDescent="0.5"/>
    <row r="942" ht="15.75" customHeight="1" x14ac:dyDescent="0.5"/>
    <row r="943" ht="15.75" customHeight="1" x14ac:dyDescent="0.5"/>
    <row r="944" ht="15.75" customHeight="1" x14ac:dyDescent="0.5"/>
    <row r="945" ht="15.75" customHeight="1" x14ac:dyDescent="0.5"/>
    <row r="946" ht="15.75" customHeight="1" x14ac:dyDescent="0.5"/>
    <row r="947" ht="15.75" customHeight="1" x14ac:dyDescent="0.5"/>
    <row r="948" ht="15.75" customHeight="1" x14ac:dyDescent="0.5"/>
    <row r="949" ht="15.75" customHeight="1" x14ac:dyDescent="0.5"/>
    <row r="950" ht="15.75" customHeight="1" x14ac:dyDescent="0.5"/>
    <row r="951" ht="15.75" customHeight="1" x14ac:dyDescent="0.5"/>
    <row r="952" ht="15.75" customHeight="1" x14ac:dyDescent="0.5"/>
    <row r="953" ht="15.75" customHeight="1" x14ac:dyDescent="0.5"/>
    <row r="954" ht="15.75" customHeight="1" x14ac:dyDescent="0.5"/>
    <row r="955" ht="15.75" customHeight="1" x14ac:dyDescent="0.5"/>
    <row r="956" ht="15.75" customHeight="1" x14ac:dyDescent="0.5"/>
    <row r="957" ht="15.75" customHeight="1" x14ac:dyDescent="0.5"/>
    <row r="958" ht="15.75" customHeight="1" x14ac:dyDescent="0.5"/>
    <row r="959" ht="15.75" customHeight="1" x14ac:dyDescent="0.5"/>
    <row r="960" ht="15.75" customHeight="1" x14ac:dyDescent="0.5"/>
    <row r="961" ht="15.75" customHeight="1" x14ac:dyDescent="0.5"/>
    <row r="962" ht="15.75" customHeight="1" x14ac:dyDescent="0.5"/>
    <row r="963" ht="15.75" customHeight="1" x14ac:dyDescent="0.5"/>
    <row r="964" ht="15.75" customHeight="1" x14ac:dyDescent="0.5"/>
    <row r="965" ht="15.75" customHeight="1" x14ac:dyDescent="0.5"/>
    <row r="966" ht="15.75" customHeight="1" x14ac:dyDescent="0.5"/>
    <row r="967" ht="15.75" customHeight="1" x14ac:dyDescent="0.5"/>
    <row r="968" ht="15.75" customHeight="1" x14ac:dyDescent="0.5"/>
    <row r="969" ht="15.75" customHeight="1" x14ac:dyDescent="0.5"/>
    <row r="970" ht="15.75" customHeight="1" x14ac:dyDescent="0.5"/>
    <row r="971" ht="15.75" customHeight="1" x14ac:dyDescent="0.5"/>
    <row r="972" ht="15.75" customHeight="1" x14ac:dyDescent="0.5"/>
    <row r="973" ht="15.75" customHeight="1" x14ac:dyDescent="0.5"/>
    <row r="974" ht="15.75" customHeight="1" x14ac:dyDescent="0.5"/>
    <row r="975" ht="15.75" customHeight="1" x14ac:dyDescent="0.5"/>
    <row r="976" ht="15.75" customHeight="1" x14ac:dyDescent="0.5"/>
    <row r="977" ht="15.75" customHeight="1" x14ac:dyDescent="0.5"/>
    <row r="978" ht="15.75" customHeight="1" x14ac:dyDescent="0.5"/>
    <row r="979" ht="15.75" customHeight="1" x14ac:dyDescent="0.5"/>
    <row r="980" ht="15.75" customHeight="1" x14ac:dyDescent="0.5"/>
    <row r="981" ht="15.75" customHeight="1" x14ac:dyDescent="0.5"/>
    <row r="982" ht="15.75" customHeight="1" x14ac:dyDescent="0.5"/>
    <row r="983" ht="15.75" customHeight="1" x14ac:dyDescent="0.5"/>
    <row r="984" ht="15.75" customHeight="1" x14ac:dyDescent="0.5"/>
    <row r="985" ht="15.75" customHeight="1" x14ac:dyDescent="0.5"/>
    <row r="986" ht="15.75" customHeight="1" x14ac:dyDescent="0.5"/>
    <row r="987" ht="15.75" customHeight="1" x14ac:dyDescent="0.5"/>
    <row r="988" ht="15.75" customHeight="1" x14ac:dyDescent="0.5"/>
    <row r="989" ht="15.75" customHeight="1" x14ac:dyDescent="0.5"/>
    <row r="990" ht="15.75" customHeight="1" x14ac:dyDescent="0.5"/>
    <row r="991" ht="15.75" customHeight="1" x14ac:dyDescent="0.5"/>
    <row r="992" ht="15.75" customHeight="1" x14ac:dyDescent="0.5"/>
    <row r="993" ht="15.75" customHeight="1" x14ac:dyDescent="0.5"/>
    <row r="994" ht="15.75" customHeight="1" x14ac:dyDescent="0.5"/>
    <row r="995" ht="15.75" customHeight="1" x14ac:dyDescent="0.5"/>
    <row r="996" ht="15.75" customHeight="1" x14ac:dyDescent="0.5"/>
    <row r="997" ht="15.75" customHeight="1" x14ac:dyDescent="0.5"/>
    <row r="998" ht="15.75" customHeight="1" x14ac:dyDescent="0.5"/>
    <row r="999" ht="15.75" customHeight="1" x14ac:dyDescent="0.5"/>
    <row r="1000" ht="15.75" customHeight="1" x14ac:dyDescent="0.5"/>
  </sheetData>
  <mergeCells count="2">
    <mergeCell ref="Z2:Z3"/>
    <mergeCell ref="AA2:AA3"/>
  </mergeCell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67"/>
  <sheetViews>
    <sheetView tabSelected="1" zoomScale="45" zoomScaleNormal="45" workbookViewId="0">
      <selection activeCell="O11" sqref="O11"/>
    </sheetView>
  </sheetViews>
  <sheetFormatPr baseColWidth="10" defaultRowHeight="14.4" x14ac:dyDescent="0.3"/>
  <cols>
    <col min="3" max="3" width="22.21875" customWidth="1"/>
    <col min="4" max="4" width="26.6640625" customWidth="1"/>
    <col min="5" max="5" width="27.44140625" customWidth="1"/>
    <col min="6" max="6" width="40.5546875" customWidth="1"/>
    <col min="7" max="7" width="31.44140625" customWidth="1"/>
    <col min="8" max="8" width="34" customWidth="1"/>
    <col min="9" max="9" width="30.6640625" customWidth="1"/>
    <col min="10" max="10" width="25" customWidth="1"/>
    <col min="11" max="11" width="20.88671875" customWidth="1"/>
    <col min="12" max="12" width="26.6640625" customWidth="1"/>
    <col min="13" max="13" width="27.6640625" customWidth="1"/>
    <col min="14" max="14" width="24" customWidth="1"/>
    <col min="16" max="16" width="30.109375" customWidth="1"/>
  </cols>
  <sheetData>
    <row r="2" spans="3:16" ht="15" thickBot="1" x14ac:dyDescent="0.35"/>
    <row r="3" spans="3:16" ht="30" customHeight="1" thickBot="1" x14ac:dyDescent="0.35">
      <c r="C3" s="1613" t="s">
        <v>1490</v>
      </c>
      <c r="D3" s="1614"/>
      <c r="E3" s="1614"/>
      <c r="F3" s="1614"/>
      <c r="G3" s="1614"/>
      <c r="H3" s="1615"/>
      <c r="J3" s="1597" t="s">
        <v>2583</v>
      </c>
      <c r="K3" s="1598"/>
    </row>
    <row r="4" spans="3:16" ht="44.4" customHeight="1" thickBot="1" x14ac:dyDescent="0.35">
      <c r="C4" s="1520" t="s">
        <v>1491</v>
      </c>
      <c r="D4" s="11" t="s">
        <v>1492</v>
      </c>
      <c r="E4" s="1217" t="s">
        <v>1493</v>
      </c>
      <c r="F4" s="11" t="s">
        <v>1494</v>
      </c>
      <c r="G4" s="968" t="s">
        <v>1495</v>
      </c>
      <c r="H4" s="969" t="s">
        <v>1496</v>
      </c>
      <c r="J4" s="1599"/>
      <c r="K4" s="1600"/>
    </row>
    <row r="5" spans="3:16" ht="37.200000000000003" customHeight="1" thickBot="1" x14ac:dyDescent="0.35">
      <c r="C5" s="1521" t="s">
        <v>1497</v>
      </c>
      <c r="D5" s="12" t="s">
        <v>1498</v>
      </c>
      <c r="E5" s="1218" t="s">
        <v>1499</v>
      </c>
      <c r="F5" s="12" t="s">
        <v>1500</v>
      </c>
      <c r="G5" s="939" t="s">
        <v>1501</v>
      </c>
      <c r="H5" s="970" t="s">
        <v>1498</v>
      </c>
      <c r="J5" s="1599"/>
      <c r="K5" s="1600"/>
    </row>
    <row r="6" spans="3:16" ht="43.2" customHeight="1" thickBot="1" x14ac:dyDescent="0.35">
      <c r="C6" s="1522" t="s">
        <v>1502</v>
      </c>
      <c r="D6" s="13" t="s">
        <v>1503</v>
      </c>
      <c r="E6" s="1219" t="s">
        <v>1504</v>
      </c>
      <c r="F6" s="13" t="s">
        <v>1505</v>
      </c>
      <c r="G6" s="940" t="s">
        <v>1506</v>
      </c>
      <c r="H6" s="971" t="s">
        <v>1503</v>
      </c>
      <c r="J6" s="1599"/>
      <c r="K6" s="1600"/>
    </row>
    <row r="7" spans="3:16" ht="35.4" customHeight="1" thickBot="1" x14ac:dyDescent="0.35">
      <c r="C7" s="1523" t="s">
        <v>1507</v>
      </c>
      <c r="D7" s="14" t="s">
        <v>1508</v>
      </c>
      <c r="E7" s="1220" t="s">
        <v>1509</v>
      </c>
      <c r="F7" s="14" t="s">
        <v>1510</v>
      </c>
      <c r="G7" s="941" t="s">
        <v>1511</v>
      </c>
      <c r="H7" s="972" t="s">
        <v>1508</v>
      </c>
      <c r="J7" s="1599"/>
      <c r="K7" s="1600"/>
    </row>
    <row r="8" spans="3:16" ht="36" customHeight="1" thickBot="1" x14ac:dyDescent="0.35">
      <c r="C8" s="1524" t="s">
        <v>1512</v>
      </c>
      <c r="D8" s="15" t="s">
        <v>1513</v>
      </c>
      <c r="E8" s="1221" t="s">
        <v>1514</v>
      </c>
      <c r="F8" s="15" t="s">
        <v>1515</v>
      </c>
      <c r="G8" s="942" t="s">
        <v>1516</v>
      </c>
      <c r="H8" s="973" t="s">
        <v>1513</v>
      </c>
      <c r="J8" s="1599"/>
      <c r="K8" s="1600"/>
      <c r="P8" s="824"/>
    </row>
    <row r="9" spans="3:16" ht="35.4" customHeight="1" thickBot="1" x14ac:dyDescent="0.35">
      <c r="C9" s="1525" t="s">
        <v>1517</v>
      </c>
      <c r="D9" s="1526" t="s">
        <v>1518</v>
      </c>
      <c r="E9" s="1527" t="s">
        <v>1519</v>
      </c>
      <c r="F9" s="1526" t="s">
        <v>1520</v>
      </c>
      <c r="G9" s="1528" t="s">
        <v>1521</v>
      </c>
      <c r="H9" s="974" t="s">
        <v>1522</v>
      </c>
      <c r="J9" s="1599"/>
      <c r="K9" s="1600"/>
    </row>
    <row r="10" spans="3:16" ht="15" thickBot="1" x14ac:dyDescent="0.35">
      <c r="J10" s="1599"/>
      <c r="K10" s="1600"/>
    </row>
    <row r="11" spans="3:16" ht="49.2" customHeight="1" thickBot="1" x14ac:dyDescent="0.35">
      <c r="D11" s="695"/>
      <c r="E11" s="696" t="s">
        <v>2569</v>
      </c>
      <c r="F11" s="1603" t="s">
        <v>2584</v>
      </c>
      <c r="G11" s="1604"/>
      <c r="J11" s="1599"/>
      <c r="K11" s="1600"/>
    </row>
    <row r="12" spans="3:16" ht="68.400000000000006" customHeight="1" x14ac:dyDescent="0.3">
      <c r="D12" s="1605" t="s">
        <v>2582</v>
      </c>
      <c r="E12" s="1607">
        <f>+'SEGUIMIENTO DEL PLAN DE DESARRO'!M3</f>
        <v>0.18501820403177074</v>
      </c>
      <c r="F12" s="1609" t="s">
        <v>2575</v>
      </c>
      <c r="G12" s="1610"/>
      <c r="I12" s="4"/>
      <c r="J12" s="1599"/>
      <c r="K12" s="1600"/>
      <c r="O12" s="866"/>
      <c r="P12" s="6"/>
    </row>
    <row r="13" spans="3:16" ht="15" customHeight="1" thickBot="1" x14ac:dyDescent="0.35">
      <c r="D13" s="1606"/>
      <c r="E13" s="1608"/>
      <c r="F13" s="1611"/>
      <c r="G13" s="1612"/>
      <c r="J13" s="1601"/>
      <c r="K13" s="1602"/>
    </row>
    <row r="14" spans="3:16" ht="15" thickBot="1" x14ac:dyDescent="0.35"/>
    <row r="15" spans="3:16" ht="30.6" hidden="1" customHeight="1" thickBot="1" x14ac:dyDescent="0.35"/>
    <row r="16" spans="3:16" ht="76.8" customHeight="1" thickBot="1" x14ac:dyDescent="0.35">
      <c r="C16" s="58" t="s">
        <v>1524</v>
      </c>
      <c r="D16" s="59" t="s">
        <v>1525</v>
      </c>
      <c r="E16" s="59" t="s">
        <v>1526</v>
      </c>
      <c r="F16" s="688" t="s">
        <v>2577</v>
      </c>
      <c r="G16" s="60" t="s">
        <v>2578</v>
      </c>
      <c r="H16" s="61" t="s">
        <v>2585</v>
      </c>
      <c r="J16" s="1597" t="s">
        <v>2580</v>
      </c>
      <c r="K16" s="1598"/>
      <c r="O16" s="866"/>
      <c r="P16" s="6"/>
    </row>
    <row r="17" spans="3:16" ht="14.4" customHeight="1" x14ac:dyDescent="0.3">
      <c r="C17" s="1616" t="s">
        <v>1527</v>
      </c>
      <c r="D17" s="1618"/>
      <c r="E17" s="1620" t="s">
        <v>1528</v>
      </c>
      <c r="F17" s="1622" t="s">
        <v>2576</v>
      </c>
      <c r="G17" s="1624">
        <f>+'SEGUIMIENTO DEL PLAN DE DESARRO'!J3</f>
        <v>0.52319293972307812</v>
      </c>
      <c r="H17" s="1627" t="s">
        <v>2575</v>
      </c>
      <c r="J17" s="1599"/>
      <c r="K17" s="1600"/>
      <c r="O17" s="885"/>
    </row>
    <row r="18" spans="3:16" ht="15" customHeight="1" thickBot="1" x14ac:dyDescent="0.35">
      <c r="C18" s="1617"/>
      <c r="D18" s="1619"/>
      <c r="E18" s="1621"/>
      <c r="F18" s="1623"/>
      <c r="G18" s="1625"/>
      <c r="H18" s="1628"/>
      <c r="J18" s="1599"/>
      <c r="K18" s="1600"/>
      <c r="O18" s="885"/>
    </row>
    <row r="19" spans="3:16" ht="24.6" customHeight="1" x14ac:dyDescent="0.3">
      <c r="C19" s="1616" t="s">
        <v>1529</v>
      </c>
      <c r="D19" s="1630"/>
      <c r="E19" s="1620" t="s">
        <v>1530</v>
      </c>
      <c r="F19" s="1632" t="s">
        <v>2574</v>
      </c>
      <c r="G19" s="1625"/>
      <c r="H19" s="1628"/>
      <c r="J19" s="1599"/>
      <c r="K19" s="1600"/>
      <c r="P19" s="6"/>
    </row>
    <row r="20" spans="3:16" ht="15" customHeight="1" thickBot="1" x14ac:dyDescent="0.35">
      <c r="C20" s="1617"/>
      <c r="D20" s="1631"/>
      <c r="E20" s="1621"/>
      <c r="F20" s="1633"/>
      <c r="G20" s="1625"/>
      <c r="H20" s="1628"/>
      <c r="J20" s="1599"/>
      <c r="K20" s="1600"/>
    </row>
    <row r="21" spans="3:16" ht="27" thickBot="1" x14ac:dyDescent="0.35">
      <c r="C21" s="1205" t="s">
        <v>1507</v>
      </c>
      <c r="D21" s="17"/>
      <c r="E21" s="21" t="s">
        <v>1531</v>
      </c>
      <c r="F21" s="148" t="s">
        <v>2573</v>
      </c>
      <c r="G21" s="1625"/>
      <c r="H21" s="1628"/>
      <c r="J21" s="1599"/>
      <c r="K21" s="1600"/>
      <c r="P21" s="824"/>
    </row>
    <row r="22" spans="3:16" ht="27" thickBot="1" x14ac:dyDescent="0.35">
      <c r="C22" s="1205" t="s">
        <v>1532</v>
      </c>
      <c r="D22" s="19"/>
      <c r="E22" s="18" t="s">
        <v>1533</v>
      </c>
      <c r="F22" s="869" t="s">
        <v>2572</v>
      </c>
      <c r="G22" s="1625"/>
      <c r="H22" s="1628"/>
      <c r="J22" s="1599"/>
      <c r="K22" s="1600"/>
      <c r="P22" s="6"/>
    </row>
    <row r="23" spans="3:16" ht="37.200000000000003" customHeight="1" thickBot="1" x14ac:dyDescent="0.35">
      <c r="C23" s="1205" t="s">
        <v>1534</v>
      </c>
      <c r="D23" s="20"/>
      <c r="E23" s="18" t="s">
        <v>1535</v>
      </c>
      <c r="F23" s="149">
        <f>+L29*0.299</f>
        <v>0.23985463371458057</v>
      </c>
      <c r="G23" s="1626"/>
      <c r="H23" s="1629"/>
      <c r="J23" s="1601"/>
      <c r="K23" s="1602"/>
      <c r="O23" s="6"/>
      <c r="P23" s="6"/>
    </row>
    <row r="24" spans="3:16" x14ac:dyDescent="0.3">
      <c r="F24" s="91"/>
    </row>
    <row r="25" spans="3:16" ht="15" thickBot="1" x14ac:dyDescent="0.35">
      <c r="F25" s="107"/>
      <c r="G25" s="107"/>
      <c r="H25" s="712"/>
      <c r="I25" s="107"/>
      <c r="O25" s="107"/>
    </row>
    <row r="26" spans="3:16" ht="49.8" customHeight="1" thickBot="1" x14ac:dyDescent="0.35">
      <c r="C26" s="50" t="s">
        <v>1524</v>
      </c>
      <c r="D26" s="51" t="s">
        <v>1525</v>
      </c>
      <c r="E26" s="52" t="s">
        <v>1526</v>
      </c>
      <c r="H26" s="92"/>
      <c r="M26" s="6"/>
      <c r="N26" s="6"/>
      <c r="P26" s="697"/>
    </row>
    <row r="27" spans="3:16" ht="20.399999999999999" customHeight="1" x14ac:dyDescent="0.3">
      <c r="C27" s="1642" t="s">
        <v>1527</v>
      </c>
      <c r="D27" s="1618"/>
      <c r="E27" s="1620" t="s">
        <v>1528</v>
      </c>
      <c r="G27" s="1634" t="s">
        <v>1976</v>
      </c>
      <c r="H27" s="1634" t="s">
        <v>1977</v>
      </c>
      <c r="I27" s="1634" t="s">
        <v>1983</v>
      </c>
      <c r="J27" s="1634" t="s">
        <v>2570</v>
      </c>
      <c r="K27" s="1634" t="s">
        <v>2571</v>
      </c>
      <c r="L27" s="1634" t="s">
        <v>2577</v>
      </c>
      <c r="M27" s="1634" t="s">
        <v>2579</v>
      </c>
    </row>
    <row r="28" spans="3:16" ht="28.2" customHeight="1" thickBot="1" x14ac:dyDescent="0.35">
      <c r="C28" s="1643"/>
      <c r="D28" s="1619"/>
      <c r="E28" s="1621"/>
      <c r="G28" s="1635"/>
      <c r="H28" s="1635"/>
      <c r="I28" s="1635"/>
      <c r="J28" s="1635"/>
      <c r="K28" s="1635"/>
      <c r="L28" s="1635"/>
      <c r="M28" s="1635"/>
    </row>
    <row r="29" spans="3:16" ht="26.4" customHeight="1" x14ac:dyDescent="0.3">
      <c r="C29" s="1642" t="s">
        <v>1529</v>
      </c>
      <c r="D29" s="1630"/>
      <c r="E29" s="1620" t="s">
        <v>1530</v>
      </c>
      <c r="G29" s="1644">
        <v>0.2014</v>
      </c>
      <c r="H29" s="1646">
        <f>+'SEGUIMIENTO DEL PLAN DE DESARRO'!E3</f>
        <v>0.29256753414565928</v>
      </c>
      <c r="I29" s="1646">
        <f>+G29+H29</f>
        <v>0.4939675341456593</v>
      </c>
      <c r="J29" s="1646">
        <v>0.4849</v>
      </c>
      <c r="K29" s="1648">
        <f>+'SEGUIMIENTO DEL PLAN DE DESARRO'!F3</f>
        <v>0.31728941041665748</v>
      </c>
      <c r="L29" s="1650">
        <f>+J29+K29</f>
        <v>0.80218941041665748</v>
      </c>
      <c r="M29" s="1650">
        <f>+G17</f>
        <v>0.52319293972307812</v>
      </c>
    </row>
    <row r="30" spans="3:16" ht="25.8" customHeight="1" thickBot="1" x14ac:dyDescent="0.35">
      <c r="C30" s="1643"/>
      <c r="D30" s="1631"/>
      <c r="E30" s="1621"/>
      <c r="G30" s="1645"/>
      <c r="H30" s="1647"/>
      <c r="I30" s="1647"/>
      <c r="J30" s="1647"/>
      <c r="K30" s="1649"/>
      <c r="L30" s="1651"/>
      <c r="M30" s="1651"/>
    </row>
    <row r="31" spans="3:16" ht="27" thickBot="1" x14ac:dyDescent="0.35">
      <c r="C31" s="1204" t="s">
        <v>1507</v>
      </c>
      <c r="D31" s="17"/>
      <c r="E31" s="54" t="s">
        <v>1531</v>
      </c>
      <c r="L31" s="697"/>
    </row>
    <row r="32" spans="3:16" ht="27" customHeight="1" thickBot="1" x14ac:dyDescent="0.35">
      <c r="C32" s="1204" t="s">
        <v>1532</v>
      </c>
      <c r="D32" s="19"/>
      <c r="E32" s="54" t="s">
        <v>1533</v>
      </c>
      <c r="G32" s="1634" t="s">
        <v>2659</v>
      </c>
      <c r="H32" s="1636">
        <f>+K29/4</f>
        <v>7.932235260416437E-2</v>
      </c>
    </row>
    <row r="33" spans="3:20" ht="15" customHeight="1" thickBot="1" x14ac:dyDescent="0.35">
      <c r="C33" s="55" t="s">
        <v>1534</v>
      </c>
      <c r="D33" s="56"/>
      <c r="E33" s="57" t="s">
        <v>1535</v>
      </c>
      <c r="G33" s="1635"/>
      <c r="H33" s="1637"/>
      <c r="P33" s="6"/>
      <c r="T33" s="697"/>
    </row>
    <row r="34" spans="3:20" ht="14.4" customHeight="1" x14ac:dyDescent="0.3">
      <c r="G34" s="1634" t="s">
        <v>2660</v>
      </c>
      <c r="H34" s="1639">
        <f>+G17-J29</f>
        <v>3.8292939723078123E-2</v>
      </c>
    </row>
    <row r="35" spans="3:20" ht="15" customHeight="1" x14ac:dyDescent="0.3">
      <c r="G35" s="1638"/>
      <c r="H35" s="1640"/>
    </row>
    <row r="36" spans="3:20" ht="15" customHeight="1" thickBot="1" x14ac:dyDescent="0.35">
      <c r="G36" s="1635"/>
      <c r="H36" s="1641"/>
    </row>
    <row r="37" spans="3:20" ht="15" customHeight="1" x14ac:dyDescent="0.3">
      <c r="I37" s="6"/>
      <c r="J37" s="6"/>
    </row>
    <row r="38" spans="3:20" ht="24.6" customHeight="1" x14ac:dyDescent="0.3">
      <c r="J38" s="6"/>
      <c r="K38" s="6"/>
    </row>
    <row r="39" spans="3:20" ht="24.6" customHeight="1" x14ac:dyDescent="0.3"/>
    <row r="40" spans="3:20" ht="24.6" customHeight="1" x14ac:dyDescent="0.3">
      <c r="Q40" s="6"/>
    </row>
    <row r="41" spans="3:20" ht="24.6" customHeight="1" x14ac:dyDescent="0.3">
      <c r="Q41" s="697"/>
    </row>
    <row r="42" spans="3:20" ht="24.6" customHeight="1" x14ac:dyDescent="0.3">
      <c r="P42" s="6"/>
    </row>
    <row r="43" spans="3:20" ht="38.4" customHeight="1" x14ac:dyDescent="0.3"/>
    <row r="44" spans="3:20" ht="36.6" customHeight="1" x14ac:dyDescent="0.3"/>
    <row r="45" spans="3:20" ht="36" customHeight="1" x14ac:dyDescent="0.3"/>
    <row r="46" spans="3:20" ht="15" customHeight="1" x14ac:dyDescent="0.3"/>
    <row r="47" spans="3:20" ht="31.2" customHeight="1" x14ac:dyDescent="0.3">
      <c r="J47" s="107"/>
      <c r="K47" s="107"/>
      <c r="M47" s="6"/>
      <c r="N47" s="6"/>
    </row>
    <row r="48" spans="3:20" ht="15" customHeight="1" x14ac:dyDescent="0.3"/>
    <row r="49" spans="8:8" ht="14.4" customHeight="1" x14ac:dyDescent="0.3"/>
    <row r="50" spans="8:8" ht="44.4" customHeight="1" x14ac:dyDescent="0.3"/>
    <row r="61" spans="8:8" x14ac:dyDescent="0.3">
      <c r="H61" s="87"/>
    </row>
    <row r="63" spans="8:8" x14ac:dyDescent="0.3">
      <c r="H63" s="87"/>
    </row>
    <row r="67" spans="8:8" x14ac:dyDescent="0.3">
      <c r="H67" s="87"/>
    </row>
  </sheetData>
  <mergeCells count="41">
    <mergeCell ref="L27:L28"/>
    <mergeCell ref="J29:J30"/>
    <mergeCell ref="K29:K30"/>
    <mergeCell ref="L29:L30"/>
    <mergeCell ref="M27:M28"/>
    <mergeCell ref="M29:M30"/>
    <mergeCell ref="I27:I28"/>
    <mergeCell ref="I29:I30"/>
    <mergeCell ref="H27:H28"/>
    <mergeCell ref="J27:J28"/>
    <mergeCell ref="K27:K28"/>
    <mergeCell ref="H29:H30"/>
    <mergeCell ref="G32:G33"/>
    <mergeCell ref="H32:H33"/>
    <mergeCell ref="G34:G36"/>
    <mergeCell ref="H34:H36"/>
    <mergeCell ref="C27:C28"/>
    <mergeCell ref="D27:D28"/>
    <mergeCell ref="E27:E28"/>
    <mergeCell ref="G27:G28"/>
    <mergeCell ref="C29:C30"/>
    <mergeCell ref="D29:D30"/>
    <mergeCell ref="E29:E30"/>
    <mergeCell ref="G29:G30"/>
    <mergeCell ref="J16:K23"/>
    <mergeCell ref="C17:C18"/>
    <mergeCell ref="D17:D18"/>
    <mergeCell ref="E17:E18"/>
    <mergeCell ref="F17:F18"/>
    <mergeCell ref="G17:G23"/>
    <mergeCell ref="H17:H23"/>
    <mergeCell ref="C19:C20"/>
    <mergeCell ref="D19:D20"/>
    <mergeCell ref="E19:E20"/>
    <mergeCell ref="F19:F20"/>
    <mergeCell ref="J3:K13"/>
    <mergeCell ref="F11:G11"/>
    <mergeCell ref="D12:D13"/>
    <mergeCell ref="E12:E13"/>
    <mergeCell ref="F12:G13"/>
    <mergeCell ref="C3:H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Seguridad Humana</vt:lpstr>
      <vt:lpstr>Vida Digna</vt:lpstr>
      <vt:lpstr>Desarrollo Economico</vt:lpstr>
      <vt:lpstr>Ciudad Conectada</vt:lpstr>
      <vt:lpstr>Innovación Pública</vt:lpstr>
      <vt:lpstr>Capitulo Etnico</vt:lpstr>
      <vt:lpstr>PLAN DE DESARROLLO 2024 - 2027</vt:lpstr>
      <vt:lpstr>SEGUIMIENTO DEL PLAN DE DESARRO</vt:lpstr>
      <vt:lpstr>CRITERIOS DE EVALUACIÓN 2026</vt:lpstr>
      <vt:lpstr>CRITERIOS DE EVALUACIÓN 2025</vt:lpstr>
      <vt:lpstr>GRAFICAS SEGURIDAD HUMANA</vt:lpstr>
      <vt:lpstr>GRAFICAS VIDA DIGNA </vt:lpstr>
      <vt:lpstr>GRAFICAS DESARROLLO ECONOMICO</vt:lpstr>
      <vt:lpstr>GRAFICAS CIUDAD CONECTADA</vt:lpstr>
      <vt:lpstr>GRAFICAS INNOVACIÓN Y PARTICIPA</vt:lpstr>
      <vt:lpstr>GRAFICAS CAPITULO ETNICO</vt:lpstr>
      <vt:lpstr>Matriz de Visor</vt:lpstr>
      <vt:lpstr>REPROGRAMACIÓN - GRAFICAS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Yamil Gomez Rocha</dc:creator>
  <cp:lastModifiedBy>Yamil Gomez Rocha</cp:lastModifiedBy>
  <dcterms:created xsi:type="dcterms:W3CDTF">2024-09-07T07:59:19Z</dcterms:created>
  <dcterms:modified xsi:type="dcterms:W3CDTF">2026-06-01T20:11:19Z</dcterms:modified>
</cp:coreProperties>
</file>